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44.xml" ContentType="application/vnd.ms-excel.controlproperties+xml"/>
  <Override PartName="/xl/ctrlProps/ctrlProp1845.xml" ContentType="application/vnd.ms-excel.controlproperties+xml"/>
  <Override PartName="/xl/ctrlProps/ctrlProp1846.xml" ContentType="application/vnd.ms-excel.controlproperties+xml"/>
  <Override PartName="/xl/ctrlProps/ctrlProp1847.xml" ContentType="application/vnd.ms-excel.controlproperties+xml"/>
  <Override PartName="/xl/ctrlProps/ctrlProp1848.xml" ContentType="application/vnd.ms-excel.controlproperties+xml"/>
  <Override PartName="/xl/ctrlProps/ctrlProp1849.xml" ContentType="application/vnd.ms-excel.controlproperties+xml"/>
  <Override PartName="/xl/ctrlProps/ctrlProp1850.xml" ContentType="application/vnd.ms-excel.controlproperties+xml"/>
  <Override PartName="/xl/ctrlProps/ctrlProp1851.xml" ContentType="application/vnd.ms-excel.controlproperties+xml"/>
  <Override PartName="/xl/ctrlProps/ctrlProp1852.xml" ContentType="application/vnd.ms-excel.controlproperties+xml"/>
  <Override PartName="/xl/ctrlProps/ctrlProp1853.xml" ContentType="application/vnd.ms-excel.controlproperties+xml"/>
  <Override PartName="/xl/ctrlProps/ctrlProp1854.xml" ContentType="application/vnd.ms-excel.controlproperties+xml"/>
  <Override PartName="/xl/ctrlProps/ctrlProp1855.xml" ContentType="application/vnd.ms-excel.controlproperties+xml"/>
  <Override PartName="/xl/ctrlProps/ctrlProp1856.xml" ContentType="application/vnd.ms-excel.controlproperties+xml"/>
  <Override PartName="/xl/ctrlProps/ctrlProp1857.xml" ContentType="application/vnd.ms-excel.controlproperties+xml"/>
  <Override PartName="/xl/ctrlProps/ctrlProp1858.xml" ContentType="application/vnd.ms-excel.controlproperties+xml"/>
  <Override PartName="/xl/ctrlProps/ctrlProp1859.xml" ContentType="application/vnd.ms-excel.controlproperties+xml"/>
  <Override PartName="/xl/ctrlProps/ctrlProp1860.xml" ContentType="application/vnd.ms-excel.controlproperties+xml"/>
  <Override PartName="/xl/ctrlProps/ctrlProp1861.xml" ContentType="application/vnd.ms-excel.controlproperties+xml"/>
  <Override PartName="/xl/ctrlProps/ctrlProp1862.xml" ContentType="application/vnd.ms-excel.controlproperties+xml"/>
  <Override PartName="/xl/ctrlProps/ctrlProp1863.xml" ContentType="application/vnd.ms-excel.controlproperties+xml"/>
  <Override PartName="/xl/ctrlProps/ctrlProp1864.xml" ContentType="application/vnd.ms-excel.controlproperties+xml"/>
  <Override PartName="/xl/ctrlProps/ctrlProp1865.xml" ContentType="application/vnd.ms-excel.controlproperties+xml"/>
  <Override PartName="/xl/ctrlProps/ctrlProp1866.xml" ContentType="application/vnd.ms-excel.controlproperties+xml"/>
  <Override PartName="/xl/ctrlProps/ctrlProp1867.xml" ContentType="application/vnd.ms-excel.controlproperties+xml"/>
  <Override PartName="/xl/ctrlProps/ctrlProp1868.xml" ContentType="application/vnd.ms-excel.controlproperties+xml"/>
  <Override PartName="/xl/ctrlProps/ctrlProp1869.xml" ContentType="application/vnd.ms-excel.controlproperties+xml"/>
  <Override PartName="/xl/ctrlProps/ctrlProp1870.xml" ContentType="application/vnd.ms-excel.controlproperties+xml"/>
  <Override PartName="/xl/ctrlProps/ctrlProp1871.xml" ContentType="application/vnd.ms-excel.controlproperties+xml"/>
  <Override PartName="/xl/ctrlProps/ctrlProp1872.xml" ContentType="application/vnd.ms-excel.controlproperties+xml"/>
  <Override PartName="/xl/ctrlProps/ctrlProp1873.xml" ContentType="application/vnd.ms-excel.controlproperties+xml"/>
  <Override PartName="/xl/ctrlProps/ctrlProp1874.xml" ContentType="application/vnd.ms-excel.controlproperties+xml"/>
  <Override PartName="/xl/ctrlProps/ctrlProp1875.xml" ContentType="application/vnd.ms-excel.controlproperties+xml"/>
  <Override PartName="/xl/ctrlProps/ctrlProp1876.xml" ContentType="application/vnd.ms-excel.controlproperties+xml"/>
  <Override PartName="/xl/ctrlProps/ctrlProp1877.xml" ContentType="application/vnd.ms-excel.controlproperties+xml"/>
  <Override PartName="/xl/ctrlProps/ctrlProp1878.xml" ContentType="application/vnd.ms-excel.controlproperties+xml"/>
  <Override PartName="/xl/ctrlProps/ctrlProp1879.xml" ContentType="application/vnd.ms-excel.controlproperties+xml"/>
  <Override PartName="/xl/ctrlProps/ctrlProp1880.xml" ContentType="application/vnd.ms-excel.controlproperties+xml"/>
  <Override PartName="/xl/ctrlProps/ctrlProp1881.xml" ContentType="application/vnd.ms-excel.controlproperties+xml"/>
  <Override PartName="/xl/ctrlProps/ctrlProp1882.xml" ContentType="application/vnd.ms-excel.controlproperties+xml"/>
  <Override PartName="/xl/ctrlProps/ctrlProp1883.xml" ContentType="application/vnd.ms-excel.controlproperties+xml"/>
  <Override PartName="/xl/ctrlProps/ctrlProp1884.xml" ContentType="application/vnd.ms-excel.controlproperties+xml"/>
  <Override PartName="/xl/ctrlProps/ctrlProp1885.xml" ContentType="application/vnd.ms-excel.controlproperties+xml"/>
  <Override PartName="/xl/ctrlProps/ctrlProp1886.xml" ContentType="application/vnd.ms-excel.controlproperties+xml"/>
  <Override PartName="/xl/ctrlProps/ctrlProp1887.xml" ContentType="application/vnd.ms-excel.controlproperties+xml"/>
  <Override PartName="/xl/ctrlProps/ctrlProp1888.xml" ContentType="application/vnd.ms-excel.controlproperties+xml"/>
  <Override PartName="/xl/ctrlProps/ctrlProp1889.xml" ContentType="application/vnd.ms-excel.controlproperties+xml"/>
  <Override PartName="/xl/ctrlProps/ctrlProp1890.xml" ContentType="application/vnd.ms-excel.controlproperties+xml"/>
  <Override PartName="/xl/ctrlProps/ctrlProp1891.xml" ContentType="application/vnd.ms-excel.controlproperties+xml"/>
  <Override PartName="/xl/ctrlProps/ctrlProp1892.xml" ContentType="application/vnd.ms-excel.controlproperties+xml"/>
  <Override PartName="/xl/ctrlProps/ctrlProp1893.xml" ContentType="application/vnd.ms-excel.controlproperties+xml"/>
  <Override PartName="/xl/ctrlProps/ctrlProp1894.xml" ContentType="application/vnd.ms-excel.controlproperties+xml"/>
  <Override PartName="/xl/ctrlProps/ctrlProp1895.xml" ContentType="application/vnd.ms-excel.controlproperties+xml"/>
  <Override PartName="/xl/ctrlProps/ctrlProp1896.xml" ContentType="application/vnd.ms-excel.controlproperties+xml"/>
  <Override PartName="/xl/ctrlProps/ctrlProp1897.xml" ContentType="application/vnd.ms-excel.controlproperties+xml"/>
  <Override PartName="/xl/ctrlProps/ctrlProp1898.xml" ContentType="application/vnd.ms-excel.controlproperties+xml"/>
  <Override PartName="/xl/ctrlProps/ctrlProp1899.xml" ContentType="application/vnd.ms-excel.controlproperties+xml"/>
  <Override PartName="/xl/ctrlProps/ctrlProp1900.xml" ContentType="application/vnd.ms-excel.controlproperties+xml"/>
  <Override PartName="/xl/ctrlProps/ctrlProp1901.xml" ContentType="application/vnd.ms-excel.controlproperties+xml"/>
  <Override PartName="/xl/ctrlProps/ctrlProp1902.xml" ContentType="application/vnd.ms-excel.controlproperties+xml"/>
  <Override PartName="/xl/ctrlProps/ctrlProp1903.xml" ContentType="application/vnd.ms-excel.controlproperties+xml"/>
  <Override PartName="/xl/ctrlProps/ctrlProp1904.xml" ContentType="application/vnd.ms-excel.controlproperties+xml"/>
  <Override PartName="/xl/ctrlProps/ctrlProp1905.xml" ContentType="application/vnd.ms-excel.controlproperties+xml"/>
  <Override PartName="/xl/ctrlProps/ctrlProp1906.xml" ContentType="application/vnd.ms-excel.controlproperties+xml"/>
  <Override PartName="/xl/ctrlProps/ctrlProp1907.xml" ContentType="application/vnd.ms-excel.controlproperties+xml"/>
  <Override PartName="/xl/ctrlProps/ctrlProp1908.xml" ContentType="application/vnd.ms-excel.controlproperties+xml"/>
  <Override PartName="/xl/ctrlProps/ctrlProp1909.xml" ContentType="application/vnd.ms-excel.controlproperties+xml"/>
  <Override PartName="/xl/ctrlProps/ctrlProp1910.xml" ContentType="application/vnd.ms-excel.controlproperties+xml"/>
  <Override PartName="/xl/ctrlProps/ctrlProp1911.xml" ContentType="application/vnd.ms-excel.controlproperties+xml"/>
  <Override PartName="/xl/ctrlProps/ctrlProp1912.xml" ContentType="application/vnd.ms-excel.controlproperties+xml"/>
  <Override PartName="/xl/ctrlProps/ctrlProp1913.xml" ContentType="application/vnd.ms-excel.controlproperties+xml"/>
  <Override PartName="/xl/ctrlProps/ctrlProp1914.xml" ContentType="application/vnd.ms-excel.controlproperties+xml"/>
  <Override PartName="/xl/ctrlProps/ctrlProp1915.xml" ContentType="application/vnd.ms-excel.controlproperties+xml"/>
  <Override PartName="/xl/ctrlProps/ctrlProp1916.xml" ContentType="application/vnd.ms-excel.controlproperties+xml"/>
  <Override PartName="/xl/ctrlProps/ctrlProp1917.xml" ContentType="application/vnd.ms-excel.controlproperties+xml"/>
  <Override PartName="/xl/ctrlProps/ctrlProp1918.xml" ContentType="application/vnd.ms-excel.controlproperties+xml"/>
  <Override PartName="/xl/ctrlProps/ctrlProp1919.xml" ContentType="application/vnd.ms-excel.controlproperties+xml"/>
  <Override PartName="/xl/ctrlProps/ctrlProp1920.xml" ContentType="application/vnd.ms-excel.controlproperties+xml"/>
  <Override PartName="/xl/ctrlProps/ctrlProp1921.xml" ContentType="application/vnd.ms-excel.controlproperties+xml"/>
  <Override PartName="/xl/ctrlProps/ctrlProp1922.xml" ContentType="application/vnd.ms-excel.controlproperties+xml"/>
  <Override PartName="/xl/ctrlProps/ctrlProp1923.xml" ContentType="application/vnd.ms-excel.controlproperties+xml"/>
  <Override PartName="/xl/ctrlProps/ctrlProp1924.xml" ContentType="application/vnd.ms-excel.controlproperties+xml"/>
  <Override PartName="/xl/ctrlProps/ctrlProp1925.xml" ContentType="application/vnd.ms-excel.controlproperties+xml"/>
  <Override PartName="/xl/ctrlProps/ctrlProp1926.xml" ContentType="application/vnd.ms-excel.controlproperties+xml"/>
  <Override PartName="/xl/ctrlProps/ctrlProp1927.xml" ContentType="application/vnd.ms-excel.controlproperties+xml"/>
  <Override PartName="/xl/ctrlProps/ctrlProp1928.xml" ContentType="application/vnd.ms-excel.controlproperties+xml"/>
  <Override PartName="/xl/ctrlProps/ctrlProp1929.xml" ContentType="application/vnd.ms-excel.controlproperties+xml"/>
  <Override PartName="/xl/ctrlProps/ctrlProp1930.xml" ContentType="application/vnd.ms-excel.controlproperties+xml"/>
  <Override PartName="/xl/ctrlProps/ctrlProp1931.xml" ContentType="application/vnd.ms-excel.controlproperties+xml"/>
  <Override PartName="/xl/ctrlProps/ctrlProp1932.xml" ContentType="application/vnd.ms-excel.controlproperties+xml"/>
  <Override PartName="/xl/ctrlProps/ctrlProp1933.xml" ContentType="application/vnd.ms-excel.controlproperties+xml"/>
  <Override PartName="/xl/ctrlProps/ctrlProp1934.xml" ContentType="application/vnd.ms-excel.controlproperties+xml"/>
  <Override PartName="/xl/ctrlProps/ctrlProp1935.xml" ContentType="application/vnd.ms-excel.controlproperties+xml"/>
  <Override PartName="/xl/ctrlProps/ctrlProp1936.xml" ContentType="application/vnd.ms-excel.controlproperties+xml"/>
  <Override PartName="/xl/ctrlProps/ctrlProp1937.xml" ContentType="application/vnd.ms-excel.controlproperties+xml"/>
  <Override PartName="/xl/ctrlProps/ctrlProp1938.xml" ContentType="application/vnd.ms-excel.controlproperties+xml"/>
  <Override PartName="/xl/ctrlProps/ctrlProp1939.xml" ContentType="application/vnd.ms-excel.controlproperties+xml"/>
  <Override PartName="/xl/ctrlProps/ctrlProp1940.xml" ContentType="application/vnd.ms-excel.controlproperties+xml"/>
  <Override PartName="/xl/ctrlProps/ctrlProp1941.xml" ContentType="application/vnd.ms-excel.controlproperties+xml"/>
  <Override PartName="/xl/ctrlProps/ctrlProp1942.xml" ContentType="application/vnd.ms-excel.controlproperties+xml"/>
  <Override PartName="/xl/ctrlProps/ctrlProp1943.xml" ContentType="application/vnd.ms-excel.controlproperties+xml"/>
  <Override PartName="/xl/ctrlProps/ctrlProp1944.xml" ContentType="application/vnd.ms-excel.controlproperties+xml"/>
  <Override PartName="/xl/ctrlProps/ctrlProp1945.xml" ContentType="application/vnd.ms-excel.controlproperties+xml"/>
  <Override PartName="/xl/ctrlProps/ctrlProp1946.xml" ContentType="application/vnd.ms-excel.controlproperties+xml"/>
  <Override PartName="/xl/ctrlProps/ctrlProp1947.xml" ContentType="application/vnd.ms-excel.controlproperties+xml"/>
  <Override PartName="/xl/ctrlProps/ctrlProp1948.xml" ContentType="application/vnd.ms-excel.controlproperties+xml"/>
  <Override PartName="/xl/ctrlProps/ctrlProp1949.xml" ContentType="application/vnd.ms-excel.controlproperties+xml"/>
  <Override PartName="/xl/ctrlProps/ctrlProp1950.xml" ContentType="application/vnd.ms-excel.controlproperties+xml"/>
  <Override PartName="/xl/ctrlProps/ctrlProp1951.xml" ContentType="application/vnd.ms-excel.controlproperties+xml"/>
  <Override PartName="/xl/ctrlProps/ctrlProp1952.xml" ContentType="application/vnd.ms-excel.controlproperties+xml"/>
  <Override PartName="/xl/ctrlProps/ctrlProp1953.xml" ContentType="application/vnd.ms-excel.controlproperties+xml"/>
  <Override PartName="/xl/ctrlProps/ctrlProp1954.xml" ContentType="application/vnd.ms-excel.controlproperties+xml"/>
  <Override PartName="/xl/ctrlProps/ctrlProp1955.xml" ContentType="application/vnd.ms-excel.controlproperties+xml"/>
  <Override PartName="/xl/ctrlProps/ctrlProp1956.xml" ContentType="application/vnd.ms-excel.controlproperties+xml"/>
  <Override PartName="/xl/ctrlProps/ctrlProp1957.xml" ContentType="application/vnd.ms-excel.controlproperties+xml"/>
  <Override PartName="/xl/ctrlProps/ctrlProp1958.xml" ContentType="application/vnd.ms-excel.controlproperties+xml"/>
  <Override PartName="/xl/ctrlProps/ctrlProp1959.xml" ContentType="application/vnd.ms-excel.controlproperties+xml"/>
  <Override PartName="/xl/ctrlProps/ctrlProp1960.xml" ContentType="application/vnd.ms-excel.controlproperties+xml"/>
  <Override PartName="/xl/ctrlProps/ctrlProp1961.xml" ContentType="application/vnd.ms-excel.controlproperties+xml"/>
  <Override PartName="/xl/ctrlProps/ctrlProp1962.xml" ContentType="application/vnd.ms-excel.controlproperties+xml"/>
  <Override PartName="/xl/ctrlProps/ctrlProp1963.xml" ContentType="application/vnd.ms-excel.controlproperties+xml"/>
  <Override PartName="/xl/ctrlProps/ctrlProp1964.xml" ContentType="application/vnd.ms-excel.controlproperties+xml"/>
  <Override PartName="/xl/ctrlProps/ctrlProp1965.xml" ContentType="application/vnd.ms-excel.controlproperties+xml"/>
  <Override PartName="/xl/ctrlProps/ctrlProp1966.xml" ContentType="application/vnd.ms-excel.controlproperties+xml"/>
  <Override PartName="/xl/ctrlProps/ctrlProp1967.xml" ContentType="application/vnd.ms-excel.controlproperties+xml"/>
  <Override PartName="/xl/ctrlProps/ctrlProp1968.xml" ContentType="application/vnd.ms-excel.controlproperties+xml"/>
  <Override PartName="/xl/ctrlProps/ctrlProp1969.xml" ContentType="application/vnd.ms-excel.controlproperties+xml"/>
  <Override PartName="/xl/ctrlProps/ctrlProp1970.xml" ContentType="application/vnd.ms-excel.controlproperties+xml"/>
  <Override PartName="/xl/ctrlProps/ctrlProp1971.xml" ContentType="application/vnd.ms-excel.controlproperties+xml"/>
  <Override PartName="/xl/ctrlProps/ctrlProp1972.xml" ContentType="application/vnd.ms-excel.controlproperties+xml"/>
  <Override PartName="/xl/ctrlProps/ctrlProp1973.xml" ContentType="application/vnd.ms-excel.controlproperties+xml"/>
  <Override PartName="/xl/ctrlProps/ctrlProp1974.xml" ContentType="application/vnd.ms-excel.controlproperties+xml"/>
  <Override PartName="/xl/ctrlProps/ctrlProp1975.xml" ContentType="application/vnd.ms-excel.controlproperties+xml"/>
  <Override PartName="/xl/ctrlProps/ctrlProp1976.xml" ContentType="application/vnd.ms-excel.controlproperties+xml"/>
  <Override PartName="/xl/ctrlProps/ctrlProp1977.xml" ContentType="application/vnd.ms-excel.controlproperties+xml"/>
  <Override PartName="/xl/ctrlProps/ctrlProp1978.xml" ContentType="application/vnd.ms-excel.controlproperties+xml"/>
  <Override PartName="/xl/ctrlProps/ctrlProp1979.xml" ContentType="application/vnd.ms-excel.controlproperties+xml"/>
  <Override PartName="/xl/ctrlProps/ctrlProp1980.xml" ContentType="application/vnd.ms-excel.controlproperties+xml"/>
  <Override PartName="/xl/ctrlProps/ctrlProp1981.xml" ContentType="application/vnd.ms-excel.controlproperties+xml"/>
  <Override PartName="/xl/ctrlProps/ctrlProp1982.xml" ContentType="application/vnd.ms-excel.controlproperties+xml"/>
  <Override PartName="/xl/ctrlProps/ctrlProp1983.xml" ContentType="application/vnd.ms-excel.controlproperties+xml"/>
  <Override PartName="/xl/ctrlProps/ctrlProp1984.xml" ContentType="application/vnd.ms-excel.controlproperties+xml"/>
  <Override PartName="/xl/ctrlProps/ctrlProp1985.xml" ContentType="application/vnd.ms-excel.controlproperties+xml"/>
  <Override PartName="/xl/ctrlProps/ctrlProp1986.xml" ContentType="application/vnd.ms-excel.controlproperties+xml"/>
  <Override PartName="/xl/ctrlProps/ctrlProp1987.xml" ContentType="application/vnd.ms-excel.controlproperties+xml"/>
  <Override PartName="/xl/ctrlProps/ctrlProp1988.xml" ContentType="application/vnd.ms-excel.controlproperties+xml"/>
  <Override PartName="/xl/ctrlProps/ctrlProp1989.xml" ContentType="application/vnd.ms-excel.controlproperties+xml"/>
  <Override PartName="/xl/ctrlProps/ctrlProp1990.xml" ContentType="application/vnd.ms-excel.controlproperties+xml"/>
  <Override PartName="/xl/ctrlProps/ctrlProp1991.xml" ContentType="application/vnd.ms-excel.controlproperties+xml"/>
  <Override PartName="/xl/ctrlProps/ctrlProp1992.xml" ContentType="application/vnd.ms-excel.controlproperties+xml"/>
  <Override PartName="/xl/ctrlProps/ctrlProp1993.xml" ContentType="application/vnd.ms-excel.controlproperties+xml"/>
  <Override PartName="/xl/ctrlProps/ctrlProp1994.xml" ContentType="application/vnd.ms-excel.controlproperties+xml"/>
  <Override PartName="/xl/ctrlProps/ctrlProp1995.xml" ContentType="application/vnd.ms-excel.controlproperties+xml"/>
  <Override PartName="/xl/ctrlProps/ctrlProp1996.xml" ContentType="application/vnd.ms-excel.controlproperties+xml"/>
  <Override PartName="/xl/ctrlProps/ctrlProp1997.xml" ContentType="application/vnd.ms-excel.controlproperties+xml"/>
  <Override PartName="/xl/ctrlProps/ctrlProp1998.xml" ContentType="application/vnd.ms-excel.controlproperties+xml"/>
  <Override PartName="/xl/ctrlProps/ctrlProp1999.xml" ContentType="application/vnd.ms-excel.controlproperties+xml"/>
  <Override PartName="/xl/ctrlProps/ctrlProp2000.xml" ContentType="application/vnd.ms-excel.controlproperties+xml"/>
  <Override PartName="/xl/ctrlProps/ctrlProp2001.xml" ContentType="application/vnd.ms-excel.controlproperties+xml"/>
  <Override PartName="/xl/ctrlProps/ctrlProp2002.xml" ContentType="application/vnd.ms-excel.controlproperties+xml"/>
  <Override PartName="/xl/ctrlProps/ctrlProp2003.xml" ContentType="application/vnd.ms-excel.controlproperties+xml"/>
  <Override PartName="/xl/ctrlProps/ctrlProp2004.xml" ContentType="application/vnd.ms-excel.controlproperties+xml"/>
  <Override PartName="/xl/ctrlProps/ctrlProp2005.xml" ContentType="application/vnd.ms-excel.controlproperties+xml"/>
  <Override PartName="/xl/ctrlProps/ctrlProp2006.xml" ContentType="application/vnd.ms-excel.controlproperties+xml"/>
  <Override PartName="/xl/ctrlProps/ctrlProp2007.xml" ContentType="application/vnd.ms-excel.controlproperties+xml"/>
  <Override PartName="/xl/ctrlProps/ctrlProp2008.xml" ContentType="application/vnd.ms-excel.controlproperties+xml"/>
  <Override PartName="/xl/ctrlProps/ctrlProp2009.xml" ContentType="application/vnd.ms-excel.controlproperties+xml"/>
  <Override PartName="/xl/ctrlProps/ctrlProp2010.xml" ContentType="application/vnd.ms-excel.controlproperties+xml"/>
  <Override PartName="/xl/ctrlProps/ctrlProp2011.xml" ContentType="application/vnd.ms-excel.controlproperties+xml"/>
  <Override PartName="/xl/ctrlProps/ctrlProp2012.xml" ContentType="application/vnd.ms-excel.controlproperties+xml"/>
  <Override PartName="/xl/ctrlProps/ctrlProp2013.xml" ContentType="application/vnd.ms-excel.controlproperties+xml"/>
  <Override PartName="/xl/ctrlProps/ctrlProp2014.xml" ContentType="application/vnd.ms-excel.controlproperties+xml"/>
  <Override PartName="/xl/ctrlProps/ctrlProp2015.xml" ContentType="application/vnd.ms-excel.controlproperties+xml"/>
  <Override PartName="/xl/ctrlProps/ctrlProp2016.xml" ContentType="application/vnd.ms-excel.controlproperties+xml"/>
  <Override PartName="/xl/ctrlProps/ctrlProp2017.xml" ContentType="application/vnd.ms-excel.controlproperties+xml"/>
  <Override PartName="/xl/ctrlProps/ctrlProp2018.xml" ContentType="application/vnd.ms-excel.controlproperties+xml"/>
  <Override PartName="/xl/ctrlProps/ctrlProp2019.xml" ContentType="application/vnd.ms-excel.controlproperties+xml"/>
  <Override PartName="/xl/ctrlProps/ctrlProp2020.xml" ContentType="application/vnd.ms-excel.controlproperties+xml"/>
  <Override PartName="/xl/ctrlProps/ctrlProp2021.xml" ContentType="application/vnd.ms-excel.controlproperties+xml"/>
  <Override PartName="/xl/ctrlProps/ctrlProp2022.xml" ContentType="application/vnd.ms-excel.controlproperties+xml"/>
  <Override PartName="/xl/ctrlProps/ctrlProp2023.xml" ContentType="application/vnd.ms-excel.controlproperties+xml"/>
  <Override PartName="/xl/ctrlProps/ctrlProp2024.xml" ContentType="application/vnd.ms-excel.controlproperties+xml"/>
  <Override PartName="/xl/ctrlProps/ctrlProp2025.xml" ContentType="application/vnd.ms-excel.controlproperties+xml"/>
  <Override PartName="/xl/ctrlProps/ctrlProp2026.xml" ContentType="application/vnd.ms-excel.controlproperties+xml"/>
  <Override PartName="/xl/ctrlProps/ctrlProp2027.xml" ContentType="application/vnd.ms-excel.controlproperties+xml"/>
  <Override PartName="/xl/ctrlProps/ctrlProp2028.xml" ContentType="application/vnd.ms-excel.controlproperties+xml"/>
  <Override PartName="/xl/ctrlProps/ctrlProp2029.xml" ContentType="application/vnd.ms-excel.controlproperties+xml"/>
  <Override PartName="/xl/ctrlProps/ctrlProp2030.xml" ContentType="application/vnd.ms-excel.controlproperties+xml"/>
  <Override PartName="/xl/ctrlProps/ctrlProp2031.xml" ContentType="application/vnd.ms-excel.controlproperties+xml"/>
  <Override PartName="/xl/ctrlProps/ctrlProp2032.xml" ContentType="application/vnd.ms-excel.controlproperties+xml"/>
  <Override PartName="/xl/ctrlProps/ctrlProp2033.xml" ContentType="application/vnd.ms-excel.controlproperties+xml"/>
  <Override PartName="/xl/ctrlProps/ctrlProp2034.xml" ContentType="application/vnd.ms-excel.controlproperties+xml"/>
  <Override PartName="/xl/ctrlProps/ctrlProp2035.xml" ContentType="application/vnd.ms-excel.controlproperties+xml"/>
  <Override PartName="/xl/ctrlProps/ctrlProp2036.xml" ContentType="application/vnd.ms-excel.controlproperties+xml"/>
  <Override PartName="/xl/ctrlProps/ctrlProp2037.xml" ContentType="application/vnd.ms-excel.controlproperties+xml"/>
  <Override PartName="/xl/ctrlProps/ctrlProp2038.xml" ContentType="application/vnd.ms-excel.controlproperties+xml"/>
  <Override PartName="/xl/ctrlProps/ctrlProp2039.xml" ContentType="application/vnd.ms-excel.controlproperties+xml"/>
  <Override PartName="/xl/ctrlProps/ctrlProp2040.xml" ContentType="application/vnd.ms-excel.controlproperties+xml"/>
  <Override PartName="/xl/ctrlProps/ctrlProp2041.xml" ContentType="application/vnd.ms-excel.controlproperties+xml"/>
  <Override PartName="/xl/ctrlProps/ctrlProp2042.xml" ContentType="application/vnd.ms-excel.controlproperties+xml"/>
  <Override PartName="/xl/ctrlProps/ctrlProp2043.xml" ContentType="application/vnd.ms-excel.controlproperties+xml"/>
  <Override PartName="/xl/ctrlProps/ctrlProp2044.xml" ContentType="application/vnd.ms-excel.controlproperties+xml"/>
  <Override PartName="/xl/ctrlProps/ctrlProp2045.xml" ContentType="application/vnd.ms-excel.controlproperties+xml"/>
  <Override PartName="/xl/ctrlProps/ctrlProp2046.xml" ContentType="application/vnd.ms-excel.controlproperties+xml"/>
  <Override PartName="/xl/ctrlProps/ctrlProp2047.xml" ContentType="application/vnd.ms-excel.controlproperties+xml"/>
  <Override PartName="/xl/ctrlProps/ctrlProp2048.xml" ContentType="application/vnd.ms-excel.controlproperties+xml"/>
  <Override PartName="/xl/ctrlProps/ctrlProp2049.xml" ContentType="application/vnd.ms-excel.controlproperties+xml"/>
  <Override PartName="/xl/ctrlProps/ctrlProp2050.xml" ContentType="application/vnd.ms-excel.controlproperties+xml"/>
  <Override PartName="/xl/ctrlProps/ctrlProp2051.xml" ContentType="application/vnd.ms-excel.controlproperties+xml"/>
  <Override PartName="/xl/ctrlProps/ctrlProp2052.xml" ContentType="application/vnd.ms-excel.controlproperties+xml"/>
  <Override PartName="/xl/ctrlProps/ctrlProp2053.xml" ContentType="application/vnd.ms-excel.controlproperties+xml"/>
  <Override PartName="/xl/ctrlProps/ctrlProp2054.xml" ContentType="application/vnd.ms-excel.controlproperties+xml"/>
  <Override PartName="/xl/ctrlProps/ctrlProp2055.xml" ContentType="application/vnd.ms-excel.controlproperties+xml"/>
  <Override PartName="/xl/ctrlProps/ctrlProp2056.xml" ContentType="application/vnd.ms-excel.controlproperties+xml"/>
  <Override PartName="/xl/ctrlProps/ctrlProp2057.xml" ContentType="application/vnd.ms-excel.controlproperties+xml"/>
  <Override PartName="/xl/ctrlProps/ctrlProp2058.xml" ContentType="application/vnd.ms-excel.controlproperties+xml"/>
  <Override PartName="/xl/ctrlProps/ctrlProp2059.xml" ContentType="application/vnd.ms-excel.controlproperties+xml"/>
  <Override PartName="/xl/ctrlProps/ctrlProp2060.xml" ContentType="application/vnd.ms-excel.controlproperties+xml"/>
  <Override PartName="/xl/ctrlProps/ctrlProp2061.xml" ContentType="application/vnd.ms-excel.controlproperties+xml"/>
  <Override PartName="/xl/ctrlProps/ctrlProp2062.xml" ContentType="application/vnd.ms-excel.controlproperties+xml"/>
  <Override PartName="/xl/ctrlProps/ctrlProp2063.xml" ContentType="application/vnd.ms-excel.controlproperties+xml"/>
  <Override PartName="/xl/ctrlProps/ctrlProp2064.xml" ContentType="application/vnd.ms-excel.controlproperties+xml"/>
  <Override PartName="/xl/ctrlProps/ctrlProp2065.xml" ContentType="application/vnd.ms-excel.controlproperties+xml"/>
  <Override PartName="/xl/ctrlProps/ctrlProp2066.xml" ContentType="application/vnd.ms-excel.controlproperties+xml"/>
  <Override PartName="/xl/ctrlProps/ctrlProp2067.xml" ContentType="application/vnd.ms-excel.controlproperties+xml"/>
  <Override PartName="/xl/ctrlProps/ctrlProp2068.xml" ContentType="application/vnd.ms-excel.controlproperties+xml"/>
  <Override PartName="/xl/ctrlProps/ctrlProp2069.xml" ContentType="application/vnd.ms-excel.controlproperties+xml"/>
  <Override PartName="/xl/ctrlProps/ctrlProp2070.xml" ContentType="application/vnd.ms-excel.controlproperties+xml"/>
  <Override PartName="/xl/ctrlProps/ctrlProp2071.xml" ContentType="application/vnd.ms-excel.controlproperties+xml"/>
  <Override PartName="/xl/ctrlProps/ctrlProp2072.xml" ContentType="application/vnd.ms-excel.controlproperties+xml"/>
  <Override PartName="/xl/ctrlProps/ctrlProp2073.xml" ContentType="application/vnd.ms-excel.controlproperties+xml"/>
  <Override PartName="/xl/ctrlProps/ctrlProp2074.xml" ContentType="application/vnd.ms-excel.controlproperties+xml"/>
  <Override PartName="/xl/ctrlProps/ctrlProp2075.xml" ContentType="application/vnd.ms-excel.controlproperties+xml"/>
  <Override PartName="/xl/ctrlProps/ctrlProp2076.xml" ContentType="application/vnd.ms-excel.controlproperties+xml"/>
  <Override PartName="/xl/ctrlProps/ctrlProp2077.xml" ContentType="application/vnd.ms-excel.controlproperties+xml"/>
  <Override PartName="/xl/ctrlProps/ctrlProp2078.xml" ContentType="application/vnd.ms-excel.controlproperties+xml"/>
  <Override PartName="/xl/ctrlProps/ctrlProp2079.xml" ContentType="application/vnd.ms-excel.controlproperties+xml"/>
  <Override PartName="/xl/ctrlProps/ctrlProp2080.xml" ContentType="application/vnd.ms-excel.controlproperties+xml"/>
  <Override PartName="/xl/ctrlProps/ctrlProp2081.xml" ContentType="application/vnd.ms-excel.controlproperties+xml"/>
  <Override PartName="/xl/ctrlProps/ctrlProp2082.xml" ContentType="application/vnd.ms-excel.controlproperties+xml"/>
  <Override PartName="/xl/ctrlProps/ctrlProp2083.xml" ContentType="application/vnd.ms-excel.controlproperties+xml"/>
  <Override PartName="/xl/ctrlProps/ctrlProp2084.xml" ContentType="application/vnd.ms-excel.controlproperties+xml"/>
  <Override PartName="/xl/ctrlProps/ctrlProp2085.xml" ContentType="application/vnd.ms-excel.controlproperties+xml"/>
  <Override PartName="/xl/ctrlProps/ctrlProp2086.xml" ContentType="application/vnd.ms-excel.controlproperties+xml"/>
  <Override PartName="/xl/ctrlProps/ctrlProp2087.xml" ContentType="application/vnd.ms-excel.controlproperties+xml"/>
  <Override PartName="/xl/ctrlProps/ctrlProp2088.xml" ContentType="application/vnd.ms-excel.controlproperties+xml"/>
  <Override PartName="/xl/ctrlProps/ctrlProp2089.xml" ContentType="application/vnd.ms-excel.controlproperties+xml"/>
  <Override PartName="/xl/ctrlProps/ctrlProp2090.xml" ContentType="application/vnd.ms-excel.controlproperties+xml"/>
  <Override PartName="/xl/ctrlProps/ctrlProp2091.xml" ContentType="application/vnd.ms-excel.controlproperties+xml"/>
  <Override PartName="/xl/ctrlProps/ctrlProp2092.xml" ContentType="application/vnd.ms-excel.controlproperties+xml"/>
  <Override PartName="/xl/ctrlProps/ctrlProp2093.xml" ContentType="application/vnd.ms-excel.controlproperties+xml"/>
  <Override PartName="/xl/ctrlProps/ctrlProp2094.xml" ContentType="application/vnd.ms-excel.controlproperties+xml"/>
  <Override PartName="/xl/ctrlProps/ctrlProp2095.xml" ContentType="application/vnd.ms-excel.controlproperties+xml"/>
  <Override PartName="/xl/ctrlProps/ctrlProp2096.xml" ContentType="application/vnd.ms-excel.controlproperties+xml"/>
  <Override PartName="/xl/ctrlProps/ctrlProp2097.xml" ContentType="application/vnd.ms-excel.controlproperties+xml"/>
  <Override PartName="/xl/ctrlProps/ctrlProp2098.xml" ContentType="application/vnd.ms-excel.controlproperties+xml"/>
  <Override PartName="/xl/ctrlProps/ctrlProp2099.xml" ContentType="application/vnd.ms-excel.controlproperties+xml"/>
  <Override PartName="/xl/ctrlProps/ctrlProp2100.xml" ContentType="application/vnd.ms-excel.controlproperties+xml"/>
  <Override PartName="/xl/ctrlProps/ctrlProp2101.xml" ContentType="application/vnd.ms-excel.controlproperties+xml"/>
  <Override PartName="/xl/ctrlProps/ctrlProp2102.xml" ContentType="application/vnd.ms-excel.controlproperties+xml"/>
  <Override PartName="/xl/ctrlProps/ctrlProp2103.xml" ContentType="application/vnd.ms-excel.controlproperties+xml"/>
  <Override PartName="/xl/ctrlProps/ctrlProp2104.xml" ContentType="application/vnd.ms-excel.controlproperties+xml"/>
  <Override PartName="/xl/ctrlProps/ctrlProp2105.xml" ContentType="application/vnd.ms-excel.controlproperties+xml"/>
  <Override PartName="/xl/ctrlProps/ctrlProp2106.xml" ContentType="application/vnd.ms-excel.controlproperties+xml"/>
  <Override PartName="/xl/ctrlProps/ctrlProp2107.xml" ContentType="application/vnd.ms-excel.controlproperties+xml"/>
  <Override PartName="/xl/ctrlProps/ctrlProp2108.xml" ContentType="application/vnd.ms-excel.controlproperties+xml"/>
  <Override PartName="/xl/ctrlProps/ctrlProp2109.xml" ContentType="application/vnd.ms-excel.controlproperties+xml"/>
  <Override PartName="/xl/ctrlProps/ctrlProp2110.xml" ContentType="application/vnd.ms-excel.controlproperties+xml"/>
  <Override PartName="/xl/ctrlProps/ctrlProp2111.xml" ContentType="application/vnd.ms-excel.controlproperties+xml"/>
  <Override PartName="/xl/ctrlProps/ctrlProp2112.xml" ContentType="application/vnd.ms-excel.controlproperties+xml"/>
  <Override PartName="/xl/ctrlProps/ctrlProp2113.xml" ContentType="application/vnd.ms-excel.controlproperties+xml"/>
  <Override PartName="/xl/ctrlProps/ctrlProp2114.xml" ContentType="application/vnd.ms-excel.controlproperties+xml"/>
  <Override PartName="/xl/ctrlProps/ctrlProp2115.xml" ContentType="application/vnd.ms-excel.controlproperties+xml"/>
  <Override PartName="/xl/ctrlProps/ctrlProp2116.xml" ContentType="application/vnd.ms-excel.controlproperties+xml"/>
  <Override PartName="/xl/ctrlProps/ctrlProp2117.xml" ContentType="application/vnd.ms-excel.controlproperties+xml"/>
  <Override PartName="/xl/ctrlProps/ctrlProp2118.xml" ContentType="application/vnd.ms-excel.controlproperties+xml"/>
  <Override PartName="/xl/ctrlProps/ctrlProp2119.xml" ContentType="application/vnd.ms-excel.controlproperties+xml"/>
  <Override PartName="/xl/ctrlProps/ctrlProp2120.xml" ContentType="application/vnd.ms-excel.controlproperties+xml"/>
  <Override PartName="/xl/ctrlProps/ctrlProp2121.xml" ContentType="application/vnd.ms-excel.controlproperties+xml"/>
  <Override PartName="/xl/ctrlProps/ctrlProp2122.xml" ContentType="application/vnd.ms-excel.controlproperties+xml"/>
  <Override PartName="/xl/ctrlProps/ctrlProp2123.xml" ContentType="application/vnd.ms-excel.controlproperties+xml"/>
  <Override PartName="/xl/ctrlProps/ctrlProp2124.xml" ContentType="application/vnd.ms-excel.controlproperties+xml"/>
  <Override PartName="/xl/ctrlProps/ctrlProp2125.xml" ContentType="application/vnd.ms-excel.controlproperties+xml"/>
  <Override PartName="/xl/ctrlProps/ctrlProp2126.xml" ContentType="application/vnd.ms-excel.controlproperties+xml"/>
  <Override PartName="/xl/ctrlProps/ctrlProp2127.xml" ContentType="application/vnd.ms-excel.controlproperties+xml"/>
  <Override PartName="/xl/ctrlProps/ctrlProp2128.xml" ContentType="application/vnd.ms-excel.controlproperties+xml"/>
  <Override PartName="/xl/ctrlProps/ctrlProp2129.xml" ContentType="application/vnd.ms-excel.controlproperties+xml"/>
  <Override PartName="/xl/ctrlProps/ctrlProp2130.xml" ContentType="application/vnd.ms-excel.controlproperties+xml"/>
  <Override PartName="/xl/ctrlProps/ctrlProp2131.xml" ContentType="application/vnd.ms-excel.controlproperties+xml"/>
  <Override PartName="/xl/ctrlProps/ctrlProp2132.xml" ContentType="application/vnd.ms-excel.controlproperties+xml"/>
  <Override PartName="/xl/ctrlProps/ctrlProp2133.xml" ContentType="application/vnd.ms-excel.controlproperties+xml"/>
  <Override PartName="/xl/ctrlProps/ctrlProp2134.xml" ContentType="application/vnd.ms-excel.controlproperties+xml"/>
  <Override PartName="/xl/ctrlProps/ctrlProp2135.xml" ContentType="application/vnd.ms-excel.controlproperties+xml"/>
  <Override PartName="/xl/ctrlProps/ctrlProp2136.xml" ContentType="application/vnd.ms-excel.controlproperties+xml"/>
  <Override PartName="/xl/ctrlProps/ctrlProp2137.xml" ContentType="application/vnd.ms-excel.controlproperties+xml"/>
  <Override PartName="/xl/ctrlProps/ctrlProp2138.xml" ContentType="application/vnd.ms-excel.controlproperties+xml"/>
  <Override PartName="/xl/ctrlProps/ctrlProp2139.xml" ContentType="application/vnd.ms-excel.controlproperties+xml"/>
  <Override PartName="/xl/ctrlProps/ctrlProp2140.xml" ContentType="application/vnd.ms-excel.controlproperties+xml"/>
  <Override PartName="/xl/ctrlProps/ctrlProp2141.xml" ContentType="application/vnd.ms-excel.controlproperties+xml"/>
  <Override PartName="/xl/ctrlProps/ctrlProp2142.xml" ContentType="application/vnd.ms-excel.controlproperties+xml"/>
  <Override PartName="/xl/ctrlProps/ctrlProp2143.xml" ContentType="application/vnd.ms-excel.controlproperties+xml"/>
  <Override PartName="/xl/ctrlProps/ctrlProp2144.xml" ContentType="application/vnd.ms-excel.controlproperties+xml"/>
  <Override PartName="/xl/ctrlProps/ctrlProp2145.xml" ContentType="application/vnd.ms-excel.controlproperties+xml"/>
  <Override PartName="/xl/ctrlProps/ctrlProp2146.xml" ContentType="application/vnd.ms-excel.controlproperties+xml"/>
  <Override PartName="/xl/ctrlProps/ctrlProp2147.xml" ContentType="application/vnd.ms-excel.controlproperties+xml"/>
  <Override PartName="/xl/ctrlProps/ctrlProp2148.xml" ContentType="application/vnd.ms-excel.controlproperties+xml"/>
  <Override PartName="/xl/ctrlProps/ctrlProp2149.xml" ContentType="application/vnd.ms-excel.controlproperties+xml"/>
  <Override PartName="/xl/ctrlProps/ctrlProp2150.xml" ContentType="application/vnd.ms-excel.controlproperties+xml"/>
  <Override PartName="/xl/ctrlProps/ctrlProp2151.xml" ContentType="application/vnd.ms-excel.controlproperties+xml"/>
  <Override PartName="/xl/ctrlProps/ctrlProp2152.xml" ContentType="application/vnd.ms-excel.controlproperties+xml"/>
  <Override PartName="/xl/ctrlProps/ctrlProp2153.xml" ContentType="application/vnd.ms-excel.controlproperties+xml"/>
  <Override PartName="/xl/ctrlProps/ctrlProp2154.xml" ContentType="application/vnd.ms-excel.controlproperties+xml"/>
  <Override PartName="/xl/ctrlProps/ctrlProp2155.xml" ContentType="application/vnd.ms-excel.controlproperties+xml"/>
  <Override PartName="/xl/ctrlProps/ctrlProp2156.xml" ContentType="application/vnd.ms-excel.controlproperties+xml"/>
  <Override PartName="/xl/ctrlProps/ctrlProp2157.xml" ContentType="application/vnd.ms-excel.controlproperties+xml"/>
  <Override PartName="/xl/ctrlProps/ctrlProp2158.xml" ContentType="application/vnd.ms-excel.controlproperties+xml"/>
  <Override PartName="/xl/ctrlProps/ctrlProp2159.xml" ContentType="application/vnd.ms-excel.controlproperties+xml"/>
  <Override PartName="/xl/ctrlProps/ctrlProp2160.xml" ContentType="application/vnd.ms-excel.controlproperties+xml"/>
  <Override PartName="/xl/ctrlProps/ctrlProp2161.xml" ContentType="application/vnd.ms-excel.controlproperties+xml"/>
  <Override PartName="/xl/ctrlProps/ctrlProp2162.xml" ContentType="application/vnd.ms-excel.controlproperties+xml"/>
  <Override PartName="/xl/ctrlProps/ctrlProp2163.xml" ContentType="application/vnd.ms-excel.controlproperties+xml"/>
  <Override PartName="/xl/ctrlProps/ctrlProp2164.xml" ContentType="application/vnd.ms-excel.controlproperties+xml"/>
  <Override PartName="/xl/ctrlProps/ctrlProp2165.xml" ContentType="application/vnd.ms-excel.controlproperties+xml"/>
  <Override PartName="/xl/ctrlProps/ctrlProp2166.xml" ContentType="application/vnd.ms-excel.controlproperties+xml"/>
  <Override PartName="/xl/ctrlProps/ctrlProp2167.xml" ContentType="application/vnd.ms-excel.controlproperties+xml"/>
  <Override PartName="/xl/ctrlProps/ctrlProp2168.xml" ContentType="application/vnd.ms-excel.controlproperties+xml"/>
  <Override PartName="/xl/ctrlProps/ctrlProp2169.xml" ContentType="application/vnd.ms-excel.controlproperties+xml"/>
  <Override PartName="/xl/ctrlProps/ctrlProp2170.xml" ContentType="application/vnd.ms-excel.controlproperties+xml"/>
  <Override PartName="/xl/ctrlProps/ctrlProp2171.xml" ContentType="application/vnd.ms-excel.controlproperties+xml"/>
  <Override PartName="/xl/ctrlProps/ctrlProp2172.xml" ContentType="application/vnd.ms-excel.controlproperties+xml"/>
  <Override PartName="/xl/ctrlProps/ctrlProp2173.xml" ContentType="application/vnd.ms-excel.controlproperties+xml"/>
  <Override PartName="/xl/ctrlProps/ctrlProp2174.xml" ContentType="application/vnd.ms-excel.controlproperties+xml"/>
  <Override PartName="/xl/ctrlProps/ctrlProp2175.xml" ContentType="application/vnd.ms-excel.controlproperties+xml"/>
  <Override PartName="/xl/ctrlProps/ctrlProp2176.xml" ContentType="application/vnd.ms-excel.controlproperties+xml"/>
  <Override PartName="/xl/ctrlProps/ctrlProp2177.xml" ContentType="application/vnd.ms-excel.controlproperties+xml"/>
  <Override PartName="/xl/ctrlProps/ctrlProp2178.xml" ContentType="application/vnd.ms-excel.controlproperties+xml"/>
  <Override PartName="/xl/ctrlProps/ctrlProp2179.xml" ContentType="application/vnd.ms-excel.controlproperties+xml"/>
  <Override PartName="/xl/ctrlProps/ctrlProp2180.xml" ContentType="application/vnd.ms-excel.controlproperties+xml"/>
  <Override PartName="/xl/ctrlProps/ctrlProp2181.xml" ContentType="application/vnd.ms-excel.controlproperties+xml"/>
  <Override PartName="/xl/ctrlProps/ctrlProp2182.xml" ContentType="application/vnd.ms-excel.controlproperties+xml"/>
  <Override PartName="/xl/ctrlProps/ctrlProp2183.xml" ContentType="application/vnd.ms-excel.controlproperties+xml"/>
  <Override PartName="/xl/ctrlProps/ctrlProp2184.xml" ContentType="application/vnd.ms-excel.controlproperties+xml"/>
  <Override PartName="/xl/ctrlProps/ctrlProp2185.xml" ContentType="application/vnd.ms-excel.controlproperties+xml"/>
  <Override PartName="/xl/ctrlProps/ctrlProp2186.xml" ContentType="application/vnd.ms-excel.controlproperties+xml"/>
  <Override PartName="/xl/ctrlProps/ctrlProp2187.xml" ContentType="application/vnd.ms-excel.controlproperties+xml"/>
  <Override PartName="/xl/ctrlProps/ctrlProp2188.xml" ContentType="application/vnd.ms-excel.controlproperties+xml"/>
  <Override PartName="/xl/ctrlProps/ctrlProp2189.xml" ContentType="application/vnd.ms-excel.controlproperties+xml"/>
  <Override PartName="/xl/ctrlProps/ctrlProp2190.xml" ContentType="application/vnd.ms-excel.controlproperties+xml"/>
  <Override PartName="/xl/ctrlProps/ctrlProp2191.xml" ContentType="application/vnd.ms-excel.controlproperties+xml"/>
  <Override PartName="/xl/ctrlProps/ctrlProp2192.xml" ContentType="application/vnd.ms-excel.controlproperties+xml"/>
  <Override PartName="/xl/ctrlProps/ctrlProp2193.xml" ContentType="application/vnd.ms-excel.controlproperties+xml"/>
  <Override PartName="/xl/ctrlProps/ctrlProp2194.xml" ContentType="application/vnd.ms-excel.controlproperties+xml"/>
  <Override PartName="/xl/ctrlProps/ctrlProp2195.xml" ContentType="application/vnd.ms-excel.controlproperties+xml"/>
  <Override PartName="/xl/ctrlProps/ctrlProp2196.xml" ContentType="application/vnd.ms-excel.controlproperties+xml"/>
  <Override PartName="/xl/ctrlProps/ctrlProp2197.xml" ContentType="application/vnd.ms-excel.controlproperties+xml"/>
  <Override PartName="/xl/ctrlProps/ctrlProp2198.xml" ContentType="application/vnd.ms-excel.controlproperties+xml"/>
  <Override PartName="/xl/ctrlProps/ctrlProp2199.xml" ContentType="application/vnd.ms-excel.controlproperties+xml"/>
  <Override PartName="/xl/ctrlProps/ctrlProp2200.xml" ContentType="application/vnd.ms-excel.controlproperties+xml"/>
  <Override PartName="/xl/ctrlProps/ctrlProp2201.xml" ContentType="application/vnd.ms-excel.controlproperties+xml"/>
  <Override PartName="/xl/ctrlProps/ctrlProp2202.xml" ContentType="application/vnd.ms-excel.controlproperties+xml"/>
  <Override PartName="/xl/ctrlProps/ctrlProp2203.xml" ContentType="application/vnd.ms-excel.controlproperties+xml"/>
  <Override PartName="/xl/ctrlProps/ctrlProp2204.xml" ContentType="application/vnd.ms-excel.controlproperties+xml"/>
  <Override PartName="/xl/ctrlProps/ctrlProp2205.xml" ContentType="application/vnd.ms-excel.controlproperties+xml"/>
  <Override PartName="/xl/ctrlProps/ctrlProp2206.xml" ContentType="application/vnd.ms-excel.controlproperties+xml"/>
  <Override PartName="/xl/ctrlProps/ctrlProp2207.xml" ContentType="application/vnd.ms-excel.controlproperties+xml"/>
  <Override PartName="/xl/ctrlProps/ctrlProp2208.xml" ContentType="application/vnd.ms-excel.controlproperties+xml"/>
  <Override PartName="/xl/ctrlProps/ctrlProp2209.xml" ContentType="application/vnd.ms-excel.controlproperties+xml"/>
  <Override PartName="/xl/ctrlProps/ctrlProp2210.xml" ContentType="application/vnd.ms-excel.controlproperties+xml"/>
  <Override PartName="/xl/ctrlProps/ctrlProp2211.xml" ContentType="application/vnd.ms-excel.controlproperties+xml"/>
  <Override PartName="/xl/ctrlProps/ctrlProp2212.xml" ContentType="application/vnd.ms-excel.controlproperties+xml"/>
  <Override PartName="/xl/ctrlProps/ctrlProp2213.xml" ContentType="application/vnd.ms-excel.controlproperties+xml"/>
  <Override PartName="/xl/ctrlProps/ctrlProp2214.xml" ContentType="application/vnd.ms-excel.controlproperties+xml"/>
  <Override PartName="/xl/ctrlProps/ctrlProp2215.xml" ContentType="application/vnd.ms-excel.controlproperties+xml"/>
  <Override PartName="/xl/ctrlProps/ctrlProp2216.xml" ContentType="application/vnd.ms-excel.controlproperties+xml"/>
  <Override PartName="/xl/ctrlProps/ctrlProp2217.xml" ContentType="application/vnd.ms-excel.controlproperties+xml"/>
  <Override PartName="/xl/ctrlProps/ctrlProp2218.xml" ContentType="application/vnd.ms-excel.controlproperties+xml"/>
  <Override PartName="/xl/ctrlProps/ctrlProp2219.xml" ContentType="application/vnd.ms-excel.controlproperties+xml"/>
  <Override PartName="/xl/ctrlProps/ctrlProp2220.xml" ContentType="application/vnd.ms-excel.controlproperties+xml"/>
  <Override PartName="/xl/ctrlProps/ctrlProp2221.xml" ContentType="application/vnd.ms-excel.controlproperties+xml"/>
  <Override PartName="/xl/ctrlProps/ctrlProp2222.xml" ContentType="application/vnd.ms-excel.controlproperties+xml"/>
  <Override PartName="/xl/ctrlProps/ctrlProp2223.xml" ContentType="application/vnd.ms-excel.controlproperties+xml"/>
  <Override PartName="/xl/ctrlProps/ctrlProp2224.xml" ContentType="application/vnd.ms-excel.controlproperties+xml"/>
  <Override PartName="/xl/ctrlProps/ctrlProp2225.xml" ContentType="application/vnd.ms-excel.controlproperties+xml"/>
  <Override PartName="/xl/ctrlProps/ctrlProp2226.xml" ContentType="application/vnd.ms-excel.controlproperties+xml"/>
  <Override PartName="/xl/ctrlProps/ctrlProp2227.xml" ContentType="application/vnd.ms-excel.controlproperties+xml"/>
  <Override PartName="/xl/ctrlProps/ctrlProp2228.xml" ContentType="application/vnd.ms-excel.controlproperties+xml"/>
  <Override PartName="/xl/ctrlProps/ctrlProp2229.xml" ContentType="application/vnd.ms-excel.controlproperties+xml"/>
  <Override PartName="/xl/ctrlProps/ctrlProp2230.xml" ContentType="application/vnd.ms-excel.controlproperties+xml"/>
  <Override PartName="/xl/ctrlProps/ctrlProp2231.xml" ContentType="application/vnd.ms-excel.controlproperties+xml"/>
  <Override PartName="/xl/ctrlProps/ctrlProp2232.xml" ContentType="application/vnd.ms-excel.controlproperties+xml"/>
  <Override PartName="/xl/ctrlProps/ctrlProp2233.xml" ContentType="application/vnd.ms-excel.controlproperties+xml"/>
  <Override PartName="/xl/ctrlProps/ctrlProp2234.xml" ContentType="application/vnd.ms-excel.controlproperties+xml"/>
  <Override PartName="/xl/ctrlProps/ctrlProp2235.xml" ContentType="application/vnd.ms-excel.controlproperties+xml"/>
  <Override PartName="/xl/ctrlProps/ctrlProp2236.xml" ContentType="application/vnd.ms-excel.controlproperties+xml"/>
  <Override PartName="/xl/ctrlProps/ctrlProp2237.xml" ContentType="application/vnd.ms-excel.controlproperties+xml"/>
  <Override PartName="/xl/ctrlProps/ctrlProp2238.xml" ContentType="application/vnd.ms-excel.controlproperties+xml"/>
  <Override PartName="/xl/ctrlProps/ctrlProp2239.xml" ContentType="application/vnd.ms-excel.controlproperties+xml"/>
  <Override PartName="/xl/ctrlProps/ctrlProp2240.xml" ContentType="application/vnd.ms-excel.controlproperties+xml"/>
  <Override PartName="/xl/ctrlProps/ctrlProp2241.xml" ContentType="application/vnd.ms-excel.controlproperties+xml"/>
  <Override PartName="/xl/ctrlProps/ctrlProp2242.xml" ContentType="application/vnd.ms-excel.controlproperties+xml"/>
  <Override PartName="/xl/ctrlProps/ctrlProp2243.xml" ContentType="application/vnd.ms-excel.controlproperties+xml"/>
  <Override PartName="/xl/ctrlProps/ctrlProp2244.xml" ContentType="application/vnd.ms-excel.controlproperties+xml"/>
  <Override PartName="/xl/ctrlProps/ctrlProp2245.xml" ContentType="application/vnd.ms-excel.controlproperties+xml"/>
  <Override PartName="/xl/ctrlProps/ctrlProp2246.xml" ContentType="application/vnd.ms-excel.controlproperties+xml"/>
  <Override PartName="/xl/ctrlProps/ctrlProp2247.xml" ContentType="application/vnd.ms-excel.controlproperties+xml"/>
  <Override PartName="/xl/ctrlProps/ctrlProp2248.xml" ContentType="application/vnd.ms-excel.controlproperties+xml"/>
  <Override PartName="/xl/ctrlProps/ctrlProp2249.xml" ContentType="application/vnd.ms-excel.controlproperties+xml"/>
  <Override PartName="/xl/ctrlProps/ctrlProp2250.xml" ContentType="application/vnd.ms-excel.controlproperties+xml"/>
  <Override PartName="/xl/ctrlProps/ctrlProp2251.xml" ContentType="application/vnd.ms-excel.controlproperties+xml"/>
  <Override PartName="/xl/ctrlProps/ctrlProp2252.xml" ContentType="application/vnd.ms-excel.controlproperties+xml"/>
  <Override PartName="/xl/ctrlProps/ctrlProp2253.xml" ContentType="application/vnd.ms-excel.controlproperties+xml"/>
  <Override PartName="/xl/ctrlProps/ctrlProp2254.xml" ContentType="application/vnd.ms-excel.controlproperties+xml"/>
  <Override PartName="/xl/ctrlProps/ctrlProp2255.xml" ContentType="application/vnd.ms-excel.controlproperties+xml"/>
  <Override PartName="/xl/ctrlProps/ctrlProp2256.xml" ContentType="application/vnd.ms-excel.controlproperties+xml"/>
  <Override PartName="/xl/ctrlProps/ctrlProp2257.xml" ContentType="application/vnd.ms-excel.controlproperties+xml"/>
  <Override PartName="/xl/ctrlProps/ctrlProp2258.xml" ContentType="application/vnd.ms-excel.controlproperties+xml"/>
  <Override PartName="/xl/ctrlProps/ctrlProp2259.xml" ContentType="application/vnd.ms-excel.controlproperties+xml"/>
  <Override PartName="/xl/ctrlProps/ctrlProp2260.xml" ContentType="application/vnd.ms-excel.controlproperties+xml"/>
  <Override PartName="/xl/ctrlProps/ctrlProp2261.xml" ContentType="application/vnd.ms-excel.controlproperties+xml"/>
  <Override PartName="/xl/ctrlProps/ctrlProp2262.xml" ContentType="application/vnd.ms-excel.controlproperties+xml"/>
  <Override PartName="/xl/ctrlProps/ctrlProp2263.xml" ContentType="application/vnd.ms-excel.controlproperties+xml"/>
  <Override PartName="/xl/ctrlProps/ctrlProp2264.xml" ContentType="application/vnd.ms-excel.controlproperties+xml"/>
  <Override PartName="/xl/ctrlProps/ctrlProp2265.xml" ContentType="application/vnd.ms-excel.controlproperties+xml"/>
  <Override PartName="/xl/ctrlProps/ctrlProp2266.xml" ContentType="application/vnd.ms-excel.controlproperties+xml"/>
  <Override PartName="/xl/ctrlProps/ctrlProp2267.xml" ContentType="application/vnd.ms-excel.controlproperties+xml"/>
  <Override PartName="/xl/ctrlProps/ctrlProp2268.xml" ContentType="application/vnd.ms-excel.controlproperties+xml"/>
  <Override PartName="/xl/ctrlProps/ctrlProp2269.xml" ContentType="application/vnd.ms-excel.controlproperties+xml"/>
  <Override PartName="/xl/ctrlProps/ctrlProp2270.xml" ContentType="application/vnd.ms-excel.controlproperties+xml"/>
  <Override PartName="/xl/ctrlProps/ctrlProp2271.xml" ContentType="application/vnd.ms-excel.controlproperties+xml"/>
  <Override PartName="/xl/ctrlProps/ctrlProp2272.xml" ContentType="application/vnd.ms-excel.controlproperties+xml"/>
  <Override PartName="/xl/ctrlProps/ctrlProp2273.xml" ContentType="application/vnd.ms-excel.controlproperties+xml"/>
  <Override PartName="/xl/ctrlProps/ctrlProp2274.xml" ContentType="application/vnd.ms-excel.controlproperties+xml"/>
  <Override PartName="/xl/ctrlProps/ctrlProp2275.xml" ContentType="application/vnd.ms-excel.controlproperties+xml"/>
  <Override PartName="/xl/ctrlProps/ctrlProp2276.xml" ContentType="application/vnd.ms-excel.controlproperties+xml"/>
  <Override PartName="/xl/ctrlProps/ctrlProp2277.xml" ContentType="application/vnd.ms-excel.controlproperties+xml"/>
  <Override PartName="/xl/ctrlProps/ctrlProp2278.xml" ContentType="application/vnd.ms-excel.controlproperties+xml"/>
  <Override PartName="/xl/ctrlProps/ctrlProp2279.xml" ContentType="application/vnd.ms-excel.controlproperties+xml"/>
  <Override PartName="/xl/ctrlProps/ctrlProp2280.xml" ContentType="application/vnd.ms-excel.controlproperties+xml"/>
  <Override PartName="/xl/ctrlProps/ctrlProp2281.xml" ContentType="application/vnd.ms-excel.controlproperties+xml"/>
  <Override PartName="/xl/ctrlProps/ctrlProp2282.xml" ContentType="application/vnd.ms-excel.controlproperties+xml"/>
  <Override PartName="/xl/ctrlProps/ctrlProp2283.xml" ContentType="application/vnd.ms-excel.controlproperties+xml"/>
  <Override PartName="/xl/ctrlProps/ctrlProp2284.xml" ContentType="application/vnd.ms-excel.controlproperties+xml"/>
  <Override PartName="/xl/ctrlProps/ctrlProp2285.xml" ContentType="application/vnd.ms-excel.controlproperties+xml"/>
  <Override PartName="/xl/ctrlProps/ctrlProp2286.xml" ContentType="application/vnd.ms-excel.controlproperties+xml"/>
  <Override PartName="/xl/ctrlProps/ctrlProp2287.xml" ContentType="application/vnd.ms-excel.controlproperties+xml"/>
  <Override PartName="/xl/ctrlProps/ctrlProp2288.xml" ContentType="application/vnd.ms-excel.controlproperties+xml"/>
  <Override PartName="/xl/ctrlProps/ctrlProp2289.xml" ContentType="application/vnd.ms-excel.controlproperties+xml"/>
  <Override PartName="/xl/ctrlProps/ctrlProp2290.xml" ContentType="application/vnd.ms-excel.controlproperties+xml"/>
  <Override PartName="/xl/ctrlProps/ctrlProp2291.xml" ContentType="application/vnd.ms-excel.controlproperties+xml"/>
  <Override PartName="/xl/ctrlProps/ctrlProp2292.xml" ContentType="application/vnd.ms-excel.controlproperties+xml"/>
  <Override PartName="/xl/ctrlProps/ctrlProp2293.xml" ContentType="application/vnd.ms-excel.controlproperties+xml"/>
  <Override PartName="/xl/ctrlProps/ctrlProp2294.xml" ContentType="application/vnd.ms-excel.controlproperties+xml"/>
  <Override PartName="/xl/ctrlProps/ctrlProp2295.xml" ContentType="application/vnd.ms-excel.controlproperties+xml"/>
  <Override PartName="/xl/ctrlProps/ctrlProp2296.xml" ContentType="application/vnd.ms-excel.controlproperties+xml"/>
  <Override PartName="/xl/ctrlProps/ctrlProp2297.xml" ContentType="application/vnd.ms-excel.controlproperties+xml"/>
  <Override PartName="/xl/ctrlProps/ctrlProp2298.xml" ContentType="application/vnd.ms-excel.controlproperties+xml"/>
  <Override PartName="/xl/ctrlProps/ctrlProp2299.xml" ContentType="application/vnd.ms-excel.controlproperties+xml"/>
  <Override PartName="/xl/ctrlProps/ctrlProp2300.xml" ContentType="application/vnd.ms-excel.controlproperties+xml"/>
  <Override PartName="/xl/ctrlProps/ctrlProp2301.xml" ContentType="application/vnd.ms-excel.controlproperties+xml"/>
  <Override PartName="/xl/ctrlProps/ctrlProp2302.xml" ContentType="application/vnd.ms-excel.controlproperties+xml"/>
  <Override PartName="/xl/ctrlProps/ctrlProp2303.xml" ContentType="application/vnd.ms-excel.controlproperties+xml"/>
  <Override PartName="/xl/ctrlProps/ctrlProp2304.xml" ContentType="application/vnd.ms-excel.controlproperties+xml"/>
  <Override PartName="/xl/ctrlProps/ctrlProp2305.xml" ContentType="application/vnd.ms-excel.controlproperties+xml"/>
  <Override PartName="/xl/ctrlProps/ctrlProp2306.xml" ContentType="application/vnd.ms-excel.controlproperties+xml"/>
  <Override PartName="/xl/ctrlProps/ctrlProp2307.xml" ContentType="application/vnd.ms-excel.controlproperties+xml"/>
  <Override PartName="/xl/ctrlProps/ctrlProp2308.xml" ContentType="application/vnd.ms-excel.controlproperties+xml"/>
  <Override PartName="/xl/ctrlProps/ctrlProp2309.xml" ContentType="application/vnd.ms-excel.controlproperties+xml"/>
  <Override PartName="/xl/ctrlProps/ctrlProp2310.xml" ContentType="application/vnd.ms-excel.controlproperties+xml"/>
  <Override PartName="/xl/ctrlProps/ctrlProp2311.xml" ContentType="application/vnd.ms-excel.controlproperties+xml"/>
  <Override PartName="/xl/ctrlProps/ctrlProp2312.xml" ContentType="application/vnd.ms-excel.controlproperties+xml"/>
  <Override PartName="/xl/ctrlProps/ctrlProp2313.xml" ContentType="application/vnd.ms-excel.controlproperties+xml"/>
  <Override PartName="/xl/ctrlProps/ctrlProp2314.xml" ContentType="application/vnd.ms-excel.controlproperties+xml"/>
  <Override PartName="/xl/ctrlProps/ctrlProp2315.xml" ContentType="application/vnd.ms-excel.controlproperties+xml"/>
  <Override PartName="/xl/ctrlProps/ctrlProp2316.xml" ContentType="application/vnd.ms-excel.controlproperties+xml"/>
  <Override PartName="/xl/ctrlProps/ctrlProp2317.xml" ContentType="application/vnd.ms-excel.controlproperties+xml"/>
  <Override PartName="/xl/ctrlProps/ctrlProp2318.xml" ContentType="application/vnd.ms-excel.controlproperties+xml"/>
  <Override PartName="/xl/ctrlProps/ctrlProp2319.xml" ContentType="application/vnd.ms-excel.controlproperties+xml"/>
  <Override PartName="/xl/ctrlProps/ctrlProp2320.xml" ContentType="application/vnd.ms-excel.controlproperties+xml"/>
  <Override PartName="/xl/ctrlProps/ctrlProp2321.xml" ContentType="application/vnd.ms-excel.controlproperties+xml"/>
  <Override PartName="/xl/ctrlProps/ctrlProp2322.xml" ContentType="application/vnd.ms-excel.controlproperties+xml"/>
  <Override PartName="/xl/ctrlProps/ctrlProp2323.xml" ContentType="application/vnd.ms-excel.controlproperties+xml"/>
  <Override PartName="/xl/ctrlProps/ctrlProp2324.xml" ContentType="application/vnd.ms-excel.controlproperties+xml"/>
  <Override PartName="/xl/ctrlProps/ctrlProp2325.xml" ContentType="application/vnd.ms-excel.controlproperties+xml"/>
  <Override PartName="/xl/ctrlProps/ctrlProp2326.xml" ContentType="application/vnd.ms-excel.controlproperties+xml"/>
  <Override PartName="/xl/ctrlProps/ctrlProp2327.xml" ContentType="application/vnd.ms-excel.controlproperties+xml"/>
  <Override PartName="/xl/ctrlProps/ctrlProp2328.xml" ContentType="application/vnd.ms-excel.controlproperties+xml"/>
  <Override PartName="/xl/ctrlProps/ctrlProp2329.xml" ContentType="application/vnd.ms-excel.controlproperties+xml"/>
  <Override PartName="/xl/ctrlProps/ctrlProp2330.xml" ContentType="application/vnd.ms-excel.controlproperties+xml"/>
  <Override PartName="/xl/ctrlProps/ctrlProp2331.xml" ContentType="application/vnd.ms-excel.controlproperties+xml"/>
  <Override PartName="/xl/ctrlProps/ctrlProp2332.xml" ContentType="application/vnd.ms-excel.controlproperties+xml"/>
  <Override PartName="/xl/ctrlProps/ctrlProp2333.xml" ContentType="application/vnd.ms-excel.controlproperties+xml"/>
  <Override PartName="/xl/ctrlProps/ctrlProp2334.xml" ContentType="application/vnd.ms-excel.controlproperties+xml"/>
  <Override PartName="/xl/ctrlProps/ctrlProp2335.xml" ContentType="application/vnd.ms-excel.controlproperties+xml"/>
  <Override PartName="/xl/ctrlProps/ctrlProp2336.xml" ContentType="application/vnd.ms-excel.controlproperties+xml"/>
  <Override PartName="/xl/ctrlProps/ctrlProp2337.xml" ContentType="application/vnd.ms-excel.controlproperties+xml"/>
  <Override PartName="/xl/ctrlProps/ctrlProp2338.xml" ContentType="application/vnd.ms-excel.controlproperties+xml"/>
  <Override PartName="/xl/ctrlProps/ctrlProp2339.xml" ContentType="application/vnd.ms-excel.controlproperties+xml"/>
  <Override PartName="/xl/ctrlProps/ctrlProp2340.xml" ContentType="application/vnd.ms-excel.controlproperties+xml"/>
  <Override PartName="/xl/ctrlProps/ctrlProp2341.xml" ContentType="application/vnd.ms-excel.controlproperties+xml"/>
  <Override PartName="/xl/ctrlProps/ctrlProp2342.xml" ContentType="application/vnd.ms-excel.controlproperties+xml"/>
  <Override PartName="/xl/ctrlProps/ctrlProp2343.xml" ContentType="application/vnd.ms-excel.controlproperties+xml"/>
  <Override PartName="/xl/ctrlProps/ctrlProp2344.xml" ContentType="application/vnd.ms-excel.controlproperties+xml"/>
  <Override PartName="/xl/ctrlProps/ctrlProp2345.xml" ContentType="application/vnd.ms-excel.controlproperties+xml"/>
  <Override PartName="/xl/ctrlProps/ctrlProp2346.xml" ContentType="application/vnd.ms-excel.controlproperties+xml"/>
  <Override PartName="/xl/ctrlProps/ctrlProp2347.xml" ContentType="application/vnd.ms-excel.controlproperties+xml"/>
  <Override PartName="/xl/ctrlProps/ctrlProp2348.xml" ContentType="application/vnd.ms-excel.controlproperties+xml"/>
  <Override PartName="/xl/ctrlProps/ctrlProp2349.xml" ContentType="application/vnd.ms-excel.controlproperties+xml"/>
  <Override PartName="/xl/ctrlProps/ctrlProp2350.xml" ContentType="application/vnd.ms-excel.controlproperties+xml"/>
  <Override PartName="/xl/ctrlProps/ctrlProp2351.xml" ContentType="application/vnd.ms-excel.controlproperties+xml"/>
  <Override PartName="/xl/ctrlProps/ctrlProp2352.xml" ContentType="application/vnd.ms-excel.controlproperties+xml"/>
  <Override PartName="/xl/ctrlProps/ctrlProp2353.xml" ContentType="application/vnd.ms-excel.controlproperties+xml"/>
  <Override PartName="/xl/ctrlProps/ctrlProp2354.xml" ContentType="application/vnd.ms-excel.controlproperties+xml"/>
  <Override PartName="/xl/ctrlProps/ctrlProp2355.xml" ContentType="application/vnd.ms-excel.controlproperties+xml"/>
  <Override PartName="/xl/ctrlProps/ctrlProp2356.xml" ContentType="application/vnd.ms-excel.controlproperties+xml"/>
  <Override PartName="/xl/ctrlProps/ctrlProp2357.xml" ContentType="application/vnd.ms-excel.controlproperties+xml"/>
  <Override PartName="/xl/ctrlProps/ctrlProp2358.xml" ContentType="application/vnd.ms-excel.controlproperties+xml"/>
  <Override PartName="/xl/ctrlProps/ctrlProp2359.xml" ContentType="application/vnd.ms-excel.controlproperties+xml"/>
  <Override PartName="/xl/ctrlProps/ctrlProp2360.xml" ContentType="application/vnd.ms-excel.controlproperties+xml"/>
  <Override PartName="/xl/ctrlProps/ctrlProp2361.xml" ContentType="application/vnd.ms-excel.controlproperties+xml"/>
  <Override PartName="/xl/ctrlProps/ctrlProp2362.xml" ContentType="application/vnd.ms-excel.controlproperties+xml"/>
  <Override PartName="/xl/ctrlProps/ctrlProp2363.xml" ContentType="application/vnd.ms-excel.controlproperties+xml"/>
  <Override PartName="/xl/ctrlProps/ctrlProp2364.xml" ContentType="application/vnd.ms-excel.controlproperties+xml"/>
  <Override PartName="/xl/ctrlProps/ctrlProp2365.xml" ContentType="application/vnd.ms-excel.controlproperties+xml"/>
  <Override PartName="/xl/ctrlProps/ctrlProp2366.xml" ContentType="application/vnd.ms-excel.controlproperties+xml"/>
  <Override PartName="/xl/ctrlProps/ctrlProp2367.xml" ContentType="application/vnd.ms-excel.controlproperties+xml"/>
  <Override PartName="/xl/ctrlProps/ctrlProp2368.xml" ContentType="application/vnd.ms-excel.controlproperties+xml"/>
  <Override PartName="/xl/ctrlProps/ctrlProp2369.xml" ContentType="application/vnd.ms-excel.controlproperties+xml"/>
  <Override PartName="/xl/ctrlProps/ctrlProp2370.xml" ContentType="application/vnd.ms-excel.controlproperties+xml"/>
  <Override PartName="/xl/ctrlProps/ctrlProp2371.xml" ContentType="application/vnd.ms-excel.controlproperties+xml"/>
  <Override PartName="/xl/ctrlProps/ctrlProp2372.xml" ContentType="application/vnd.ms-excel.controlproperties+xml"/>
  <Override PartName="/xl/ctrlProps/ctrlProp2373.xml" ContentType="application/vnd.ms-excel.controlproperties+xml"/>
  <Override PartName="/xl/ctrlProps/ctrlProp2374.xml" ContentType="application/vnd.ms-excel.controlproperties+xml"/>
  <Override PartName="/xl/ctrlProps/ctrlProp2375.xml" ContentType="application/vnd.ms-excel.controlproperties+xml"/>
  <Override PartName="/xl/ctrlProps/ctrlProp2376.xml" ContentType="application/vnd.ms-excel.controlproperties+xml"/>
  <Override PartName="/xl/ctrlProps/ctrlProp2377.xml" ContentType="application/vnd.ms-excel.controlproperties+xml"/>
  <Override PartName="/xl/ctrlProps/ctrlProp2378.xml" ContentType="application/vnd.ms-excel.controlproperties+xml"/>
  <Override PartName="/xl/ctrlProps/ctrlProp2379.xml" ContentType="application/vnd.ms-excel.controlproperties+xml"/>
  <Override PartName="/xl/ctrlProps/ctrlProp2380.xml" ContentType="application/vnd.ms-excel.controlproperties+xml"/>
  <Override PartName="/xl/ctrlProps/ctrlProp2381.xml" ContentType="application/vnd.ms-excel.controlproperties+xml"/>
  <Override PartName="/xl/ctrlProps/ctrlProp2382.xml" ContentType="application/vnd.ms-excel.controlproperties+xml"/>
  <Override PartName="/xl/ctrlProps/ctrlProp2383.xml" ContentType="application/vnd.ms-excel.controlproperties+xml"/>
  <Override PartName="/xl/ctrlProps/ctrlProp2384.xml" ContentType="application/vnd.ms-excel.controlproperties+xml"/>
  <Override PartName="/xl/ctrlProps/ctrlProp2385.xml" ContentType="application/vnd.ms-excel.controlproperties+xml"/>
  <Override PartName="/xl/ctrlProps/ctrlProp2386.xml" ContentType="application/vnd.ms-excel.controlproperties+xml"/>
  <Override PartName="/xl/ctrlProps/ctrlProp2387.xml" ContentType="application/vnd.ms-excel.controlproperties+xml"/>
  <Override PartName="/xl/ctrlProps/ctrlProp2388.xml" ContentType="application/vnd.ms-excel.controlproperties+xml"/>
  <Override PartName="/xl/ctrlProps/ctrlProp2389.xml" ContentType="application/vnd.ms-excel.controlproperties+xml"/>
  <Override PartName="/xl/ctrlProps/ctrlProp2390.xml" ContentType="application/vnd.ms-excel.controlproperties+xml"/>
  <Override PartName="/xl/ctrlProps/ctrlProp2391.xml" ContentType="application/vnd.ms-excel.controlproperties+xml"/>
  <Override PartName="/xl/ctrlProps/ctrlProp2392.xml" ContentType="application/vnd.ms-excel.controlproperties+xml"/>
  <Override PartName="/xl/ctrlProps/ctrlProp2393.xml" ContentType="application/vnd.ms-excel.controlproperties+xml"/>
  <Override PartName="/xl/ctrlProps/ctrlProp2394.xml" ContentType="application/vnd.ms-excel.controlproperties+xml"/>
  <Override PartName="/xl/ctrlProps/ctrlProp2395.xml" ContentType="application/vnd.ms-excel.controlproperties+xml"/>
  <Override PartName="/xl/ctrlProps/ctrlProp2396.xml" ContentType="application/vnd.ms-excel.controlproperties+xml"/>
  <Override PartName="/xl/ctrlProps/ctrlProp2397.xml" ContentType="application/vnd.ms-excel.controlproperties+xml"/>
  <Override PartName="/xl/ctrlProps/ctrlProp2398.xml" ContentType="application/vnd.ms-excel.controlproperties+xml"/>
  <Override PartName="/xl/ctrlProps/ctrlProp2399.xml" ContentType="application/vnd.ms-excel.controlproperties+xml"/>
  <Override PartName="/xl/ctrlProps/ctrlProp2400.xml" ContentType="application/vnd.ms-excel.controlproperties+xml"/>
  <Override PartName="/xl/ctrlProps/ctrlProp2401.xml" ContentType="application/vnd.ms-excel.controlproperties+xml"/>
  <Override PartName="/xl/ctrlProps/ctrlProp2402.xml" ContentType="application/vnd.ms-excel.controlproperties+xml"/>
  <Override PartName="/xl/ctrlProps/ctrlProp2403.xml" ContentType="application/vnd.ms-excel.controlproperties+xml"/>
  <Override PartName="/xl/ctrlProps/ctrlProp2404.xml" ContentType="application/vnd.ms-excel.controlproperties+xml"/>
  <Override PartName="/xl/ctrlProps/ctrlProp2405.xml" ContentType="application/vnd.ms-excel.controlproperties+xml"/>
  <Override PartName="/xl/ctrlProps/ctrlProp2406.xml" ContentType="application/vnd.ms-excel.controlproperties+xml"/>
  <Override PartName="/xl/ctrlProps/ctrlProp2407.xml" ContentType="application/vnd.ms-excel.controlproperties+xml"/>
  <Override PartName="/xl/ctrlProps/ctrlProp2408.xml" ContentType="application/vnd.ms-excel.controlproperties+xml"/>
  <Override PartName="/xl/ctrlProps/ctrlProp2409.xml" ContentType="application/vnd.ms-excel.controlproperties+xml"/>
  <Override PartName="/xl/ctrlProps/ctrlProp2410.xml" ContentType="application/vnd.ms-excel.controlproperties+xml"/>
  <Override PartName="/xl/ctrlProps/ctrlProp2411.xml" ContentType="application/vnd.ms-excel.controlproperties+xml"/>
  <Override PartName="/xl/ctrlProps/ctrlProp2412.xml" ContentType="application/vnd.ms-excel.controlproperties+xml"/>
  <Override PartName="/xl/ctrlProps/ctrlProp2413.xml" ContentType="application/vnd.ms-excel.controlproperties+xml"/>
  <Override PartName="/xl/ctrlProps/ctrlProp2414.xml" ContentType="application/vnd.ms-excel.controlproperties+xml"/>
  <Override PartName="/xl/ctrlProps/ctrlProp2415.xml" ContentType="application/vnd.ms-excel.controlproperties+xml"/>
  <Override PartName="/xl/ctrlProps/ctrlProp2416.xml" ContentType="application/vnd.ms-excel.controlproperties+xml"/>
  <Override PartName="/xl/ctrlProps/ctrlProp2417.xml" ContentType="application/vnd.ms-excel.controlproperties+xml"/>
  <Override PartName="/xl/ctrlProps/ctrlProp2418.xml" ContentType="application/vnd.ms-excel.controlproperties+xml"/>
  <Override PartName="/xl/ctrlProps/ctrlProp2419.xml" ContentType="application/vnd.ms-excel.controlproperties+xml"/>
  <Override PartName="/xl/ctrlProps/ctrlProp2420.xml" ContentType="application/vnd.ms-excel.controlproperties+xml"/>
  <Override PartName="/xl/ctrlProps/ctrlProp2421.xml" ContentType="application/vnd.ms-excel.controlproperties+xml"/>
  <Override PartName="/xl/ctrlProps/ctrlProp2422.xml" ContentType="application/vnd.ms-excel.controlproperties+xml"/>
  <Override PartName="/xl/ctrlProps/ctrlProp2423.xml" ContentType="application/vnd.ms-excel.controlproperties+xml"/>
  <Override PartName="/xl/ctrlProps/ctrlProp2424.xml" ContentType="application/vnd.ms-excel.controlproperties+xml"/>
  <Override PartName="/xl/ctrlProps/ctrlProp2425.xml" ContentType="application/vnd.ms-excel.controlproperties+xml"/>
  <Override PartName="/xl/ctrlProps/ctrlProp2426.xml" ContentType="application/vnd.ms-excel.controlproperties+xml"/>
  <Override PartName="/xl/ctrlProps/ctrlProp2427.xml" ContentType="application/vnd.ms-excel.controlproperties+xml"/>
  <Override PartName="/xl/ctrlProps/ctrlProp2428.xml" ContentType="application/vnd.ms-excel.controlproperties+xml"/>
  <Override PartName="/xl/ctrlProps/ctrlProp2429.xml" ContentType="application/vnd.ms-excel.controlproperties+xml"/>
  <Override PartName="/xl/ctrlProps/ctrlProp2430.xml" ContentType="application/vnd.ms-excel.controlproperties+xml"/>
  <Override PartName="/xl/ctrlProps/ctrlProp2431.xml" ContentType="application/vnd.ms-excel.controlproperties+xml"/>
  <Override PartName="/xl/ctrlProps/ctrlProp2432.xml" ContentType="application/vnd.ms-excel.controlproperties+xml"/>
  <Override PartName="/xl/ctrlProps/ctrlProp2433.xml" ContentType="application/vnd.ms-excel.controlproperties+xml"/>
  <Override PartName="/xl/ctrlProps/ctrlProp2434.xml" ContentType="application/vnd.ms-excel.controlproperties+xml"/>
  <Override PartName="/xl/ctrlProps/ctrlProp2435.xml" ContentType="application/vnd.ms-excel.controlproperties+xml"/>
  <Override PartName="/xl/ctrlProps/ctrlProp2436.xml" ContentType="application/vnd.ms-excel.controlproperties+xml"/>
  <Override PartName="/xl/ctrlProps/ctrlProp2437.xml" ContentType="application/vnd.ms-excel.controlproperties+xml"/>
  <Override PartName="/xl/ctrlProps/ctrlProp2438.xml" ContentType="application/vnd.ms-excel.controlproperties+xml"/>
  <Override PartName="/xl/ctrlProps/ctrlProp2439.xml" ContentType="application/vnd.ms-excel.controlproperties+xml"/>
  <Override PartName="/xl/ctrlProps/ctrlProp2440.xml" ContentType="application/vnd.ms-excel.controlproperties+xml"/>
  <Override PartName="/xl/ctrlProps/ctrlProp2441.xml" ContentType="application/vnd.ms-excel.controlproperties+xml"/>
  <Override PartName="/xl/ctrlProps/ctrlProp2442.xml" ContentType="application/vnd.ms-excel.controlproperties+xml"/>
  <Override PartName="/xl/ctrlProps/ctrlProp2443.xml" ContentType="application/vnd.ms-excel.controlproperties+xml"/>
  <Override PartName="/xl/ctrlProps/ctrlProp2444.xml" ContentType="application/vnd.ms-excel.controlproperties+xml"/>
  <Override PartName="/xl/ctrlProps/ctrlProp2445.xml" ContentType="application/vnd.ms-excel.controlproperties+xml"/>
  <Override PartName="/xl/ctrlProps/ctrlProp2446.xml" ContentType="application/vnd.ms-excel.controlproperties+xml"/>
  <Override PartName="/xl/ctrlProps/ctrlProp2447.xml" ContentType="application/vnd.ms-excel.controlproperties+xml"/>
  <Override PartName="/xl/ctrlProps/ctrlProp2448.xml" ContentType="application/vnd.ms-excel.controlproperties+xml"/>
  <Override PartName="/xl/ctrlProps/ctrlProp2449.xml" ContentType="application/vnd.ms-excel.controlproperties+xml"/>
  <Override PartName="/xl/ctrlProps/ctrlProp2450.xml" ContentType="application/vnd.ms-excel.controlproperties+xml"/>
  <Override PartName="/xl/ctrlProps/ctrlProp2451.xml" ContentType="application/vnd.ms-excel.controlproperties+xml"/>
  <Override PartName="/xl/ctrlProps/ctrlProp2452.xml" ContentType="application/vnd.ms-excel.controlproperties+xml"/>
  <Override PartName="/xl/ctrlProps/ctrlProp2453.xml" ContentType="application/vnd.ms-excel.controlproperties+xml"/>
  <Override PartName="/xl/ctrlProps/ctrlProp2454.xml" ContentType="application/vnd.ms-excel.controlproperties+xml"/>
  <Override PartName="/xl/ctrlProps/ctrlProp2455.xml" ContentType="application/vnd.ms-excel.controlproperties+xml"/>
  <Override PartName="/xl/ctrlProps/ctrlProp2456.xml" ContentType="application/vnd.ms-excel.controlproperties+xml"/>
  <Override PartName="/xl/ctrlProps/ctrlProp2457.xml" ContentType="application/vnd.ms-excel.controlproperties+xml"/>
  <Override PartName="/xl/ctrlProps/ctrlProp2458.xml" ContentType="application/vnd.ms-excel.controlproperties+xml"/>
  <Override PartName="/xl/ctrlProps/ctrlProp2459.xml" ContentType="application/vnd.ms-excel.controlproperties+xml"/>
  <Override PartName="/xl/ctrlProps/ctrlProp2460.xml" ContentType="application/vnd.ms-excel.controlproperties+xml"/>
  <Override PartName="/xl/ctrlProps/ctrlProp2461.xml" ContentType="application/vnd.ms-excel.controlproperties+xml"/>
  <Override PartName="/xl/ctrlProps/ctrlProp2462.xml" ContentType="application/vnd.ms-excel.controlproperties+xml"/>
  <Override PartName="/xl/ctrlProps/ctrlProp2463.xml" ContentType="application/vnd.ms-excel.controlproperties+xml"/>
  <Override PartName="/xl/ctrlProps/ctrlProp2464.xml" ContentType="application/vnd.ms-excel.controlproperties+xml"/>
  <Override PartName="/xl/ctrlProps/ctrlProp2465.xml" ContentType="application/vnd.ms-excel.controlproperties+xml"/>
  <Override PartName="/xl/ctrlProps/ctrlProp2466.xml" ContentType="application/vnd.ms-excel.controlproperties+xml"/>
  <Override PartName="/xl/ctrlProps/ctrlProp2467.xml" ContentType="application/vnd.ms-excel.controlproperties+xml"/>
  <Override PartName="/xl/ctrlProps/ctrlProp2468.xml" ContentType="application/vnd.ms-excel.controlproperties+xml"/>
  <Override PartName="/xl/ctrlProps/ctrlProp2469.xml" ContentType="application/vnd.ms-excel.controlproperties+xml"/>
  <Override PartName="/xl/ctrlProps/ctrlProp2470.xml" ContentType="application/vnd.ms-excel.controlproperties+xml"/>
  <Override PartName="/xl/ctrlProps/ctrlProp2471.xml" ContentType="application/vnd.ms-excel.controlproperties+xml"/>
  <Override PartName="/xl/ctrlProps/ctrlProp2472.xml" ContentType="application/vnd.ms-excel.controlproperties+xml"/>
  <Override PartName="/xl/ctrlProps/ctrlProp2473.xml" ContentType="application/vnd.ms-excel.controlproperties+xml"/>
  <Override PartName="/xl/ctrlProps/ctrlProp2474.xml" ContentType="application/vnd.ms-excel.controlproperties+xml"/>
  <Override PartName="/xl/ctrlProps/ctrlProp2475.xml" ContentType="application/vnd.ms-excel.controlproperties+xml"/>
  <Override PartName="/xl/ctrlProps/ctrlProp2476.xml" ContentType="application/vnd.ms-excel.controlproperties+xml"/>
  <Override PartName="/xl/ctrlProps/ctrlProp2477.xml" ContentType="application/vnd.ms-excel.controlproperties+xml"/>
  <Override PartName="/xl/ctrlProps/ctrlProp2478.xml" ContentType="application/vnd.ms-excel.controlproperties+xml"/>
  <Override PartName="/xl/ctrlProps/ctrlProp2479.xml" ContentType="application/vnd.ms-excel.controlproperties+xml"/>
  <Override PartName="/xl/ctrlProps/ctrlProp2480.xml" ContentType="application/vnd.ms-excel.controlproperties+xml"/>
  <Override PartName="/xl/ctrlProps/ctrlProp2481.xml" ContentType="application/vnd.ms-excel.controlproperties+xml"/>
  <Override PartName="/xl/ctrlProps/ctrlProp2482.xml" ContentType="application/vnd.ms-excel.controlproperties+xml"/>
  <Override PartName="/xl/ctrlProps/ctrlProp2483.xml" ContentType="application/vnd.ms-excel.controlproperties+xml"/>
  <Override PartName="/xl/ctrlProps/ctrlProp2484.xml" ContentType="application/vnd.ms-excel.controlproperties+xml"/>
  <Override PartName="/xl/ctrlProps/ctrlProp2485.xml" ContentType="application/vnd.ms-excel.controlproperties+xml"/>
  <Override PartName="/xl/ctrlProps/ctrlProp2486.xml" ContentType="application/vnd.ms-excel.controlproperties+xml"/>
  <Override PartName="/xl/ctrlProps/ctrlProp2487.xml" ContentType="application/vnd.ms-excel.controlproperties+xml"/>
  <Override PartName="/xl/ctrlProps/ctrlProp2488.xml" ContentType="application/vnd.ms-excel.controlproperties+xml"/>
  <Override PartName="/xl/ctrlProps/ctrlProp2489.xml" ContentType="application/vnd.ms-excel.controlproperties+xml"/>
  <Override PartName="/xl/ctrlProps/ctrlProp2490.xml" ContentType="application/vnd.ms-excel.controlproperties+xml"/>
  <Override PartName="/xl/ctrlProps/ctrlProp2491.xml" ContentType="application/vnd.ms-excel.controlproperties+xml"/>
  <Override PartName="/xl/ctrlProps/ctrlProp2492.xml" ContentType="application/vnd.ms-excel.controlproperties+xml"/>
  <Override PartName="/xl/ctrlProps/ctrlProp2493.xml" ContentType="application/vnd.ms-excel.controlproperties+xml"/>
  <Override PartName="/xl/ctrlProps/ctrlProp2494.xml" ContentType="application/vnd.ms-excel.controlproperties+xml"/>
  <Override PartName="/xl/ctrlProps/ctrlProp2495.xml" ContentType="application/vnd.ms-excel.controlproperties+xml"/>
  <Override PartName="/xl/ctrlProps/ctrlProp2496.xml" ContentType="application/vnd.ms-excel.controlproperties+xml"/>
  <Override PartName="/xl/ctrlProps/ctrlProp2497.xml" ContentType="application/vnd.ms-excel.controlproperties+xml"/>
  <Override PartName="/xl/ctrlProps/ctrlProp2498.xml" ContentType="application/vnd.ms-excel.controlproperties+xml"/>
  <Override PartName="/xl/ctrlProps/ctrlProp2499.xml" ContentType="application/vnd.ms-excel.controlproperties+xml"/>
  <Override PartName="/xl/ctrlProps/ctrlProp2500.xml" ContentType="application/vnd.ms-excel.controlproperties+xml"/>
  <Override PartName="/xl/ctrlProps/ctrlProp2501.xml" ContentType="application/vnd.ms-excel.controlproperties+xml"/>
  <Override PartName="/xl/ctrlProps/ctrlProp2502.xml" ContentType="application/vnd.ms-excel.controlproperties+xml"/>
  <Override PartName="/xl/ctrlProps/ctrlProp2503.xml" ContentType="application/vnd.ms-excel.controlproperties+xml"/>
  <Override PartName="/xl/ctrlProps/ctrlProp2504.xml" ContentType="application/vnd.ms-excel.controlproperties+xml"/>
  <Override PartName="/xl/ctrlProps/ctrlProp2505.xml" ContentType="application/vnd.ms-excel.controlproperties+xml"/>
  <Override PartName="/xl/ctrlProps/ctrlProp2506.xml" ContentType="application/vnd.ms-excel.controlproperties+xml"/>
  <Override PartName="/xl/ctrlProps/ctrlProp2507.xml" ContentType="application/vnd.ms-excel.controlproperties+xml"/>
  <Override PartName="/xl/ctrlProps/ctrlProp2508.xml" ContentType="application/vnd.ms-excel.controlproperties+xml"/>
  <Override PartName="/xl/ctrlProps/ctrlProp2509.xml" ContentType="application/vnd.ms-excel.controlproperties+xml"/>
  <Override PartName="/xl/ctrlProps/ctrlProp2510.xml" ContentType="application/vnd.ms-excel.controlproperties+xml"/>
  <Override PartName="/xl/ctrlProps/ctrlProp2511.xml" ContentType="application/vnd.ms-excel.controlproperties+xml"/>
  <Override PartName="/xl/ctrlProps/ctrlProp2512.xml" ContentType="application/vnd.ms-excel.controlproperties+xml"/>
  <Override PartName="/xl/ctrlProps/ctrlProp2513.xml" ContentType="application/vnd.ms-excel.controlproperties+xml"/>
  <Override PartName="/xl/ctrlProps/ctrlProp2514.xml" ContentType="application/vnd.ms-excel.controlproperties+xml"/>
  <Override PartName="/xl/ctrlProps/ctrlProp2515.xml" ContentType="application/vnd.ms-excel.controlproperties+xml"/>
  <Override PartName="/xl/ctrlProps/ctrlProp2516.xml" ContentType="application/vnd.ms-excel.controlproperties+xml"/>
  <Override PartName="/xl/ctrlProps/ctrlProp2517.xml" ContentType="application/vnd.ms-excel.controlproperties+xml"/>
  <Override PartName="/xl/ctrlProps/ctrlProp2518.xml" ContentType="application/vnd.ms-excel.controlproperties+xml"/>
  <Override PartName="/xl/ctrlProps/ctrlProp2519.xml" ContentType="application/vnd.ms-excel.controlproperties+xml"/>
  <Override PartName="/xl/ctrlProps/ctrlProp2520.xml" ContentType="application/vnd.ms-excel.controlproperties+xml"/>
  <Override PartName="/xl/ctrlProps/ctrlProp2521.xml" ContentType="application/vnd.ms-excel.controlproperties+xml"/>
  <Override PartName="/xl/ctrlProps/ctrlProp2522.xml" ContentType="application/vnd.ms-excel.controlproperties+xml"/>
  <Override PartName="/xl/ctrlProps/ctrlProp2523.xml" ContentType="application/vnd.ms-excel.controlproperties+xml"/>
  <Override PartName="/xl/ctrlProps/ctrlProp2524.xml" ContentType="application/vnd.ms-excel.controlproperties+xml"/>
  <Override PartName="/xl/ctrlProps/ctrlProp2525.xml" ContentType="application/vnd.ms-excel.controlproperties+xml"/>
  <Override PartName="/xl/ctrlProps/ctrlProp2526.xml" ContentType="application/vnd.ms-excel.controlproperties+xml"/>
  <Override PartName="/xl/ctrlProps/ctrlProp2527.xml" ContentType="application/vnd.ms-excel.controlproperties+xml"/>
  <Override PartName="/xl/ctrlProps/ctrlProp2528.xml" ContentType="application/vnd.ms-excel.controlproperties+xml"/>
  <Override PartName="/xl/ctrlProps/ctrlProp2529.xml" ContentType="application/vnd.ms-excel.controlproperties+xml"/>
  <Override PartName="/xl/ctrlProps/ctrlProp2530.xml" ContentType="application/vnd.ms-excel.controlproperties+xml"/>
  <Override PartName="/xl/ctrlProps/ctrlProp2531.xml" ContentType="application/vnd.ms-excel.controlproperties+xml"/>
  <Override PartName="/xl/ctrlProps/ctrlProp2532.xml" ContentType="application/vnd.ms-excel.controlproperties+xml"/>
  <Override PartName="/xl/ctrlProps/ctrlProp2533.xml" ContentType="application/vnd.ms-excel.controlproperties+xml"/>
  <Override PartName="/xl/ctrlProps/ctrlProp2534.xml" ContentType="application/vnd.ms-excel.controlproperties+xml"/>
  <Override PartName="/xl/ctrlProps/ctrlProp2535.xml" ContentType="application/vnd.ms-excel.controlproperties+xml"/>
  <Override PartName="/xl/ctrlProps/ctrlProp2536.xml" ContentType="application/vnd.ms-excel.controlproperties+xml"/>
  <Override PartName="/xl/ctrlProps/ctrlProp2537.xml" ContentType="application/vnd.ms-excel.controlproperties+xml"/>
  <Override PartName="/xl/ctrlProps/ctrlProp2538.xml" ContentType="application/vnd.ms-excel.controlproperties+xml"/>
  <Override PartName="/xl/ctrlProps/ctrlProp2539.xml" ContentType="application/vnd.ms-excel.controlproperties+xml"/>
  <Override PartName="/xl/ctrlProps/ctrlProp2540.xml" ContentType="application/vnd.ms-excel.controlproperties+xml"/>
  <Override PartName="/xl/ctrlProps/ctrlProp2541.xml" ContentType="application/vnd.ms-excel.controlproperties+xml"/>
  <Override PartName="/xl/ctrlProps/ctrlProp2542.xml" ContentType="application/vnd.ms-excel.controlproperties+xml"/>
  <Override PartName="/xl/ctrlProps/ctrlProp2543.xml" ContentType="application/vnd.ms-excel.controlproperties+xml"/>
  <Override PartName="/xl/ctrlProps/ctrlProp2544.xml" ContentType="application/vnd.ms-excel.controlproperties+xml"/>
  <Override PartName="/xl/ctrlProps/ctrlProp2545.xml" ContentType="application/vnd.ms-excel.controlproperties+xml"/>
  <Override PartName="/xl/ctrlProps/ctrlProp2546.xml" ContentType="application/vnd.ms-excel.controlproperties+xml"/>
  <Override PartName="/xl/ctrlProps/ctrlProp2547.xml" ContentType="application/vnd.ms-excel.controlproperties+xml"/>
  <Override PartName="/xl/ctrlProps/ctrlProp2548.xml" ContentType="application/vnd.ms-excel.controlproperties+xml"/>
  <Override PartName="/xl/ctrlProps/ctrlProp2549.xml" ContentType="application/vnd.ms-excel.controlproperties+xml"/>
  <Override PartName="/xl/ctrlProps/ctrlProp2550.xml" ContentType="application/vnd.ms-excel.controlproperties+xml"/>
  <Override PartName="/xl/ctrlProps/ctrlProp2551.xml" ContentType="application/vnd.ms-excel.controlproperties+xml"/>
  <Override PartName="/xl/ctrlProps/ctrlProp2552.xml" ContentType="application/vnd.ms-excel.controlproperties+xml"/>
  <Override PartName="/xl/ctrlProps/ctrlProp2553.xml" ContentType="application/vnd.ms-excel.controlproperties+xml"/>
  <Override PartName="/xl/ctrlProps/ctrlProp2554.xml" ContentType="application/vnd.ms-excel.controlproperties+xml"/>
  <Override PartName="/xl/ctrlProps/ctrlProp2555.xml" ContentType="application/vnd.ms-excel.controlproperties+xml"/>
  <Override PartName="/xl/ctrlProps/ctrlProp2556.xml" ContentType="application/vnd.ms-excel.controlproperties+xml"/>
  <Override PartName="/xl/ctrlProps/ctrlProp2557.xml" ContentType="application/vnd.ms-excel.controlproperties+xml"/>
  <Override PartName="/xl/ctrlProps/ctrlProp2558.xml" ContentType="application/vnd.ms-excel.controlproperties+xml"/>
  <Override PartName="/xl/ctrlProps/ctrlProp2559.xml" ContentType="application/vnd.ms-excel.controlproperties+xml"/>
  <Override PartName="/xl/ctrlProps/ctrlProp2560.xml" ContentType="application/vnd.ms-excel.controlproperties+xml"/>
  <Override PartName="/xl/ctrlProps/ctrlProp2561.xml" ContentType="application/vnd.ms-excel.controlproperties+xml"/>
  <Override PartName="/xl/ctrlProps/ctrlProp2562.xml" ContentType="application/vnd.ms-excel.controlproperties+xml"/>
  <Override PartName="/xl/ctrlProps/ctrlProp2563.xml" ContentType="application/vnd.ms-excel.controlproperties+xml"/>
  <Override PartName="/xl/ctrlProps/ctrlProp2564.xml" ContentType="application/vnd.ms-excel.controlproperties+xml"/>
  <Override PartName="/xl/ctrlProps/ctrlProp2565.xml" ContentType="application/vnd.ms-excel.controlproperties+xml"/>
  <Override PartName="/xl/ctrlProps/ctrlProp2566.xml" ContentType="application/vnd.ms-excel.controlproperties+xml"/>
  <Override PartName="/xl/ctrlProps/ctrlProp2567.xml" ContentType="application/vnd.ms-excel.controlproperties+xml"/>
  <Override PartName="/xl/ctrlProps/ctrlProp2568.xml" ContentType="application/vnd.ms-excel.controlproperties+xml"/>
  <Override PartName="/xl/ctrlProps/ctrlProp2569.xml" ContentType="application/vnd.ms-excel.controlproperties+xml"/>
  <Override PartName="/xl/ctrlProps/ctrlProp2570.xml" ContentType="application/vnd.ms-excel.controlproperties+xml"/>
  <Override PartName="/xl/ctrlProps/ctrlProp2571.xml" ContentType="application/vnd.ms-excel.controlproperties+xml"/>
  <Override PartName="/xl/ctrlProps/ctrlProp2572.xml" ContentType="application/vnd.ms-excel.controlproperties+xml"/>
  <Override PartName="/xl/ctrlProps/ctrlProp2573.xml" ContentType="application/vnd.ms-excel.controlproperties+xml"/>
  <Override PartName="/xl/ctrlProps/ctrlProp2574.xml" ContentType="application/vnd.ms-excel.controlproperties+xml"/>
  <Override PartName="/xl/ctrlProps/ctrlProp2575.xml" ContentType="application/vnd.ms-excel.controlproperties+xml"/>
  <Override PartName="/xl/ctrlProps/ctrlProp2576.xml" ContentType="application/vnd.ms-excel.controlproperties+xml"/>
  <Override PartName="/xl/ctrlProps/ctrlProp2577.xml" ContentType="application/vnd.ms-excel.controlproperties+xml"/>
  <Override PartName="/xl/ctrlProps/ctrlProp2578.xml" ContentType="application/vnd.ms-excel.controlproperties+xml"/>
  <Override PartName="/xl/ctrlProps/ctrlProp2579.xml" ContentType="application/vnd.ms-excel.controlproperties+xml"/>
  <Override PartName="/xl/ctrlProps/ctrlProp2580.xml" ContentType="application/vnd.ms-excel.controlproperties+xml"/>
  <Override PartName="/xl/ctrlProps/ctrlProp2581.xml" ContentType="application/vnd.ms-excel.controlproperties+xml"/>
  <Override PartName="/xl/ctrlProps/ctrlProp2582.xml" ContentType="application/vnd.ms-excel.controlproperties+xml"/>
  <Override PartName="/xl/ctrlProps/ctrlProp2583.xml" ContentType="application/vnd.ms-excel.controlproperties+xml"/>
  <Override PartName="/xl/ctrlProps/ctrlProp2584.xml" ContentType="application/vnd.ms-excel.controlproperties+xml"/>
  <Override PartName="/xl/ctrlProps/ctrlProp2585.xml" ContentType="application/vnd.ms-excel.controlproperties+xml"/>
  <Override PartName="/xl/ctrlProps/ctrlProp2586.xml" ContentType="application/vnd.ms-excel.controlproperties+xml"/>
  <Override PartName="/xl/ctrlProps/ctrlProp2587.xml" ContentType="application/vnd.ms-excel.controlproperties+xml"/>
  <Override PartName="/xl/ctrlProps/ctrlProp2588.xml" ContentType="application/vnd.ms-excel.controlproperties+xml"/>
  <Override PartName="/xl/ctrlProps/ctrlProp2589.xml" ContentType="application/vnd.ms-excel.controlproperties+xml"/>
  <Override PartName="/xl/ctrlProps/ctrlProp2590.xml" ContentType="application/vnd.ms-excel.controlproperties+xml"/>
  <Override PartName="/xl/ctrlProps/ctrlProp2591.xml" ContentType="application/vnd.ms-excel.controlproperties+xml"/>
  <Override PartName="/xl/ctrlProps/ctrlProp2592.xml" ContentType="application/vnd.ms-excel.controlproperties+xml"/>
  <Override PartName="/xl/ctrlProps/ctrlProp2593.xml" ContentType="application/vnd.ms-excel.controlproperties+xml"/>
  <Override PartName="/xl/ctrlProps/ctrlProp2594.xml" ContentType="application/vnd.ms-excel.controlproperties+xml"/>
  <Override PartName="/xl/ctrlProps/ctrlProp2595.xml" ContentType="application/vnd.ms-excel.controlproperties+xml"/>
  <Override PartName="/xl/ctrlProps/ctrlProp2596.xml" ContentType="application/vnd.ms-excel.controlproperties+xml"/>
  <Override PartName="/xl/ctrlProps/ctrlProp2597.xml" ContentType="application/vnd.ms-excel.controlproperties+xml"/>
  <Override PartName="/xl/ctrlProps/ctrlProp2598.xml" ContentType="application/vnd.ms-excel.controlproperties+xml"/>
  <Override PartName="/xl/ctrlProps/ctrlProp2599.xml" ContentType="application/vnd.ms-excel.controlproperties+xml"/>
  <Override PartName="/xl/ctrlProps/ctrlProp2600.xml" ContentType="application/vnd.ms-excel.controlproperties+xml"/>
  <Override PartName="/xl/ctrlProps/ctrlProp2601.xml" ContentType="application/vnd.ms-excel.controlproperties+xml"/>
  <Override PartName="/xl/ctrlProps/ctrlProp2602.xml" ContentType="application/vnd.ms-excel.controlproperties+xml"/>
  <Override PartName="/xl/ctrlProps/ctrlProp2603.xml" ContentType="application/vnd.ms-excel.controlproperties+xml"/>
  <Override PartName="/xl/ctrlProps/ctrlProp2604.xml" ContentType="application/vnd.ms-excel.controlproperties+xml"/>
  <Override PartName="/xl/ctrlProps/ctrlProp2605.xml" ContentType="application/vnd.ms-excel.controlproperties+xml"/>
  <Override PartName="/xl/ctrlProps/ctrlProp2606.xml" ContentType="application/vnd.ms-excel.controlproperties+xml"/>
  <Override PartName="/xl/ctrlProps/ctrlProp2607.xml" ContentType="application/vnd.ms-excel.controlproperties+xml"/>
  <Override PartName="/xl/ctrlProps/ctrlProp2608.xml" ContentType="application/vnd.ms-excel.controlproperties+xml"/>
  <Override PartName="/xl/ctrlProps/ctrlProp2609.xml" ContentType="application/vnd.ms-excel.controlproperties+xml"/>
  <Override PartName="/xl/ctrlProps/ctrlProp2610.xml" ContentType="application/vnd.ms-excel.controlproperties+xml"/>
  <Override PartName="/xl/ctrlProps/ctrlProp2611.xml" ContentType="application/vnd.ms-excel.controlproperties+xml"/>
  <Override PartName="/xl/ctrlProps/ctrlProp2612.xml" ContentType="application/vnd.ms-excel.controlproperties+xml"/>
  <Override PartName="/xl/ctrlProps/ctrlProp2613.xml" ContentType="application/vnd.ms-excel.controlproperties+xml"/>
  <Override PartName="/xl/ctrlProps/ctrlProp2614.xml" ContentType="application/vnd.ms-excel.controlproperties+xml"/>
  <Override PartName="/xl/ctrlProps/ctrlProp2615.xml" ContentType="application/vnd.ms-excel.controlproperties+xml"/>
  <Override PartName="/xl/ctrlProps/ctrlProp2616.xml" ContentType="application/vnd.ms-excel.controlproperties+xml"/>
  <Override PartName="/xl/ctrlProps/ctrlProp2617.xml" ContentType="application/vnd.ms-excel.controlproperties+xml"/>
  <Override PartName="/xl/ctrlProps/ctrlProp2618.xml" ContentType="application/vnd.ms-excel.controlproperties+xml"/>
  <Override PartName="/xl/ctrlProps/ctrlProp2619.xml" ContentType="application/vnd.ms-excel.controlproperties+xml"/>
  <Override PartName="/xl/ctrlProps/ctrlProp2620.xml" ContentType="application/vnd.ms-excel.controlproperties+xml"/>
  <Override PartName="/xl/ctrlProps/ctrlProp2621.xml" ContentType="application/vnd.ms-excel.controlproperties+xml"/>
  <Override PartName="/xl/ctrlProps/ctrlProp2622.xml" ContentType="application/vnd.ms-excel.controlproperties+xml"/>
  <Override PartName="/xl/ctrlProps/ctrlProp2623.xml" ContentType="application/vnd.ms-excel.controlproperties+xml"/>
  <Override PartName="/xl/ctrlProps/ctrlProp2624.xml" ContentType="application/vnd.ms-excel.controlproperties+xml"/>
  <Override PartName="/xl/ctrlProps/ctrlProp2625.xml" ContentType="application/vnd.ms-excel.controlproperties+xml"/>
  <Override PartName="/xl/ctrlProps/ctrlProp2626.xml" ContentType="application/vnd.ms-excel.controlproperties+xml"/>
  <Override PartName="/xl/ctrlProps/ctrlProp2627.xml" ContentType="application/vnd.ms-excel.controlproperties+xml"/>
  <Override PartName="/xl/ctrlProps/ctrlProp2628.xml" ContentType="application/vnd.ms-excel.controlproperties+xml"/>
  <Override PartName="/xl/ctrlProps/ctrlProp2629.xml" ContentType="application/vnd.ms-excel.controlproperties+xml"/>
  <Override PartName="/xl/ctrlProps/ctrlProp2630.xml" ContentType="application/vnd.ms-excel.controlproperties+xml"/>
  <Override PartName="/xl/ctrlProps/ctrlProp2631.xml" ContentType="application/vnd.ms-excel.controlproperties+xml"/>
  <Override PartName="/xl/ctrlProps/ctrlProp2632.xml" ContentType="application/vnd.ms-excel.controlproperties+xml"/>
  <Override PartName="/xl/ctrlProps/ctrlProp2633.xml" ContentType="application/vnd.ms-excel.controlproperties+xml"/>
  <Override PartName="/xl/ctrlProps/ctrlProp2634.xml" ContentType="application/vnd.ms-excel.controlproperties+xml"/>
  <Override PartName="/xl/ctrlProps/ctrlProp2635.xml" ContentType="application/vnd.ms-excel.controlproperties+xml"/>
  <Override PartName="/xl/ctrlProps/ctrlProp2636.xml" ContentType="application/vnd.ms-excel.controlproperties+xml"/>
  <Override PartName="/xl/ctrlProps/ctrlProp2637.xml" ContentType="application/vnd.ms-excel.controlproperties+xml"/>
  <Override PartName="/xl/ctrlProps/ctrlProp2638.xml" ContentType="application/vnd.ms-excel.controlproperties+xml"/>
  <Override PartName="/xl/ctrlProps/ctrlProp2639.xml" ContentType="application/vnd.ms-excel.controlproperties+xml"/>
  <Override PartName="/xl/ctrlProps/ctrlProp2640.xml" ContentType="application/vnd.ms-excel.controlproperties+xml"/>
  <Override PartName="/xl/ctrlProps/ctrlProp2641.xml" ContentType="application/vnd.ms-excel.controlproperties+xml"/>
  <Override PartName="/xl/ctrlProps/ctrlProp2642.xml" ContentType="application/vnd.ms-excel.controlproperties+xml"/>
  <Override PartName="/xl/ctrlProps/ctrlProp2643.xml" ContentType="application/vnd.ms-excel.controlproperties+xml"/>
  <Override PartName="/xl/ctrlProps/ctrlProp2644.xml" ContentType="application/vnd.ms-excel.controlproperties+xml"/>
  <Override PartName="/xl/ctrlProps/ctrlProp2645.xml" ContentType="application/vnd.ms-excel.controlproperties+xml"/>
  <Override PartName="/xl/ctrlProps/ctrlProp2646.xml" ContentType="application/vnd.ms-excel.controlproperties+xml"/>
  <Override PartName="/xl/ctrlProps/ctrlProp2647.xml" ContentType="application/vnd.ms-excel.controlproperties+xml"/>
  <Override PartName="/xl/ctrlProps/ctrlProp2648.xml" ContentType="application/vnd.ms-excel.controlproperties+xml"/>
  <Override PartName="/xl/ctrlProps/ctrlProp2649.xml" ContentType="application/vnd.ms-excel.controlproperties+xml"/>
  <Override PartName="/xl/ctrlProps/ctrlProp2650.xml" ContentType="application/vnd.ms-excel.controlproperties+xml"/>
  <Override PartName="/xl/ctrlProps/ctrlProp2651.xml" ContentType="application/vnd.ms-excel.controlproperties+xml"/>
  <Override PartName="/xl/ctrlProps/ctrlProp2652.xml" ContentType="application/vnd.ms-excel.controlproperties+xml"/>
  <Override PartName="/xl/ctrlProps/ctrlProp2653.xml" ContentType="application/vnd.ms-excel.controlproperties+xml"/>
  <Override PartName="/xl/ctrlProps/ctrlProp2654.xml" ContentType="application/vnd.ms-excel.controlproperties+xml"/>
  <Override PartName="/xl/ctrlProps/ctrlProp2655.xml" ContentType="application/vnd.ms-excel.controlproperties+xml"/>
  <Override PartName="/xl/ctrlProps/ctrlProp2656.xml" ContentType="application/vnd.ms-excel.controlproperties+xml"/>
  <Override PartName="/xl/ctrlProps/ctrlProp2657.xml" ContentType="application/vnd.ms-excel.controlproperties+xml"/>
  <Override PartName="/xl/ctrlProps/ctrlProp2658.xml" ContentType="application/vnd.ms-excel.controlproperties+xml"/>
  <Override PartName="/xl/ctrlProps/ctrlProp2659.xml" ContentType="application/vnd.ms-excel.controlproperties+xml"/>
  <Override PartName="/xl/ctrlProps/ctrlProp2660.xml" ContentType="application/vnd.ms-excel.controlproperties+xml"/>
  <Override PartName="/xl/ctrlProps/ctrlProp2661.xml" ContentType="application/vnd.ms-excel.controlproperties+xml"/>
  <Override PartName="/xl/ctrlProps/ctrlProp2662.xml" ContentType="application/vnd.ms-excel.controlproperties+xml"/>
  <Override PartName="/xl/ctrlProps/ctrlProp2663.xml" ContentType="application/vnd.ms-excel.controlproperties+xml"/>
  <Override PartName="/xl/ctrlProps/ctrlProp2664.xml" ContentType="application/vnd.ms-excel.controlproperties+xml"/>
  <Override PartName="/xl/ctrlProps/ctrlProp2665.xml" ContentType="application/vnd.ms-excel.controlproperties+xml"/>
  <Override PartName="/xl/ctrlProps/ctrlProp2666.xml" ContentType="application/vnd.ms-excel.controlproperties+xml"/>
  <Override PartName="/xl/ctrlProps/ctrlProp2667.xml" ContentType="application/vnd.ms-excel.controlproperties+xml"/>
  <Override PartName="/xl/ctrlProps/ctrlProp2668.xml" ContentType="application/vnd.ms-excel.controlproperties+xml"/>
  <Override PartName="/xl/ctrlProps/ctrlProp2669.xml" ContentType="application/vnd.ms-excel.controlproperties+xml"/>
  <Override PartName="/xl/ctrlProps/ctrlProp2670.xml" ContentType="application/vnd.ms-excel.controlproperties+xml"/>
  <Override PartName="/xl/ctrlProps/ctrlProp2671.xml" ContentType="application/vnd.ms-excel.controlproperties+xml"/>
  <Override PartName="/xl/ctrlProps/ctrlProp2672.xml" ContentType="application/vnd.ms-excel.controlproperties+xml"/>
  <Override PartName="/xl/ctrlProps/ctrlProp2673.xml" ContentType="application/vnd.ms-excel.controlproperties+xml"/>
  <Override PartName="/xl/ctrlProps/ctrlProp2674.xml" ContentType="application/vnd.ms-excel.controlproperties+xml"/>
  <Override PartName="/xl/ctrlProps/ctrlProp2675.xml" ContentType="application/vnd.ms-excel.controlproperties+xml"/>
  <Override PartName="/xl/ctrlProps/ctrlProp2676.xml" ContentType="application/vnd.ms-excel.controlproperties+xml"/>
  <Override PartName="/xl/ctrlProps/ctrlProp2677.xml" ContentType="application/vnd.ms-excel.controlproperties+xml"/>
  <Override PartName="/xl/ctrlProps/ctrlProp2678.xml" ContentType="application/vnd.ms-excel.controlproperties+xml"/>
  <Override PartName="/xl/ctrlProps/ctrlProp2679.xml" ContentType="application/vnd.ms-excel.controlproperties+xml"/>
  <Override PartName="/xl/ctrlProps/ctrlProp2680.xml" ContentType="application/vnd.ms-excel.controlproperties+xml"/>
  <Override PartName="/xl/ctrlProps/ctrlProp2681.xml" ContentType="application/vnd.ms-excel.controlproperties+xml"/>
  <Override PartName="/xl/ctrlProps/ctrlProp2682.xml" ContentType="application/vnd.ms-excel.controlproperties+xml"/>
  <Override PartName="/xl/ctrlProps/ctrlProp2683.xml" ContentType="application/vnd.ms-excel.controlproperties+xml"/>
  <Override PartName="/xl/ctrlProps/ctrlProp2684.xml" ContentType="application/vnd.ms-excel.controlproperties+xml"/>
  <Override PartName="/xl/ctrlProps/ctrlProp2685.xml" ContentType="application/vnd.ms-excel.controlproperties+xml"/>
  <Override PartName="/xl/ctrlProps/ctrlProp2686.xml" ContentType="application/vnd.ms-excel.controlproperties+xml"/>
  <Override PartName="/xl/ctrlProps/ctrlProp268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tables/table190.xml" ContentType="application/vnd.openxmlformats-officedocument.spreadsheetml.table+xml"/>
  <Override PartName="/xl/tables/table191.xml" ContentType="application/vnd.openxmlformats-officedocument.spreadsheetml.table+xml"/>
  <Override PartName="/xl/tables/table192.xml" ContentType="application/vnd.openxmlformats-officedocument.spreadsheetml.table+xml"/>
  <Override PartName="/xl/tables/table193.xml" ContentType="application/vnd.openxmlformats-officedocument.spreadsheetml.table+xml"/>
  <Override PartName="/xl/tables/table194.xml" ContentType="application/vnd.openxmlformats-officedocument.spreadsheetml.table+xml"/>
  <Override PartName="/xl/tables/table195.xml" ContentType="application/vnd.openxmlformats-officedocument.spreadsheetml.table+xml"/>
  <Override PartName="/xl/tables/table196.xml" ContentType="application/vnd.openxmlformats-officedocument.spreadsheetml.table+xml"/>
  <Override PartName="/xl/tables/table197.xml" ContentType="application/vnd.openxmlformats-officedocument.spreadsheetml.table+xml"/>
  <Override PartName="/xl/tables/table198.xml" ContentType="application/vnd.openxmlformats-officedocument.spreadsheetml.table+xml"/>
  <Override PartName="/xl/tables/table199.xml" ContentType="application/vnd.openxmlformats-officedocument.spreadsheetml.table+xml"/>
  <Override PartName="/xl/tables/table200.xml" ContentType="application/vnd.openxmlformats-officedocument.spreadsheetml.table+xml"/>
  <Override PartName="/xl/tables/table201.xml" ContentType="application/vnd.openxmlformats-officedocument.spreadsheetml.table+xml"/>
  <Override PartName="/xl/tables/table202.xml" ContentType="application/vnd.openxmlformats-officedocument.spreadsheetml.table+xml"/>
  <Override PartName="/xl/tables/table203.xml" ContentType="application/vnd.openxmlformats-officedocument.spreadsheetml.table+xml"/>
  <Override PartName="/xl/tables/table204.xml" ContentType="application/vnd.openxmlformats-officedocument.spreadsheetml.table+xml"/>
  <Override PartName="/xl/tables/table205.xml" ContentType="application/vnd.openxmlformats-officedocument.spreadsheetml.table+xml"/>
  <Override PartName="/xl/tables/table206.xml" ContentType="application/vnd.openxmlformats-officedocument.spreadsheetml.table+xml"/>
  <Override PartName="/xl/tables/table207.xml" ContentType="application/vnd.openxmlformats-officedocument.spreadsheetml.table+xml"/>
  <Override PartName="/xl/tables/table208.xml" ContentType="application/vnd.openxmlformats-officedocument.spreadsheetml.table+xml"/>
  <Override PartName="/xl/tables/table209.xml" ContentType="application/vnd.openxmlformats-officedocument.spreadsheetml.table+xml"/>
  <Override PartName="/xl/tables/table210.xml" ContentType="application/vnd.openxmlformats-officedocument.spreadsheetml.table+xml"/>
  <Override PartName="/xl/tables/table211.xml" ContentType="application/vnd.openxmlformats-officedocument.spreadsheetml.table+xml"/>
  <Override PartName="/xl/tables/table212.xml" ContentType="application/vnd.openxmlformats-officedocument.spreadsheetml.table+xml"/>
  <Override PartName="/xl/tables/table213.xml" ContentType="application/vnd.openxmlformats-officedocument.spreadsheetml.table+xml"/>
  <Override PartName="/xl/tables/table214.xml" ContentType="application/vnd.openxmlformats-officedocument.spreadsheetml.table+xml"/>
  <Override PartName="/xl/tables/table215.xml" ContentType="application/vnd.openxmlformats-officedocument.spreadsheetml.table+xml"/>
  <Override PartName="/xl/tables/table216.xml" ContentType="application/vnd.openxmlformats-officedocument.spreadsheetml.table+xml"/>
  <Override PartName="/xl/tables/table217.xml" ContentType="application/vnd.openxmlformats-officedocument.spreadsheetml.table+xml"/>
  <Override PartName="/xl/tables/table218.xml" ContentType="application/vnd.openxmlformats-officedocument.spreadsheetml.table+xml"/>
  <Override PartName="/xl/tables/table219.xml" ContentType="application/vnd.openxmlformats-officedocument.spreadsheetml.table+xml"/>
  <Override PartName="/xl/tables/table220.xml" ContentType="application/vnd.openxmlformats-officedocument.spreadsheetml.table+xml"/>
  <Override PartName="/xl/tables/table221.xml" ContentType="application/vnd.openxmlformats-officedocument.spreadsheetml.table+xml"/>
  <Override PartName="/xl/tables/table222.xml" ContentType="application/vnd.openxmlformats-officedocument.spreadsheetml.table+xml"/>
  <Override PartName="/xl/tables/table223.xml" ContentType="application/vnd.openxmlformats-officedocument.spreadsheetml.table+xml"/>
  <Override PartName="/xl/tables/table224.xml" ContentType="application/vnd.openxmlformats-officedocument.spreadsheetml.table+xml"/>
  <Override PartName="/xl/tables/table225.xml" ContentType="application/vnd.openxmlformats-officedocument.spreadsheetml.table+xml"/>
  <Override PartName="/xl/tables/table226.xml" ContentType="application/vnd.openxmlformats-officedocument.spreadsheetml.table+xml"/>
  <Override PartName="/xl/tables/table227.xml" ContentType="application/vnd.openxmlformats-officedocument.spreadsheetml.table+xml"/>
  <Override PartName="/xl/tables/table228.xml" ContentType="application/vnd.openxmlformats-officedocument.spreadsheetml.table+xml"/>
  <Override PartName="/xl/tables/table229.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trlProps/ctrlProp2688.xml" ContentType="application/vnd.ms-excel.controlproperties+xml"/>
  <Override PartName="/xl/ctrlProps/ctrlProp2689.xml" ContentType="application/vnd.ms-excel.controlproperties+xml"/>
  <Override PartName="/xl/ctrlProps/ctrlProp2690.xml" ContentType="application/vnd.ms-excel.controlproperties+xml"/>
  <Override PartName="/xl/ctrlProps/ctrlProp2691.xml" ContentType="application/vnd.ms-excel.controlproperties+xml"/>
  <Override PartName="/xl/tables/table230.xml" ContentType="application/vnd.openxmlformats-officedocument.spreadsheetml.table+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invird-my.sharepoint.com/personal/yonuery_cruz_mived_gob_do/Documents/Escritorio/11. Planos/PLAN ANUAL DE COMPRAS 2026/"/>
    </mc:Choice>
  </mc:AlternateContent>
  <xr:revisionPtr revIDLastSave="0" documentId="8_{910C86AB-01F0-4F6F-A90F-F9F26081656F}" xr6:coauthVersionLast="47" xr6:coauthVersionMax="47" xr10:uidLastSave="{00000000-0000-0000-0000-000000000000}"/>
  <bookViews>
    <workbookView xWindow="-120" yWindow="-120" windowWidth="29040" windowHeight="15720" tabRatio="606" xr2:uid="{00000000-000D-0000-FFFF-FFFF00000000}"/>
  </bookViews>
  <sheets>
    <sheet name="Plan anul de comp. 2026 (PACC)" sheetId="2" r:id="rId1"/>
    <sheet name="Informacion " sheetId="3" state="hidden" r:id="rId2"/>
    <sheet name="ProcedureTemplate" sheetId="5" state="hidden" r:id="rId3"/>
  </sheets>
  <definedNames>
    <definedName name="_xleta.OR" hidden="1">#NAME?</definedName>
    <definedName name="_xlnm.Print_Area" localSheetId="0">'Plan anul de comp. 2026 (PACC)'!$A$1:$F$4531</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'Plan anul de comp. 2026 (PACC)'!$I:$I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'Plan anul de comp. 2026 (PACC)'!$C:$C</definedName>
    <definedName name="ObjetoContratacionList">'Informacion '!$S$3:$S$7</definedName>
    <definedName name="ObjetoContratacionOculto">'Plan anul de comp. 2026 (PACC)'!$H:$H</definedName>
    <definedName name="Obras">'Informacion '!$S$7</definedName>
    <definedName name="ProcedimientoOculto">'Plan anul de comp. 2026 (PACC)'!$J:$J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'Plan anul de comp. 2026 (PACC)'!$K:$M</definedName>
    <definedName name="TotalEstColumnName">'Plan anul de comp. 2026 (PACC)'!$E:$E</definedName>
    <definedName name="TotalEstColumnValue">'Plan anul de comp. 2026 (PACC)'!$F:$F</definedName>
    <definedName name="TotalEstLabel">'Informacion '!$U$3</definedName>
    <definedName name="UnidadesList">'Informacion '!$Q$3:$Q$43</definedName>
    <definedName name="UNSPSCCode">#REF!</definedName>
    <definedName name="UNSPSCDes">#REF!</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4531" i="2"/>
  <c r="I4531" i="2"/>
  <c r="H4531" i="2"/>
  <c r="C4530" i="2"/>
  <c r="C4527" i="2"/>
  <c r="C4525" i="2"/>
  <c r="J4520" i="2"/>
  <c r="I4520" i="2"/>
  <c r="H4520" i="2"/>
  <c r="C4519" i="2"/>
  <c r="C4516" i="2"/>
  <c r="C4514" i="2"/>
  <c r="J4509" i="2"/>
  <c r="I4509" i="2"/>
  <c r="H4509" i="2"/>
  <c r="C4508" i="2"/>
  <c r="C4507" i="2"/>
  <c r="C4506" i="2"/>
  <c r="C4505" i="2"/>
  <c r="C4504" i="2"/>
  <c r="C4503" i="2"/>
  <c r="C4502" i="2"/>
  <c r="C4501" i="2"/>
  <c r="C4500" i="2"/>
  <c r="C4499" i="2"/>
  <c r="C4498" i="2"/>
  <c r="C4497" i="2"/>
  <c r="C4496" i="2"/>
  <c r="C4495" i="2"/>
  <c r="C4494" i="2"/>
  <c r="C4493" i="2"/>
  <c r="C4492" i="2"/>
  <c r="C4491" i="2"/>
  <c r="C4490" i="2"/>
  <c r="C4489" i="2"/>
  <c r="C4488" i="2"/>
  <c r="C4487" i="2"/>
  <c r="C4486" i="2"/>
  <c r="C4485" i="2"/>
  <c r="C4484" i="2"/>
  <c r="C4483" i="2"/>
  <c r="C4482" i="2"/>
  <c r="C4481" i="2"/>
  <c r="C4480" i="2"/>
  <c r="C4479" i="2"/>
  <c r="C4478" i="2"/>
  <c r="C4477" i="2"/>
  <c r="C4476" i="2"/>
  <c r="C4473" i="2"/>
  <c r="C4471" i="2"/>
  <c r="J4466" i="2"/>
  <c r="I4466" i="2"/>
  <c r="H4466" i="2"/>
  <c r="C4465" i="2"/>
  <c r="C4464" i="2"/>
  <c r="C4463" i="2"/>
  <c r="C4462" i="2"/>
  <c r="C4461" i="2"/>
  <c r="C4460" i="2"/>
  <c r="C4457" i="2"/>
  <c r="C4455" i="2"/>
  <c r="J4450" i="2"/>
  <c r="I4450" i="2"/>
  <c r="H4450" i="2"/>
  <c r="C4449" i="2"/>
  <c r="C4448" i="2"/>
  <c r="C4447" i="2"/>
  <c r="C4446" i="2"/>
  <c r="C4445" i="2"/>
  <c r="C4444" i="2"/>
  <c r="C4443" i="2"/>
  <c r="C4442" i="2"/>
  <c r="C4441" i="2"/>
  <c r="C4440" i="2"/>
  <c r="C4439" i="2"/>
  <c r="C4438" i="2"/>
  <c r="C4437" i="2"/>
  <c r="C4436" i="2"/>
  <c r="C4435" i="2"/>
  <c r="C4434" i="2"/>
  <c r="C4433" i="2"/>
  <c r="C4432" i="2"/>
  <c r="C4431" i="2"/>
  <c r="C4430" i="2"/>
  <c r="C4429" i="2"/>
  <c r="C4428" i="2"/>
  <c r="C4427" i="2"/>
  <c r="C4426" i="2"/>
  <c r="C4425" i="2"/>
  <c r="C4424" i="2"/>
  <c r="C4423" i="2"/>
  <c r="C4422" i="2"/>
  <c r="C4421" i="2"/>
  <c r="C4420" i="2"/>
  <c r="C4419" i="2"/>
  <c r="C4418" i="2"/>
  <c r="C4417" i="2"/>
  <c r="C4416" i="2"/>
  <c r="C4415" i="2"/>
  <c r="C4414" i="2"/>
  <c r="C4413" i="2"/>
  <c r="C4412" i="2"/>
  <c r="C4411" i="2"/>
  <c r="C4410" i="2"/>
  <c r="C4409" i="2"/>
  <c r="C4408" i="2"/>
  <c r="C4407" i="2"/>
  <c r="C4406" i="2"/>
  <c r="C4405" i="2"/>
  <c r="C4404" i="2"/>
  <c r="C4403" i="2"/>
  <c r="C4402" i="2"/>
  <c r="C4401" i="2"/>
  <c r="C4400" i="2"/>
  <c r="C4399" i="2"/>
  <c r="C4398" i="2"/>
  <c r="C4397" i="2"/>
  <c r="C4396" i="2"/>
  <c r="C4395" i="2"/>
  <c r="C4394" i="2"/>
  <c r="C4393" i="2"/>
  <c r="C4390" i="2"/>
  <c r="C4388" i="2"/>
  <c r="J4383" i="2"/>
  <c r="I4383" i="2"/>
  <c r="H4383" i="2"/>
  <c r="C4382" i="2"/>
  <c r="C4381" i="2"/>
  <c r="C4380" i="2"/>
  <c r="C4379" i="2"/>
  <c r="C4376" i="2"/>
  <c r="C4374" i="2"/>
  <c r="J4369" i="2"/>
  <c r="I4369" i="2"/>
  <c r="H4369" i="2"/>
  <c r="C4368" i="2"/>
  <c r="C4367" i="2"/>
  <c r="C4366" i="2"/>
  <c r="C4365" i="2"/>
  <c r="C4364" i="2"/>
  <c r="C4363" i="2"/>
  <c r="C4362" i="2"/>
  <c r="C4361" i="2"/>
  <c r="C4360" i="2"/>
  <c r="C4359" i="2"/>
  <c r="C4358" i="2"/>
  <c r="C4357" i="2"/>
  <c r="C4356" i="2"/>
  <c r="C4355" i="2"/>
  <c r="C4354" i="2"/>
  <c r="C4353" i="2"/>
  <c r="C4352" i="2"/>
  <c r="C4351" i="2"/>
  <c r="C4350" i="2"/>
  <c r="C4349" i="2"/>
  <c r="C4348" i="2"/>
  <c r="C4347" i="2"/>
  <c r="C4346" i="2"/>
  <c r="C4345" i="2"/>
  <c r="C4344" i="2"/>
  <c r="C4343" i="2"/>
  <c r="C4342" i="2"/>
  <c r="C4341" i="2"/>
  <c r="C4340" i="2"/>
  <c r="C4339" i="2"/>
  <c r="C4338" i="2"/>
  <c r="C4337" i="2"/>
  <c r="C4336" i="2"/>
  <c r="C4335" i="2"/>
  <c r="C4334" i="2"/>
  <c r="C4333" i="2"/>
  <c r="C4332" i="2"/>
  <c r="C4331" i="2"/>
  <c r="C4330" i="2"/>
  <c r="C4329" i="2"/>
  <c r="C4328" i="2"/>
  <c r="C4327" i="2"/>
  <c r="C4326" i="2"/>
  <c r="C4325" i="2"/>
  <c r="C4322" i="2"/>
  <c r="C4320" i="2"/>
  <c r="J4315" i="2"/>
  <c r="I4315" i="2"/>
  <c r="H4315" i="2"/>
  <c r="C4314" i="2"/>
  <c r="C4313" i="2"/>
  <c r="C4312" i="2"/>
  <c r="C4311" i="2"/>
  <c r="C4310" i="2"/>
  <c r="C4309" i="2"/>
  <c r="C4308" i="2"/>
  <c r="C4307" i="2"/>
  <c r="C4306" i="2"/>
  <c r="C4305" i="2"/>
  <c r="C4304" i="2"/>
  <c r="C4303" i="2"/>
  <c r="C4302" i="2"/>
  <c r="C4301" i="2"/>
  <c r="C4300" i="2"/>
  <c r="C4299" i="2"/>
  <c r="C4298" i="2"/>
  <c r="C4297" i="2"/>
  <c r="C4296" i="2"/>
  <c r="C4295" i="2"/>
  <c r="C4294" i="2"/>
  <c r="C4293" i="2"/>
  <c r="C4292" i="2"/>
  <c r="C4291" i="2"/>
  <c r="C4290" i="2"/>
  <c r="C4289" i="2"/>
  <c r="C4288" i="2"/>
  <c r="C4287" i="2"/>
  <c r="C4286" i="2"/>
  <c r="C4285" i="2"/>
  <c r="C4284" i="2"/>
  <c r="C4283" i="2"/>
  <c r="C4282" i="2"/>
  <c r="C4281" i="2"/>
  <c r="C4280" i="2"/>
  <c r="C4279" i="2"/>
  <c r="C4278" i="2"/>
  <c r="C4277" i="2"/>
  <c r="C4276" i="2"/>
  <c r="C4275" i="2"/>
  <c r="C4274" i="2"/>
  <c r="C4273" i="2"/>
  <c r="C4272" i="2"/>
  <c r="C4269" i="2"/>
  <c r="C4267" i="2"/>
  <c r="J4262" i="2"/>
  <c r="I4262" i="2"/>
  <c r="H4262" i="2"/>
  <c r="C4261" i="2"/>
  <c r="C4260" i="2"/>
  <c r="C4259" i="2"/>
  <c r="C4258" i="2"/>
  <c r="C4257" i="2"/>
  <c r="C4256" i="2"/>
  <c r="C4255" i="2"/>
  <c r="C4254" i="2"/>
  <c r="C4253" i="2"/>
  <c r="C4252" i="2"/>
  <c r="C4251" i="2"/>
  <c r="C4250" i="2"/>
  <c r="C4249" i="2"/>
  <c r="C4248" i="2"/>
  <c r="C4247" i="2"/>
  <c r="C4246" i="2"/>
  <c r="C4245" i="2"/>
  <c r="C4244" i="2"/>
  <c r="C4243" i="2"/>
  <c r="C4242" i="2"/>
  <c r="C4241" i="2"/>
  <c r="C4240" i="2"/>
  <c r="C4239" i="2"/>
  <c r="C4238" i="2"/>
  <c r="C4237" i="2"/>
  <c r="C4236" i="2"/>
  <c r="C4235" i="2"/>
  <c r="C4234" i="2"/>
  <c r="C4233" i="2"/>
  <c r="C4232" i="2"/>
  <c r="C4231" i="2"/>
  <c r="C4230" i="2"/>
  <c r="C4229" i="2"/>
  <c r="C4228" i="2"/>
  <c r="C4227" i="2"/>
  <c r="C4226" i="2"/>
  <c r="C4225" i="2"/>
  <c r="C4224" i="2"/>
  <c r="C4223" i="2"/>
  <c r="C4222" i="2"/>
  <c r="C4221" i="2"/>
  <c r="C4220" i="2"/>
  <c r="C4219" i="2"/>
  <c r="C4218" i="2"/>
  <c r="C4215" i="2"/>
  <c r="C4213" i="2"/>
  <c r="J4208" i="2"/>
  <c r="I4208" i="2"/>
  <c r="H4208" i="2"/>
  <c r="C4207" i="2"/>
  <c r="C4206" i="2"/>
  <c r="C4205" i="2"/>
  <c r="C4204" i="2"/>
  <c r="C4203" i="2"/>
  <c r="C4202" i="2"/>
  <c r="C4201" i="2"/>
  <c r="C4200" i="2"/>
  <c r="C4199" i="2"/>
  <c r="C4198" i="2"/>
  <c r="C4197" i="2"/>
  <c r="C4196" i="2"/>
  <c r="C4195" i="2"/>
  <c r="C4194" i="2"/>
  <c r="C4193" i="2"/>
  <c r="C4192" i="2"/>
  <c r="C4191" i="2"/>
  <c r="C4190" i="2"/>
  <c r="C4189" i="2"/>
  <c r="C4188" i="2"/>
  <c r="C4187" i="2"/>
  <c r="C4186" i="2"/>
  <c r="C4185" i="2"/>
  <c r="C4184" i="2"/>
  <c r="C4183" i="2"/>
  <c r="C4182" i="2"/>
  <c r="C4181" i="2"/>
  <c r="C4180" i="2"/>
  <c r="C4179" i="2"/>
  <c r="C4178" i="2"/>
  <c r="C4177" i="2"/>
  <c r="C4176" i="2"/>
  <c r="C4175" i="2"/>
  <c r="C4174" i="2"/>
  <c r="C4173" i="2"/>
  <c r="C4172" i="2"/>
  <c r="C4171" i="2"/>
  <c r="C4170" i="2"/>
  <c r="C4169" i="2"/>
  <c r="C4168" i="2"/>
  <c r="C4167" i="2"/>
  <c r="C4166" i="2"/>
  <c r="C4165" i="2"/>
  <c r="C4164" i="2"/>
  <c r="C4161" i="2"/>
  <c r="C4159" i="2"/>
  <c r="J4154" i="2"/>
  <c r="I4154" i="2"/>
  <c r="H4154" i="2"/>
  <c r="C4153" i="2"/>
  <c r="C4150" i="2"/>
  <c r="C4148" i="2"/>
  <c r="J4143" i="2"/>
  <c r="I4143" i="2"/>
  <c r="H4143" i="2"/>
  <c r="C4142" i="2"/>
  <c r="C4141" i="2"/>
  <c r="C4140" i="2"/>
  <c r="C4139" i="2"/>
  <c r="C4138" i="2"/>
  <c r="C4135" i="2"/>
  <c r="C4133" i="2"/>
  <c r="J4128" i="2"/>
  <c r="I4128" i="2"/>
  <c r="H4128" i="2"/>
  <c r="C4127" i="2"/>
  <c r="C4126" i="2"/>
  <c r="C4125" i="2"/>
  <c r="C4124" i="2"/>
  <c r="C4123" i="2"/>
  <c r="C4122" i="2"/>
  <c r="C4121" i="2"/>
  <c r="C4120" i="2"/>
  <c r="C4119" i="2"/>
  <c r="C4118" i="2"/>
  <c r="C4117" i="2"/>
  <c r="C4116" i="2"/>
  <c r="C4115" i="2"/>
  <c r="C4114" i="2"/>
  <c r="C4113" i="2"/>
  <c r="C4112" i="2"/>
  <c r="C4111" i="2"/>
  <c r="C4110" i="2"/>
  <c r="C4109" i="2"/>
  <c r="C4108" i="2"/>
  <c r="C4107" i="2"/>
  <c r="C4106" i="2"/>
  <c r="C4105" i="2"/>
  <c r="C4104" i="2"/>
  <c r="C4103" i="2"/>
  <c r="C4102" i="2"/>
  <c r="C4101" i="2"/>
  <c r="C4100" i="2"/>
  <c r="C4099" i="2"/>
  <c r="C4098" i="2"/>
  <c r="C4097" i="2"/>
  <c r="C4096" i="2"/>
  <c r="C4095" i="2"/>
  <c r="C4094" i="2"/>
  <c r="C4093" i="2"/>
  <c r="C4092" i="2"/>
  <c r="C4091" i="2"/>
  <c r="C4090" i="2"/>
  <c r="C4089" i="2"/>
  <c r="C4088" i="2"/>
  <c r="C4087" i="2"/>
  <c r="C4086" i="2"/>
  <c r="C4085" i="2"/>
  <c r="C4084" i="2"/>
  <c r="C4081" i="2"/>
  <c r="C4079" i="2"/>
  <c r="J4074" i="2"/>
  <c r="I4074" i="2"/>
  <c r="H4074" i="2"/>
  <c r="C4073" i="2"/>
  <c r="C4072" i="2"/>
  <c r="C4071" i="2"/>
  <c r="C4070" i="2"/>
  <c r="C4069" i="2"/>
  <c r="C4068" i="2"/>
  <c r="C4067" i="2"/>
  <c r="C4066" i="2"/>
  <c r="C4065" i="2"/>
  <c r="C4064" i="2"/>
  <c r="C4063" i="2"/>
  <c r="C4062" i="2"/>
  <c r="C4061" i="2"/>
  <c r="C4060" i="2"/>
  <c r="C4059" i="2"/>
  <c r="C4058" i="2"/>
  <c r="C4057" i="2"/>
  <c r="C4056" i="2"/>
  <c r="C4055" i="2"/>
  <c r="C4054" i="2"/>
  <c r="C4053" i="2"/>
  <c r="C4052" i="2"/>
  <c r="C4051" i="2"/>
  <c r="C4050" i="2"/>
  <c r="C4047" i="2"/>
  <c r="C4045" i="2"/>
  <c r="J4040" i="2"/>
  <c r="I4040" i="2"/>
  <c r="H4040" i="2"/>
  <c r="C4039" i="2"/>
  <c r="C4036" i="2"/>
  <c r="C4034" i="2"/>
  <c r="J4029" i="2"/>
  <c r="I4029" i="2"/>
  <c r="H4029" i="2"/>
  <c r="C4028" i="2"/>
  <c r="C4027" i="2"/>
  <c r="C4026" i="2"/>
  <c r="C4025" i="2"/>
  <c r="C4024" i="2"/>
  <c r="C4023" i="2"/>
  <c r="C4022" i="2"/>
  <c r="C4021" i="2"/>
  <c r="C4020" i="2"/>
  <c r="C4019" i="2"/>
  <c r="C4018" i="2"/>
  <c r="C4017" i="2"/>
  <c r="C4016" i="2"/>
  <c r="C4015" i="2"/>
  <c r="C4012" i="2"/>
  <c r="C4010" i="2"/>
  <c r="J4005" i="2"/>
  <c r="I4005" i="2"/>
  <c r="H4005" i="2"/>
  <c r="C4004" i="2"/>
  <c r="C4001" i="2"/>
  <c r="C3999" i="2"/>
  <c r="J3994" i="2"/>
  <c r="I3994" i="2"/>
  <c r="H3994" i="2"/>
  <c r="C3993" i="2"/>
  <c r="C3992" i="2"/>
  <c r="C3991" i="2"/>
  <c r="C3990" i="2"/>
  <c r="C3987" i="2"/>
  <c r="C3985" i="2"/>
  <c r="J3980" i="2"/>
  <c r="I3980" i="2"/>
  <c r="H3980" i="2"/>
  <c r="C3979" i="2"/>
  <c r="C3978" i="2"/>
  <c r="C3977" i="2"/>
  <c r="C3976" i="2"/>
  <c r="C3975" i="2"/>
  <c r="C3974" i="2"/>
  <c r="C3973" i="2"/>
  <c r="C3972" i="2"/>
  <c r="C3971" i="2"/>
  <c r="C3970" i="2"/>
  <c r="C3969" i="2"/>
  <c r="C3968" i="2"/>
  <c r="C3967" i="2"/>
  <c r="C3966" i="2"/>
  <c r="C3965" i="2"/>
  <c r="C3964" i="2"/>
  <c r="C3963" i="2"/>
  <c r="C3962" i="2"/>
  <c r="C3961" i="2"/>
  <c r="C3960" i="2"/>
  <c r="C3959" i="2"/>
  <c r="C3958" i="2"/>
  <c r="C3957" i="2"/>
  <c r="C3956" i="2"/>
  <c r="C3955" i="2"/>
  <c r="C3954" i="2"/>
  <c r="C3953" i="2"/>
  <c r="C3952" i="2"/>
  <c r="C3951" i="2"/>
  <c r="C3950" i="2"/>
  <c r="C3949" i="2"/>
  <c r="C3948" i="2"/>
  <c r="C3947" i="2"/>
  <c r="C3946" i="2"/>
  <c r="C3945" i="2"/>
  <c r="C3944" i="2"/>
  <c r="C3943" i="2"/>
  <c r="C3942" i="2"/>
  <c r="C3941" i="2"/>
  <c r="C3940" i="2"/>
  <c r="C3939" i="2"/>
  <c r="C3938" i="2"/>
  <c r="C3937" i="2"/>
  <c r="C3936" i="2"/>
  <c r="C3935" i="2"/>
  <c r="C3934" i="2"/>
  <c r="C3933" i="2"/>
  <c r="C3932" i="2"/>
  <c r="C3931" i="2"/>
  <c r="C3930" i="2"/>
  <c r="C3929" i="2"/>
  <c r="C3928" i="2"/>
  <c r="C3927" i="2"/>
  <c r="C3926" i="2"/>
  <c r="C3925" i="2"/>
  <c r="C3924" i="2"/>
  <c r="C3923" i="2"/>
  <c r="C3922" i="2"/>
  <c r="C3921" i="2"/>
  <c r="C3920" i="2"/>
  <c r="C3919" i="2"/>
  <c r="C3918" i="2"/>
  <c r="C3917" i="2"/>
  <c r="C3916" i="2"/>
  <c r="C3915" i="2"/>
  <c r="C3914" i="2"/>
  <c r="C3913" i="2"/>
  <c r="C3912" i="2"/>
  <c r="C3911" i="2"/>
  <c r="C3910" i="2"/>
  <c r="C3909" i="2"/>
  <c r="C3908" i="2"/>
  <c r="C3907" i="2"/>
  <c r="C3906" i="2"/>
  <c r="C3905" i="2"/>
  <c r="C3904" i="2"/>
  <c r="C3903" i="2"/>
  <c r="C3902" i="2"/>
  <c r="C3901" i="2"/>
  <c r="C3900" i="2"/>
  <c r="C3899" i="2"/>
  <c r="C3898" i="2"/>
  <c r="C3895" i="2"/>
  <c r="C3893" i="2"/>
  <c r="J3888" i="2"/>
  <c r="I3888" i="2"/>
  <c r="H3888" i="2"/>
  <c r="C3887" i="2"/>
  <c r="C3884" i="2"/>
  <c r="C3882" i="2"/>
  <c r="J3877" i="2"/>
  <c r="I3877" i="2"/>
  <c r="H3877" i="2"/>
  <c r="C3876" i="2"/>
  <c r="C3875" i="2"/>
  <c r="C3874" i="2"/>
  <c r="C3873" i="2"/>
  <c r="C3872" i="2"/>
  <c r="C3871" i="2"/>
  <c r="C3870" i="2"/>
  <c r="C3869" i="2"/>
  <c r="C3866" i="2"/>
  <c r="C3864" i="2"/>
  <c r="J3859" i="2"/>
  <c r="I3859" i="2"/>
  <c r="H3859" i="2"/>
  <c r="C3858" i="2"/>
  <c r="C3855" i="2"/>
  <c r="C3853" i="2"/>
  <c r="J3848" i="2"/>
  <c r="I3848" i="2"/>
  <c r="H3848" i="2"/>
  <c r="C3847" i="2"/>
  <c r="C3846" i="2"/>
  <c r="C3845" i="2"/>
  <c r="C3844" i="2"/>
  <c r="C3843" i="2"/>
  <c r="C3842" i="2"/>
  <c r="C3841" i="2"/>
  <c r="C3840" i="2"/>
  <c r="C3839" i="2"/>
  <c r="C3838" i="2"/>
  <c r="C3837" i="2"/>
  <c r="C3836" i="2"/>
  <c r="C3835" i="2"/>
  <c r="C3834" i="2"/>
  <c r="C3833" i="2"/>
  <c r="C3832" i="2"/>
  <c r="C3831" i="2"/>
  <c r="C3830" i="2"/>
  <c r="C3829" i="2"/>
  <c r="C3828" i="2"/>
  <c r="C3825" i="2"/>
  <c r="C3823" i="2"/>
  <c r="J3818" i="2"/>
  <c r="I3818" i="2"/>
  <c r="H3818" i="2"/>
  <c r="C3817" i="2"/>
  <c r="C3814" i="2"/>
  <c r="C3812" i="2"/>
  <c r="J3807" i="2"/>
  <c r="I3807" i="2"/>
  <c r="H3807" i="2"/>
  <c r="C3806" i="2"/>
  <c r="C3805" i="2"/>
  <c r="C3802" i="2"/>
  <c r="C3800" i="2"/>
  <c r="J3795" i="2"/>
  <c r="I3795" i="2"/>
  <c r="H3795" i="2"/>
  <c r="C3794" i="2"/>
  <c r="C3791" i="2"/>
  <c r="C3789" i="2"/>
  <c r="J3784" i="2"/>
  <c r="I3784" i="2"/>
  <c r="H3784" i="2"/>
  <c r="C3783" i="2"/>
  <c r="C3780" i="2"/>
  <c r="C3778" i="2"/>
  <c r="J3773" i="2"/>
  <c r="I3773" i="2"/>
  <c r="H3773" i="2"/>
  <c r="C3772" i="2"/>
  <c r="C3771" i="2"/>
  <c r="C3768" i="2"/>
  <c r="C3766" i="2"/>
  <c r="J3761" i="2"/>
  <c r="I3761" i="2"/>
  <c r="H3761" i="2"/>
  <c r="C3760" i="2"/>
  <c r="C3759" i="2"/>
  <c r="C3758" i="2"/>
  <c r="C3757" i="2"/>
  <c r="C3756" i="2"/>
  <c r="C3755" i="2"/>
  <c r="C3754" i="2"/>
  <c r="C3753" i="2"/>
  <c r="C3752" i="2"/>
  <c r="C3751" i="2"/>
  <c r="C3750" i="2"/>
  <c r="C3749" i="2"/>
  <c r="C3748" i="2"/>
  <c r="C3747" i="2"/>
  <c r="C3746" i="2"/>
  <c r="C3745" i="2"/>
  <c r="C3744" i="2"/>
  <c r="C3743" i="2"/>
  <c r="C3742" i="2"/>
  <c r="C3741" i="2"/>
  <c r="C3740" i="2"/>
  <c r="C3739" i="2"/>
  <c r="C3738" i="2"/>
  <c r="C3737" i="2"/>
  <c r="C3736" i="2"/>
  <c r="C3735" i="2"/>
  <c r="C3734" i="2"/>
  <c r="C3733" i="2"/>
  <c r="C3732" i="2"/>
  <c r="C3731" i="2"/>
  <c r="C3730" i="2"/>
  <c r="C3729" i="2"/>
  <c r="C3728" i="2"/>
  <c r="C3727" i="2"/>
  <c r="C3726" i="2"/>
  <c r="C3725" i="2"/>
  <c r="C3724" i="2"/>
  <c r="C3723" i="2"/>
  <c r="C3722" i="2"/>
  <c r="C3721" i="2"/>
  <c r="C3720" i="2"/>
  <c r="C3719" i="2"/>
  <c r="C3718" i="2"/>
  <c r="C3715" i="2"/>
  <c r="C3713" i="2"/>
  <c r="J3708" i="2"/>
  <c r="I3708" i="2"/>
  <c r="H3708" i="2"/>
  <c r="C3707" i="2"/>
  <c r="C3706" i="2"/>
  <c r="C3705" i="2"/>
  <c r="C3704" i="2"/>
  <c r="C3701" i="2"/>
  <c r="C3699" i="2"/>
  <c r="J3694" i="2"/>
  <c r="I3694" i="2"/>
  <c r="H3694" i="2"/>
  <c r="C3693" i="2"/>
  <c r="C3692" i="2"/>
  <c r="C3689" i="2"/>
  <c r="C3687" i="2"/>
  <c r="J3682" i="2"/>
  <c r="I3682" i="2"/>
  <c r="H3682" i="2"/>
  <c r="C3681" i="2"/>
  <c r="C3680" i="2"/>
  <c r="C3679" i="2"/>
  <c r="C3678" i="2"/>
  <c r="C3677" i="2"/>
  <c r="C3676" i="2"/>
  <c r="C3675" i="2"/>
  <c r="C3674" i="2"/>
  <c r="C3673" i="2"/>
  <c r="C3672" i="2"/>
  <c r="C3671" i="2"/>
  <c r="C3670" i="2"/>
  <c r="C3669" i="2"/>
  <c r="C3668" i="2"/>
  <c r="C3667" i="2"/>
  <c r="C3666" i="2"/>
  <c r="C3665" i="2"/>
  <c r="C3664" i="2"/>
  <c r="C3663" i="2"/>
  <c r="C3662" i="2"/>
  <c r="C3661" i="2"/>
  <c r="C3660" i="2"/>
  <c r="C3659" i="2"/>
  <c r="C3658" i="2"/>
  <c r="C3657" i="2"/>
  <c r="C3656" i="2"/>
  <c r="C3655" i="2"/>
  <c r="C3654" i="2"/>
  <c r="C3653" i="2"/>
  <c r="C3652" i="2"/>
  <c r="C3651" i="2"/>
  <c r="C3650" i="2"/>
  <c r="C3649" i="2"/>
  <c r="C3648" i="2"/>
  <c r="C3647" i="2"/>
  <c r="C3646" i="2"/>
  <c r="C3645" i="2"/>
  <c r="C3644" i="2"/>
  <c r="C3643" i="2"/>
  <c r="C3642" i="2"/>
  <c r="C3641" i="2"/>
  <c r="C3640" i="2"/>
  <c r="C3639" i="2"/>
  <c r="C3638" i="2"/>
  <c r="C3637" i="2"/>
  <c r="C3636" i="2"/>
  <c r="C3635" i="2"/>
  <c r="C3634" i="2"/>
  <c r="C3633" i="2"/>
  <c r="C3632" i="2"/>
  <c r="C3631" i="2"/>
  <c r="C3630" i="2"/>
  <c r="C3629" i="2"/>
  <c r="C3628" i="2"/>
  <c r="C3627" i="2"/>
  <c r="C3626" i="2"/>
  <c r="C3625" i="2"/>
  <c r="C3624" i="2"/>
  <c r="C3623" i="2"/>
  <c r="C3622" i="2"/>
  <c r="C3621" i="2"/>
  <c r="C3620" i="2"/>
  <c r="C3619" i="2"/>
  <c r="C3618" i="2"/>
  <c r="C3617" i="2"/>
  <c r="C3616" i="2"/>
  <c r="C3615" i="2"/>
  <c r="C3614" i="2"/>
  <c r="C3613" i="2"/>
  <c r="C3612" i="2"/>
  <c r="C3611" i="2"/>
  <c r="C3610" i="2"/>
  <c r="C3609" i="2"/>
  <c r="C3608" i="2"/>
  <c r="C3607" i="2"/>
  <c r="C3606" i="2"/>
  <c r="C3605" i="2"/>
  <c r="C3604" i="2"/>
  <c r="C3603" i="2"/>
  <c r="C3602" i="2"/>
  <c r="C3601" i="2"/>
  <c r="C3600" i="2"/>
  <c r="C3599" i="2"/>
  <c r="C3598" i="2"/>
  <c r="C3597" i="2"/>
  <c r="C3596" i="2"/>
  <c r="C3595" i="2"/>
  <c r="C3594" i="2"/>
  <c r="C3593" i="2"/>
  <c r="C3592" i="2"/>
  <c r="C3591" i="2"/>
  <c r="C3590" i="2"/>
  <c r="C3589" i="2"/>
  <c r="C3588" i="2"/>
  <c r="C3587" i="2"/>
  <c r="C3586" i="2"/>
  <c r="C3585" i="2"/>
  <c r="C3584" i="2"/>
  <c r="C3583" i="2"/>
  <c r="C3582" i="2"/>
  <c r="C3581" i="2"/>
  <c r="C3580" i="2"/>
  <c r="C3579" i="2"/>
  <c r="C3578" i="2"/>
  <c r="C3577" i="2"/>
  <c r="C3576" i="2"/>
  <c r="C3575" i="2"/>
  <c r="C3574" i="2"/>
  <c r="C3573" i="2"/>
  <c r="C3572" i="2"/>
  <c r="C3571" i="2"/>
  <c r="C3570" i="2"/>
  <c r="C3569" i="2"/>
  <c r="C3568" i="2"/>
  <c r="C3567" i="2"/>
  <c r="C3566" i="2"/>
  <c r="C3563" i="2"/>
  <c r="C3561" i="2"/>
  <c r="J3556" i="2"/>
  <c r="I3556" i="2"/>
  <c r="H3556" i="2"/>
  <c r="C3555" i="2"/>
  <c r="C3552" i="2"/>
  <c r="C3550" i="2"/>
  <c r="J3545" i="2"/>
  <c r="I3545" i="2"/>
  <c r="H3545" i="2"/>
  <c r="C3544" i="2"/>
  <c r="C3541" i="2"/>
  <c r="C3539" i="2"/>
  <c r="J3534" i="2"/>
  <c r="I3534" i="2"/>
  <c r="H3534" i="2"/>
  <c r="C3533" i="2"/>
  <c r="C3532" i="2"/>
  <c r="C3529" i="2"/>
  <c r="C3527" i="2"/>
  <c r="J3522" i="2"/>
  <c r="I3522" i="2"/>
  <c r="H3522" i="2"/>
  <c r="C3521" i="2"/>
  <c r="C3518" i="2"/>
  <c r="C3516" i="2"/>
  <c r="J3511" i="2"/>
  <c r="I3511" i="2"/>
  <c r="H3511" i="2"/>
  <c r="C3510" i="2"/>
  <c r="C3507" i="2"/>
  <c r="C3505" i="2"/>
  <c r="J3500" i="2"/>
  <c r="I3500" i="2"/>
  <c r="H3500" i="2"/>
  <c r="C3499" i="2"/>
  <c r="C3496" i="2"/>
  <c r="C3494" i="2"/>
  <c r="J3489" i="2"/>
  <c r="I3489" i="2"/>
  <c r="H3489" i="2"/>
  <c r="C3488" i="2"/>
  <c r="C3485" i="2"/>
  <c r="C3483" i="2"/>
  <c r="J3478" i="2"/>
  <c r="I3478" i="2"/>
  <c r="H3478" i="2"/>
  <c r="C3477" i="2"/>
  <c r="C3474" i="2"/>
  <c r="C3472" i="2"/>
  <c r="J3467" i="2"/>
  <c r="I3467" i="2"/>
  <c r="H3467" i="2"/>
  <c r="C3466" i="2"/>
  <c r="C3465" i="2"/>
  <c r="C3462" i="2"/>
  <c r="C3460" i="2"/>
  <c r="J3455" i="2"/>
  <c r="I3455" i="2"/>
  <c r="H3455" i="2"/>
  <c r="C3454" i="2"/>
  <c r="C3453" i="2"/>
  <c r="C3450" i="2"/>
  <c r="C3448" i="2"/>
  <c r="J3443" i="2"/>
  <c r="I3443" i="2"/>
  <c r="H3443" i="2"/>
  <c r="C3442" i="2"/>
  <c r="C3439" i="2"/>
  <c r="C3437" i="2"/>
  <c r="J3432" i="2"/>
  <c r="I3432" i="2"/>
  <c r="H3432" i="2"/>
  <c r="C3431" i="2"/>
  <c r="C3430" i="2"/>
  <c r="C3427" i="2"/>
  <c r="C3425" i="2"/>
  <c r="J3420" i="2"/>
  <c r="I3420" i="2"/>
  <c r="H3420" i="2"/>
  <c r="C3419" i="2"/>
  <c r="C3418" i="2"/>
  <c r="C3415" i="2"/>
  <c r="C3413" i="2"/>
  <c r="J3408" i="2"/>
  <c r="I3408" i="2"/>
  <c r="H3408" i="2"/>
  <c r="C3407" i="2"/>
  <c r="C3406" i="2"/>
  <c r="C3403" i="2"/>
  <c r="C3401" i="2"/>
  <c r="J3396" i="2"/>
  <c r="I3396" i="2"/>
  <c r="H3396" i="2"/>
  <c r="C3395" i="2"/>
  <c r="C3392" i="2"/>
  <c r="C3390" i="2"/>
  <c r="J3385" i="2"/>
  <c r="I3385" i="2"/>
  <c r="H3385" i="2"/>
  <c r="C3384" i="2"/>
  <c r="C3381" i="2"/>
  <c r="C3379" i="2"/>
  <c r="J3374" i="2"/>
  <c r="I3374" i="2"/>
  <c r="H3374" i="2"/>
  <c r="C3373" i="2"/>
  <c r="C3370" i="2"/>
  <c r="C3368" i="2"/>
  <c r="J3363" i="2"/>
  <c r="I3363" i="2"/>
  <c r="H3363" i="2"/>
  <c r="C3362" i="2"/>
  <c r="C3359" i="2"/>
  <c r="C3357" i="2"/>
  <c r="J3352" i="2"/>
  <c r="I3352" i="2"/>
  <c r="H3352" i="2"/>
  <c r="C3351" i="2"/>
  <c r="C3348" i="2"/>
  <c r="C3346" i="2"/>
  <c r="J3341" i="2"/>
  <c r="I3341" i="2"/>
  <c r="H3341" i="2"/>
  <c r="C3340" i="2"/>
  <c r="C3337" i="2"/>
  <c r="C3335" i="2"/>
  <c r="J3330" i="2"/>
  <c r="I3330" i="2"/>
  <c r="H3330" i="2"/>
  <c r="C3329" i="2"/>
  <c r="C3326" i="2"/>
  <c r="C3324" i="2"/>
  <c r="J3319" i="2"/>
  <c r="I3319" i="2"/>
  <c r="H3319" i="2"/>
  <c r="C3318" i="2"/>
  <c r="C3315" i="2"/>
  <c r="C3313" i="2"/>
  <c r="J3308" i="2"/>
  <c r="I3308" i="2"/>
  <c r="H3308" i="2"/>
  <c r="C3307" i="2"/>
  <c r="C3304" i="2"/>
  <c r="C3302" i="2"/>
  <c r="J3297" i="2"/>
  <c r="I3297" i="2"/>
  <c r="H3297" i="2"/>
  <c r="C3296" i="2"/>
  <c r="C3293" i="2"/>
  <c r="C3291" i="2"/>
  <c r="J3286" i="2"/>
  <c r="I3286" i="2"/>
  <c r="H3286" i="2"/>
  <c r="C3285" i="2"/>
  <c r="C3282" i="2"/>
  <c r="C3280" i="2"/>
  <c r="J3275" i="2"/>
  <c r="I3275" i="2"/>
  <c r="H3275" i="2"/>
  <c r="C3274" i="2"/>
  <c r="C3271" i="2"/>
  <c r="C3269" i="2"/>
  <c r="J3264" i="2"/>
  <c r="I3264" i="2"/>
  <c r="H3264" i="2"/>
  <c r="C3263" i="2"/>
  <c r="C3262" i="2"/>
  <c r="C3261" i="2"/>
  <c r="C3260" i="2"/>
  <c r="C3259" i="2"/>
  <c r="C3258" i="2"/>
  <c r="C3257" i="2"/>
  <c r="C3256" i="2"/>
  <c r="C3255" i="2"/>
  <c r="C3254" i="2"/>
  <c r="C3253" i="2"/>
  <c r="C3252" i="2"/>
  <c r="C3249" i="2"/>
  <c r="C3247" i="2"/>
  <c r="J3242" i="2"/>
  <c r="I3242" i="2"/>
  <c r="H3242" i="2"/>
  <c r="C3241" i="2"/>
  <c r="C3238" i="2"/>
  <c r="C3236" i="2"/>
  <c r="J3231" i="2"/>
  <c r="I3231" i="2"/>
  <c r="H3231" i="2"/>
  <c r="C3230" i="2"/>
  <c r="C3229" i="2"/>
  <c r="C3228" i="2"/>
  <c r="C3225" i="2"/>
  <c r="C3223" i="2"/>
  <c r="J3218" i="2"/>
  <c r="I3218" i="2"/>
  <c r="H3218" i="2"/>
  <c r="C3217" i="2"/>
  <c r="C3216" i="2"/>
  <c r="C3213" i="2"/>
  <c r="C3211" i="2"/>
  <c r="J3206" i="2"/>
  <c r="I3206" i="2"/>
  <c r="H3206" i="2"/>
  <c r="C3205" i="2"/>
  <c r="C3204" i="2"/>
  <c r="C3203" i="2"/>
  <c r="C3202" i="2"/>
  <c r="C3201" i="2"/>
  <c r="C3200" i="2"/>
  <c r="C3199" i="2"/>
  <c r="C3198" i="2"/>
  <c r="C3197" i="2"/>
  <c r="C3196" i="2"/>
  <c r="C3195" i="2"/>
  <c r="C3194" i="2"/>
  <c r="C3193" i="2"/>
  <c r="C3192" i="2"/>
  <c r="C3191" i="2"/>
  <c r="C3190" i="2"/>
  <c r="C3189" i="2"/>
  <c r="C3188" i="2"/>
  <c r="C3187" i="2"/>
  <c r="C3186" i="2"/>
  <c r="C3185" i="2"/>
  <c r="C3184" i="2"/>
  <c r="C3183" i="2"/>
  <c r="C3182" i="2"/>
  <c r="C3181" i="2"/>
  <c r="C3180" i="2"/>
  <c r="C3179" i="2"/>
  <c r="C3178" i="2"/>
  <c r="C3177" i="2"/>
  <c r="C3176" i="2"/>
  <c r="C3175" i="2"/>
  <c r="C3174" i="2"/>
  <c r="C3173" i="2"/>
  <c r="C3172" i="2"/>
  <c r="C3171" i="2"/>
  <c r="C3170" i="2"/>
  <c r="C3169" i="2"/>
  <c r="C3168" i="2"/>
  <c r="C3167" i="2"/>
  <c r="C3166" i="2"/>
  <c r="C3165" i="2"/>
  <c r="C3164" i="2"/>
  <c r="C3163" i="2"/>
  <c r="C3162" i="2"/>
  <c r="C3161" i="2"/>
  <c r="C3160" i="2"/>
  <c r="C3159" i="2"/>
  <c r="C3158" i="2"/>
  <c r="C3157" i="2"/>
  <c r="C3156" i="2"/>
  <c r="C3155" i="2"/>
  <c r="C3152" i="2"/>
  <c r="C3150" i="2"/>
  <c r="J3145" i="2"/>
  <c r="I3145" i="2"/>
  <c r="H3145" i="2"/>
  <c r="C3144" i="2"/>
  <c r="C3143" i="2"/>
  <c r="C3142" i="2"/>
  <c r="C3141" i="2"/>
  <c r="C3138" i="2"/>
  <c r="C3136" i="2"/>
  <c r="J3131" i="2"/>
  <c r="I3131" i="2"/>
  <c r="H3131" i="2"/>
  <c r="C3130" i="2"/>
  <c r="C3127" i="2"/>
  <c r="C3125" i="2"/>
  <c r="J3120" i="2"/>
  <c r="I3120" i="2"/>
  <c r="H3120" i="2"/>
  <c r="C3119" i="2"/>
  <c r="C3116" i="2"/>
  <c r="C3114" i="2"/>
  <c r="J3109" i="2"/>
  <c r="I3109" i="2"/>
  <c r="H3109" i="2"/>
  <c r="C3108" i="2"/>
  <c r="C3107" i="2"/>
  <c r="C3106" i="2"/>
  <c r="C3105" i="2"/>
  <c r="C3104" i="2"/>
  <c r="C3103" i="2"/>
  <c r="C3102" i="2"/>
  <c r="C3101" i="2"/>
  <c r="C3100" i="2"/>
  <c r="C3097" i="2"/>
  <c r="C3095" i="2"/>
  <c r="J3090" i="2"/>
  <c r="I3090" i="2"/>
  <c r="H3090" i="2"/>
  <c r="C3089" i="2"/>
  <c r="C3086" i="2"/>
  <c r="C3084" i="2"/>
  <c r="J3079" i="2"/>
  <c r="I3079" i="2"/>
  <c r="H3079" i="2"/>
  <c r="C3078" i="2"/>
  <c r="C3077" i="2"/>
  <c r="C3076" i="2"/>
  <c r="C3075" i="2"/>
  <c r="C3074" i="2"/>
  <c r="C3073" i="2"/>
  <c r="C3070" i="2"/>
  <c r="C3068" i="2"/>
  <c r="J3063" i="2"/>
  <c r="I3063" i="2"/>
  <c r="H3063" i="2"/>
  <c r="C3062" i="2"/>
  <c r="C3061" i="2"/>
  <c r="C3060" i="2"/>
  <c r="C3059" i="2"/>
  <c r="C3058" i="2"/>
  <c r="C3057" i="2"/>
  <c r="C3056" i="2"/>
  <c r="C3055" i="2"/>
  <c r="C3054" i="2"/>
  <c r="C3053" i="2"/>
  <c r="C3052" i="2"/>
  <c r="C3051" i="2"/>
  <c r="C3050" i="2"/>
  <c r="C3049" i="2"/>
  <c r="C3048" i="2"/>
  <c r="C3047" i="2"/>
  <c r="C3044" i="2"/>
  <c r="C3042" i="2"/>
  <c r="J3037" i="2"/>
  <c r="I3037" i="2"/>
  <c r="H3037" i="2"/>
  <c r="C3036" i="2"/>
  <c r="C3035" i="2"/>
  <c r="C3032" i="2"/>
  <c r="C3030" i="2"/>
  <c r="J3025" i="2"/>
  <c r="I3025" i="2"/>
  <c r="H3025" i="2"/>
  <c r="C3024" i="2"/>
  <c r="C3021" i="2"/>
  <c r="C3019" i="2"/>
  <c r="J3014" i="2"/>
  <c r="I3014" i="2"/>
  <c r="H3014" i="2"/>
  <c r="C3013" i="2"/>
  <c r="C3012" i="2"/>
  <c r="C3009" i="2"/>
  <c r="C3007" i="2"/>
  <c r="J3002" i="2"/>
  <c r="I3002" i="2"/>
  <c r="H3002" i="2"/>
  <c r="C3001" i="2"/>
  <c r="C3000" i="2"/>
  <c r="C2999" i="2"/>
  <c r="C2998" i="2"/>
  <c r="C2997" i="2"/>
  <c r="C2996" i="2"/>
  <c r="C2995" i="2"/>
  <c r="C2994" i="2"/>
  <c r="C2993" i="2"/>
  <c r="C2992" i="2"/>
  <c r="C2991" i="2"/>
  <c r="C2988" i="2"/>
  <c r="C2986" i="2"/>
  <c r="J2981" i="2"/>
  <c r="I2981" i="2"/>
  <c r="H2981" i="2"/>
  <c r="C2980" i="2"/>
  <c r="C2979" i="2"/>
  <c r="C2978" i="2"/>
  <c r="C2977" i="2"/>
  <c r="C2976" i="2"/>
  <c r="C2975" i="2"/>
  <c r="C2974" i="2"/>
  <c r="C2973" i="2"/>
  <c r="C2972" i="2"/>
  <c r="C2971" i="2"/>
  <c r="C2970" i="2"/>
  <c r="C2969" i="2"/>
  <c r="C2968" i="2"/>
  <c r="C2967" i="2"/>
  <c r="C2966" i="2"/>
  <c r="C2965" i="2"/>
  <c r="C2964" i="2"/>
  <c r="C2963" i="2"/>
  <c r="C2962" i="2"/>
  <c r="C2961" i="2"/>
  <c r="C2960" i="2"/>
  <c r="C2959" i="2"/>
  <c r="C2958" i="2"/>
  <c r="C2957" i="2"/>
  <c r="C2956" i="2"/>
  <c r="C2955" i="2"/>
  <c r="C2954" i="2"/>
  <c r="C2953" i="2"/>
  <c r="C2952" i="2"/>
  <c r="C2951" i="2"/>
  <c r="C2950" i="2"/>
  <c r="C2949" i="2"/>
  <c r="C2948" i="2"/>
  <c r="C2947" i="2"/>
  <c r="C2944" i="2"/>
  <c r="C2942" i="2"/>
  <c r="J2937" i="2"/>
  <c r="I2937" i="2"/>
  <c r="H2937" i="2"/>
  <c r="C2936" i="2"/>
  <c r="C2935" i="2"/>
  <c r="C2934" i="2"/>
  <c r="C2933" i="2"/>
  <c r="C2932" i="2"/>
  <c r="C2931" i="2"/>
  <c r="C2930" i="2"/>
  <c r="C2929" i="2"/>
  <c r="C2928" i="2"/>
  <c r="C2927" i="2"/>
  <c r="C2926" i="2"/>
  <c r="C2925" i="2"/>
  <c r="C2924" i="2"/>
  <c r="C2923" i="2"/>
  <c r="C2922" i="2"/>
  <c r="C2921" i="2"/>
  <c r="C2918" i="2"/>
  <c r="C2916" i="2"/>
  <c r="J2911" i="2"/>
  <c r="I2911" i="2"/>
  <c r="H2911" i="2"/>
  <c r="C2910" i="2"/>
  <c r="C2909" i="2"/>
  <c r="C2908" i="2"/>
  <c r="C2907" i="2"/>
  <c r="C2906" i="2"/>
  <c r="C2905" i="2"/>
  <c r="C2904" i="2"/>
  <c r="C2903" i="2"/>
  <c r="C2902" i="2"/>
  <c r="C2901" i="2"/>
  <c r="C2900" i="2"/>
  <c r="C2899" i="2"/>
  <c r="C2898" i="2"/>
  <c r="C2897" i="2"/>
  <c r="C2896" i="2"/>
  <c r="C2895" i="2"/>
  <c r="C2894" i="2"/>
  <c r="C2893" i="2"/>
  <c r="C2892" i="2"/>
  <c r="C2891" i="2"/>
  <c r="C2890" i="2"/>
  <c r="C2889" i="2"/>
  <c r="C2888" i="2"/>
  <c r="C2887" i="2"/>
  <c r="C2886" i="2"/>
  <c r="C2885" i="2"/>
  <c r="C2884" i="2"/>
  <c r="C2883" i="2"/>
  <c r="C2882" i="2"/>
  <c r="C2881" i="2"/>
  <c r="C2880" i="2"/>
  <c r="C2879" i="2"/>
  <c r="C2878" i="2"/>
  <c r="C2877" i="2"/>
  <c r="C2876" i="2"/>
  <c r="C2875" i="2"/>
  <c r="C2874" i="2"/>
  <c r="C2873" i="2"/>
  <c r="C2872" i="2"/>
  <c r="C2871" i="2"/>
  <c r="C2870" i="2"/>
  <c r="C2869" i="2"/>
  <c r="C2868" i="2"/>
  <c r="C2867" i="2"/>
  <c r="C2866" i="2"/>
  <c r="C2865" i="2"/>
  <c r="C2864" i="2"/>
  <c r="C2863" i="2"/>
  <c r="C2862" i="2"/>
  <c r="C2861" i="2"/>
  <c r="C2860" i="2"/>
  <c r="C2859" i="2"/>
  <c r="C2858" i="2"/>
  <c r="C2857" i="2"/>
  <c r="C2856" i="2"/>
  <c r="C2853" i="2"/>
  <c r="C2851" i="2"/>
  <c r="J2846" i="2"/>
  <c r="I2846" i="2"/>
  <c r="H2846" i="2"/>
  <c r="C2845" i="2"/>
  <c r="C2844" i="2"/>
  <c r="C2843" i="2"/>
  <c r="C2840" i="2"/>
  <c r="C2838" i="2"/>
  <c r="J2833" i="2"/>
  <c r="I2833" i="2"/>
  <c r="H2833" i="2"/>
  <c r="C2832" i="2"/>
  <c r="C2829" i="2"/>
  <c r="C2827" i="2"/>
  <c r="J2822" i="2"/>
  <c r="I2822" i="2"/>
  <c r="H2822" i="2"/>
  <c r="C2821" i="2"/>
  <c r="C2820" i="2"/>
  <c r="C2819" i="2"/>
  <c r="C2818" i="2"/>
  <c r="C2817" i="2"/>
  <c r="C2816" i="2"/>
  <c r="C2813" i="2"/>
  <c r="C2811" i="2"/>
  <c r="J2806" i="2"/>
  <c r="I2806" i="2"/>
  <c r="H2806" i="2"/>
  <c r="C2805" i="2"/>
  <c r="C2804" i="2"/>
  <c r="C2801" i="2"/>
  <c r="C2799" i="2"/>
  <c r="J2794" i="2"/>
  <c r="I2794" i="2"/>
  <c r="H2794" i="2"/>
  <c r="C2793" i="2"/>
  <c r="C2790" i="2"/>
  <c r="C2788" i="2"/>
  <c r="J2783" i="2"/>
  <c r="I2783" i="2"/>
  <c r="H2783" i="2"/>
  <c r="C2782" i="2"/>
  <c r="C2779" i="2"/>
  <c r="C2777" i="2"/>
  <c r="J2772" i="2"/>
  <c r="I2772" i="2"/>
  <c r="H2772" i="2"/>
  <c r="C2771" i="2"/>
  <c r="C2770" i="2"/>
  <c r="C2769" i="2"/>
  <c r="C2768" i="2"/>
  <c r="C2767" i="2"/>
  <c r="C2766" i="2"/>
  <c r="C2765" i="2"/>
  <c r="C2764" i="2"/>
  <c r="C2763" i="2"/>
  <c r="C2762" i="2"/>
  <c r="C2761" i="2"/>
  <c r="C2760" i="2"/>
  <c r="C2759" i="2"/>
  <c r="C2758" i="2"/>
  <c r="C2757" i="2"/>
  <c r="C2756" i="2"/>
  <c r="C2755" i="2"/>
  <c r="C2754" i="2"/>
  <c r="C2753" i="2"/>
  <c r="C2752" i="2"/>
  <c r="C2751" i="2"/>
  <c r="C2750" i="2"/>
  <c r="C2749" i="2"/>
  <c r="C2748" i="2"/>
  <c r="C2745" i="2"/>
  <c r="C2743" i="2"/>
  <c r="J2738" i="2"/>
  <c r="I2738" i="2"/>
  <c r="H2738" i="2"/>
  <c r="C2737" i="2"/>
  <c r="C2734" i="2"/>
  <c r="C2732" i="2"/>
  <c r="J2727" i="2"/>
  <c r="I2727" i="2"/>
  <c r="H2727" i="2"/>
  <c r="C2726" i="2"/>
  <c r="C2723" i="2"/>
  <c r="C2721" i="2"/>
  <c r="J2716" i="2"/>
  <c r="I2716" i="2"/>
  <c r="H2716" i="2"/>
  <c r="C2715" i="2"/>
  <c r="C2714" i="2"/>
  <c r="C2713" i="2"/>
  <c r="C2710" i="2"/>
  <c r="C2708" i="2"/>
  <c r="J2703" i="2"/>
  <c r="I2703" i="2"/>
  <c r="H2703" i="2"/>
  <c r="C2702" i="2"/>
  <c r="C2701" i="2"/>
  <c r="C2700" i="2"/>
  <c r="C2697" i="2"/>
  <c r="C2695" i="2"/>
  <c r="J2690" i="2"/>
  <c r="I2690" i="2"/>
  <c r="H2690" i="2"/>
  <c r="C2689" i="2"/>
  <c r="C2688" i="2"/>
  <c r="C2687" i="2"/>
  <c r="C2686" i="2"/>
  <c r="C2685" i="2"/>
  <c r="C2684" i="2"/>
  <c r="C2683" i="2"/>
  <c r="C2682" i="2"/>
  <c r="C2681" i="2"/>
  <c r="C2680" i="2"/>
  <c r="C2679" i="2"/>
  <c r="C2678" i="2"/>
  <c r="C2677" i="2"/>
  <c r="C2676" i="2"/>
  <c r="C2675" i="2"/>
  <c r="C2674" i="2"/>
  <c r="C2673" i="2"/>
  <c r="C2672" i="2"/>
  <c r="C2671" i="2"/>
  <c r="C2670" i="2"/>
  <c r="C2669" i="2"/>
  <c r="C2668" i="2"/>
  <c r="C2667" i="2"/>
  <c r="C2666" i="2"/>
  <c r="C2665" i="2"/>
  <c r="C2664" i="2"/>
  <c r="C2663" i="2"/>
  <c r="C2662" i="2"/>
  <c r="C2661" i="2"/>
  <c r="C2660" i="2"/>
  <c r="C2659" i="2"/>
  <c r="C2658" i="2"/>
  <c r="C2657" i="2"/>
  <c r="C2656" i="2"/>
  <c r="C2655" i="2"/>
  <c r="C2654" i="2"/>
  <c r="C2653" i="2"/>
  <c r="C2652" i="2"/>
  <c r="C2651" i="2"/>
  <c r="C2650" i="2"/>
  <c r="C2649" i="2"/>
  <c r="C2648" i="2"/>
  <c r="C2647" i="2"/>
  <c r="C2646" i="2"/>
  <c r="C2645" i="2"/>
  <c r="C2644" i="2"/>
  <c r="C2643" i="2"/>
  <c r="C2642" i="2"/>
  <c r="C2641" i="2"/>
  <c r="C2640" i="2"/>
  <c r="C2639" i="2"/>
  <c r="C2638" i="2"/>
  <c r="C2637" i="2"/>
  <c r="C2636" i="2"/>
  <c r="C2635" i="2"/>
  <c r="C2634" i="2"/>
  <c r="C2633" i="2"/>
  <c r="C2632" i="2"/>
  <c r="C2631" i="2"/>
  <c r="C2630" i="2"/>
  <c r="C2629" i="2"/>
  <c r="C2628" i="2"/>
  <c r="C2627" i="2"/>
  <c r="C2626" i="2"/>
  <c r="C2625" i="2"/>
  <c r="C2624" i="2"/>
  <c r="C2623" i="2"/>
  <c r="C2622" i="2"/>
  <c r="C2621" i="2"/>
  <c r="C2620" i="2"/>
  <c r="C2619" i="2"/>
  <c r="C2618" i="2"/>
  <c r="C2615" i="2"/>
  <c r="C2613" i="2"/>
  <c r="J2608" i="2"/>
  <c r="I2608" i="2"/>
  <c r="H2608" i="2"/>
  <c r="C2607" i="2"/>
  <c r="C2606" i="2"/>
  <c r="C2605" i="2"/>
  <c r="C2604" i="2"/>
  <c r="C2603" i="2"/>
  <c r="C2602" i="2"/>
  <c r="C2601" i="2"/>
  <c r="C2600" i="2"/>
  <c r="C2599" i="2"/>
  <c r="C2598" i="2"/>
  <c r="C2595" i="2"/>
  <c r="C2593" i="2"/>
  <c r="J2588" i="2"/>
  <c r="I2588" i="2"/>
  <c r="H2588" i="2"/>
  <c r="C2587" i="2"/>
  <c r="C2586" i="2"/>
  <c r="C2583" i="2"/>
  <c r="C2581" i="2"/>
  <c r="J2576" i="2"/>
  <c r="I2576" i="2"/>
  <c r="H2576" i="2"/>
  <c r="C2575" i="2"/>
  <c r="C2572" i="2"/>
  <c r="C2570" i="2"/>
  <c r="J2565" i="2"/>
  <c r="I2565" i="2"/>
  <c r="H2565" i="2"/>
  <c r="C2564" i="2"/>
  <c r="C2563" i="2"/>
  <c r="C2562" i="2"/>
  <c r="C2559" i="2"/>
  <c r="C2557" i="2"/>
  <c r="J2552" i="2"/>
  <c r="I2552" i="2"/>
  <c r="H2552" i="2"/>
  <c r="C2551" i="2"/>
  <c r="C2548" i="2"/>
  <c r="C2546" i="2"/>
  <c r="J2541" i="2"/>
  <c r="I2541" i="2"/>
  <c r="H2541" i="2"/>
  <c r="C2540" i="2"/>
  <c r="C2537" i="2"/>
  <c r="C2535" i="2"/>
  <c r="J2530" i="2"/>
  <c r="I2530" i="2"/>
  <c r="H2530" i="2"/>
  <c r="C2529" i="2"/>
  <c r="C2526" i="2"/>
  <c r="C2524" i="2"/>
  <c r="J2519" i="2"/>
  <c r="I2519" i="2"/>
  <c r="H2519" i="2"/>
  <c r="C2518" i="2"/>
  <c r="C2517" i="2"/>
  <c r="C2516" i="2"/>
  <c r="C2513" i="2"/>
  <c r="C2511" i="2"/>
  <c r="J2506" i="2"/>
  <c r="I2506" i="2"/>
  <c r="H2506" i="2"/>
  <c r="C2505" i="2"/>
  <c r="C2504" i="2"/>
  <c r="C2503" i="2"/>
  <c r="C2502" i="2"/>
  <c r="C2501" i="2"/>
  <c r="C2500" i="2"/>
  <c r="C2499" i="2"/>
  <c r="C2498" i="2"/>
  <c r="C2497" i="2"/>
  <c r="C2496" i="2"/>
  <c r="C2495" i="2"/>
  <c r="C2494" i="2"/>
  <c r="C2493" i="2"/>
  <c r="C2490" i="2"/>
  <c r="C2488" i="2"/>
  <c r="J2483" i="2"/>
  <c r="I2483" i="2"/>
  <c r="H2483" i="2"/>
  <c r="C2482" i="2"/>
  <c r="C2479" i="2"/>
  <c r="C2477" i="2"/>
  <c r="J2472" i="2"/>
  <c r="I2472" i="2"/>
  <c r="H2472" i="2"/>
  <c r="C2471" i="2"/>
  <c r="C2468" i="2"/>
  <c r="C2466" i="2"/>
  <c r="J2461" i="2"/>
  <c r="I2461" i="2"/>
  <c r="H2461" i="2"/>
  <c r="C2460" i="2"/>
  <c r="C2457" i="2"/>
  <c r="C2455" i="2"/>
  <c r="J2450" i="2"/>
  <c r="I2450" i="2"/>
  <c r="H2450" i="2"/>
  <c r="C2449" i="2"/>
  <c r="C2448" i="2"/>
  <c r="C2447" i="2"/>
  <c r="C2446" i="2"/>
  <c r="C2445" i="2"/>
  <c r="C2444" i="2"/>
  <c r="C2443" i="2"/>
  <c r="C2442" i="2"/>
  <c r="C2441" i="2"/>
  <c r="C2440" i="2"/>
  <c r="C2439" i="2"/>
  <c r="C2438" i="2"/>
  <c r="C2437" i="2"/>
  <c r="C2436" i="2"/>
  <c r="C2435" i="2"/>
  <c r="C2434" i="2"/>
  <c r="C2433" i="2"/>
  <c r="C2432" i="2"/>
  <c r="C2431" i="2"/>
  <c r="C2430" i="2"/>
  <c r="C2429" i="2"/>
  <c r="C2428" i="2"/>
  <c r="C2427" i="2"/>
  <c r="C2426" i="2"/>
  <c r="C2423" i="2"/>
  <c r="C2421" i="2"/>
  <c r="J2416" i="2"/>
  <c r="I2416" i="2"/>
  <c r="H2416" i="2"/>
  <c r="C2415" i="2"/>
  <c r="C2412" i="2"/>
  <c r="C2410" i="2"/>
  <c r="J2405" i="2"/>
  <c r="I2405" i="2"/>
  <c r="H2405" i="2"/>
  <c r="C2404" i="2"/>
  <c r="C2403" i="2"/>
  <c r="C2402" i="2"/>
  <c r="C2401" i="2"/>
  <c r="C2398" i="2"/>
  <c r="C2396" i="2"/>
  <c r="J2391" i="2"/>
  <c r="I2391" i="2"/>
  <c r="H2391" i="2"/>
  <c r="C2390" i="2"/>
  <c r="C2387" i="2"/>
  <c r="C2385" i="2"/>
  <c r="J2380" i="2"/>
  <c r="I2380" i="2"/>
  <c r="H2380" i="2"/>
  <c r="C2379" i="2"/>
  <c r="C2376" i="2"/>
  <c r="C2374" i="2"/>
  <c r="J2369" i="2"/>
  <c r="I2369" i="2"/>
  <c r="H2369" i="2"/>
  <c r="C2368" i="2"/>
  <c r="C2367" i="2"/>
  <c r="C2366" i="2"/>
  <c r="C2365" i="2"/>
  <c r="C2364" i="2"/>
  <c r="C2363" i="2"/>
  <c r="C2362" i="2"/>
  <c r="C2361" i="2"/>
  <c r="C2360" i="2"/>
  <c r="C2357" i="2"/>
  <c r="C2355" i="2"/>
  <c r="J2350" i="2"/>
  <c r="I2350" i="2"/>
  <c r="H2350" i="2"/>
  <c r="C2349" i="2"/>
  <c r="C2346" i="2"/>
  <c r="C2344" i="2"/>
  <c r="J2339" i="2"/>
  <c r="I2339" i="2"/>
  <c r="H2339" i="2"/>
  <c r="C2338" i="2"/>
  <c r="C2335" i="2"/>
  <c r="C2333" i="2"/>
  <c r="J2328" i="2"/>
  <c r="I2328" i="2"/>
  <c r="H2328" i="2"/>
  <c r="C2327" i="2"/>
  <c r="C2326" i="2"/>
  <c r="C2323" i="2"/>
  <c r="C2321" i="2"/>
  <c r="J2316" i="2"/>
  <c r="I2316" i="2"/>
  <c r="H2316" i="2"/>
  <c r="C2315" i="2"/>
  <c r="C2314" i="2"/>
  <c r="C2313" i="2"/>
  <c r="C2312" i="2"/>
  <c r="C2311" i="2"/>
  <c r="C2310" i="2"/>
  <c r="C2309" i="2"/>
  <c r="C2308" i="2"/>
  <c r="C2307" i="2"/>
  <c r="C2306" i="2"/>
  <c r="C2305" i="2"/>
  <c r="C2302" i="2"/>
  <c r="C2300" i="2"/>
  <c r="J2295" i="2"/>
  <c r="I2295" i="2"/>
  <c r="H2295" i="2"/>
  <c r="C2294" i="2"/>
  <c r="C2293" i="2"/>
  <c r="C2292" i="2"/>
  <c r="C2291" i="2"/>
  <c r="C2290" i="2"/>
  <c r="C2289" i="2"/>
  <c r="C2288" i="2"/>
  <c r="C2287" i="2"/>
  <c r="C2286" i="2"/>
  <c r="C2285" i="2"/>
  <c r="C2284" i="2"/>
  <c r="C2283" i="2"/>
  <c r="C2282" i="2"/>
  <c r="C2281" i="2"/>
  <c r="C2280" i="2"/>
  <c r="C2277" i="2"/>
  <c r="C2275" i="2"/>
  <c r="J2270" i="2"/>
  <c r="I2270" i="2"/>
  <c r="H2270" i="2"/>
  <c r="C2269" i="2"/>
  <c r="C2266" i="2"/>
  <c r="C2264" i="2"/>
  <c r="J2259" i="2"/>
  <c r="I2259" i="2"/>
  <c r="H2259" i="2"/>
  <c r="C2258" i="2"/>
  <c r="C2255" i="2"/>
  <c r="C2253" i="2"/>
  <c r="J2248" i="2"/>
  <c r="I2248" i="2"/>
  <c r="H2248" i="2"/>
  <c r="C2247" i="2"/>
  <c r="C2244" i="2"/>
  <c r="C2242" i="2"/>
  <c r="J2237" i="2"/>
  <c r="I2237" i="2"/>
  <c r="H2237" i="2"/>
  <c r="C2236" i="2"/>
  <c r="C2235" i="2"/>
  <c r="C2232" i="2"/>
  <c r="C2230" i="2"/>
  <c r="J2225" i="2"/>
  <c r="I2225" i="2"/>
  <c r="H2225" i="2"/>
  <c r="C2224" i="2"/>
  <c r="C2221" i="2"/>
  <c r="C2219" i="2"/>
  <c r="J2214" i="2"/>
  <c r="I2214" i="2"/>
  <c r="H2214" i="2"/>
  <c r="C2213" i="2"/>
  <c r="C2210" i="2"/>
  <c r="C2208" i="2"/>
  <c r="J2203" i="2"/>
  <c r="I2203" i="2"/>
  <c r="H2203" i="2"/>
  <c r="C2202" i="2"/>
  <c r="C2199" i="2"/>
  <c r="C2197" i="2"/>
  <c r="J2192" i="2"/>
  <c r="I2192" i="2"/>
  <c r="H2192" i="2"/>
  <c r="C2191" i="2"/>
  <c r="C2190" i="2"/>
  <c r="C2189" i="2"/>
  <c r="C2188" i="2"/>
  <c r="C2187" i="2"/>
  <c r="C2186" i="2"/>
  <c r="C2185" i="2"/>
  <c r="C2184" i="2"/>
  <c r="C2183" i="2"/>
  <c r="C2182" i="2"/>
  <c r="C2181" i="2"/>
  <c r="C2180" i="2"/>
  <c r="C2179" i="2"/>
  <c r="C2178" i="2"/>
  <c r="C2177" i="2"/>
  <c r="C2176" i="2"/>
  <c r="C2175" i="2"/>
  <c r="C2174" i="2"/>
  <c r="C2173" i="2"/>
  <c r="C2172" i="2"/>
  <c r="C2171" i="2"/>
  <c r="C2170" i="2"/>
  <c r="C2169" i="2"/>
  <c r="C2168" i="2"/>
  <c r="C2167" i="2"/>
  <c r="C2166" i="2"/>
  <c r="C2165" i="2"/>
  <c r="C2164" i="2"/>
  <c r="C2163" i="2"/>
  <c r="C2162" i="2"/>
  <c r="C2161" i="2"/>
  <c r="C2160" i="2"/>
  <c r="C2159" i="2"/>
  <c r="C2158" i="2"/>
  <c r="C2157" i="2"/>
  <c r="C2156" i="2"/>
  <c r="C2155" i="2"/>
  <c r="C2154" i="2"/>
  <c r="C2153" i="2"/>
  <c r="C2152" i="2"/>
  <c r="C2151" i="2"/>
  <c r="C2148" i="2"/>
  <c r="C2146" i="2"/>
  <c r="J2141" i="2"/>
  <c r="I2141" i="2"/>
  <c r="H2141" i="2"/>
  <c r="C2140" i="2"/>
  <c r="C2137" i="2"/>
  <c r="C2135" i="2"/>
  <c r="J2130" i="2"/>
  <c r="I2130" i="2"/>
  <c r="H2130" i="2"/>
  <c r="C2129" i="2"/>
  <c r="C2126" i="2"/>
  <c r="C2124" i="2"/>
  <c r="J2119" i="2"/>
  <c r="I2119" i="2"/>
  <c r="H2119" i="2"/>
  <c r="C2118" i="2"/>
  <c r="C2115" i="2"/>
  <c r="C2113" i="2"/>
  <c r="J2108" i="2"/>
  <c r="I2108" i="2"/>
  <c r="H2108" i="2"/>
  <c r="C2107" i="2"/>
  <c r="C2104" i="2"/>
  <c r="C2102" i="2"/>
  <c r="J2097" i="2"/>
  <c r="I2097" i="2"/>
  <c r="H2097" i="2"/>
  <c r="C2096" i="2"/>
  <c r="C2093" i="2"/>
  <c r="C2091" i="2"/>
  <c r="J2086" i="2"/>
  <c r="I2086" i="2"/>
  <c r="H2086" i="2"/>
  <c r="C2085" i="2"/>
  <c r="C2082" i="2"/>
  <c r="C2080" i="2"/>
  <c r="J2075" i="2"/>
  <c r="I2075" i="2"/>
  <c r="H2075" i="2"/>
  <c r="C2074" i="2"/>
  <c r="C2071" i="2"/>
  <c r="C2069" i="2"/>
  <c r="J2064" i="2"/>
  <c r="I2064" i="2"/>
  <c r="H2064" i="2"/>
  <c r="C2063" i="2"/>
  <c r="C2060" i="2"/>
  <c r="C2058" i="2"/>
  <c r="J2053" i="2"/>
  <c r="I2053" i="2"/>
  <c r="H2053" i="2"/>
  <c r="C2052" i="2"/>
  <c r="C2049" i="2"/>
  <c r="C2047" i="2"/>
  <c r="J2042" i="2"/>
  <c r="I2042" i="2"/>
  <c r="H2042" i="2"/>
  <c r="C2041" i="2"/>
  <c r="C2038" i="2"/>
  <c r="C2036" i="2"/>
  <c r="J2031" i="2"/>
  <c r="I2031" i="2"/>
  <c r="H2031" i="2"/>
  <c r="C2030" i="2"/>
  <c r="C2027" i="2"/>
  <c r="C2025" i="2"/>
  <c r="J2020" i="2"/>
  <c r="I2020" i="2"/>
  <c r="H2020" i="2"/>
  <c r="C2019" i="2"/>
  <c r="C2016" i="2"/>
  <c r="C2014" i="2"/>
  <c r="J2009" i="2"/>
  <c r="I2009" i="2"/>
  <c r="H2009" i="2"/>
  <c r="C2008" i="2"/>
  <c r="C2007" i="2"/>
  <c r="C2006" i="2"/>
  <c r="C2003" i="2"/>
  <c r="C2001" i="2"/>
  <c r="J1996" i="2"/>
  <c r="I1996" i="2"/>
  <c r="H1996" i="2"/>
  <c r="C1995" i="2"/>
  <c r="C1992" i="2"/>
  <c r="C1990" i="2"/>
  <c r="J1985" i="2"/>
  <c r="I1985" i="2"/>
  <c r="H1985" i="2"/>
  <c r="C1984" i="2"/>
  <c r="C1981" i="2"/>
  <c r="C1979" i="2"/>
  <c r="J1974" i="2"/>
  <c r="I1974" i="2"/>
  <c r="H1974" i="2"/>
  <c r="C1973" i="2"/>
  <c r="C1972" i="2"/>
  <c r="C1971" i="2"/>
  <c r="C1970" i="2"/>
  <c r="C1969" i="2"/>
  <c r="C1968" i="2"/>
  <c r="C1965" i="2"/>
  <c r="C1963" i="2"/>
  <c r="J1958" i="2"/>
  <c r="I1958" i="2"/>
  <c r="H1958" i="2"/>
  <c r="C1957" i="2"/>
  <c r="C1956" i="2"/>
  <c r="C1955" i="2"/>
  <c r="C1954" i="2"/>
  <c r="C1953" i="2"/>
  <c r="C1952" i="2"/>
  <c r="C1951" i="2"/>
  <c r="C1950" i="2"/>
  <c r="C1949" i="2"/>
  <c r="C1948" i="2"/>
  <c r="C1947" i="2"/>
  <c r="C1946" i="2"/>
  <c r="C1943" i="2"/>
  <c r="C1941" i="2"/>
  <c r="J1936" i="2"/>
  <c r="I1936" i="2"/>
  <c r="H1936" i="2"/>
  <c r="C1935" i="2"/>
  <c r="C1934" i="2"/>
  <c r="C1933" i="2"/>
  <c r="C1932" i="2"/>
  <c r="C1931" i="2"/>
  <c r="C1930" i="2"/>
  <c r="C1929" i="2"/>
  <c r="C1928" i="2"/>
  <c r="C1927" i="2"/>
  <c r="C1926" i="2"/>
  <c r="C1925" i="2"/>
  <c r="C1922" i="2"/>
  <c r="C1920" i="2"/>
  <c r="J1915" i="2"/>
  <c r="I1915" i="2"/>
  <c r="H1915" i="2"/>
  <c r="C1914" i="2"/>
  <c r="C1911" i="2"/>
  <c r="C1909" i="2"/>
  <c r="J1904" i="2"/>
  <c r="I1904" i="2"/>
  <c r="H1904" i="2"/>
  <c r="C1903" i="2"/>
  <c r="C1900" i="2"/>
  <c r="C1898" i="2"/>
  <c r="J1893" i="2"/>
  <c r="I1893" i="2"/>
  <c r="H1893" i="2"/>
  <c r="C1892" i="2"/>
  <c r="C1891" i="2"/>
  <c r="C1890" i="2"/>
  <c r="C1887" i="2"/>
  <c r="C1885" i="2"/>
  <c r="J1880" i="2"/>
  <c r="I1880" i="2"/>
  <c r="H1880" i="2"/>
  <c r="C1879" i="2"/>
  <c r="C1876" i="2"/>
  <c r="C1874" i="2"/>
  <c r="J1869" i="2"/>
  <c r="I1869" i="2"/>
  <c r="H1869" i="2"/>
  <c r="C1868" i="2"/>
  <c r="C1867" i="2"/>
  <c r="C1866" i="2"/>
  <c r="C1865" i="2"/>
  <c r="C1864" i="2"/>
  <c r="C1861" i="2"/>
  <c r="C1859" i="2"/>
  <c r="J1854" i="2"/>
  <c r="I1854" i="2"/>
  <c r="H1854" i="2"/>
  <c r="C1853" i="2"/>
  <c r="C1852" i="2"/>
  <c r="C1849" i="2"/>
  <c r="C1847" i="2"/>
  <c r="J1842" i="2"/>
  <c r="I1842" i="2"/>
  <c r="H1842" i="2"/>
  <c r="C1841" i="2"/>
  <c r="C1840" i="2"/>
  <c r="C1839" i="2"/>
  <c r="C1838" i="2"/>
  <c r="C1837" i="2"/>
  <c r="C1836" i="2"/>
  <c r="C1835" i="2"/>
  <c r="C1832" i="2"/>
  <c r="C1830" i="2"/>
  <c r="J1825" i="2"/>
  <c r="I1825" i="2"/>
  <c r="H1825" i="2"/>
  <c r="C1824" i="2"/>
  <c r="C1823" i="2"/>
  <c r="C1822" i="2"/>
  <c r="C1821" i="2"/>
  <c r="C1820" i="2"/>
  <c r="C1819" i="2"/>
  <c r="C1818" i="2"/>
  <c r="C1817" i="2"/>
  <c r="C1816" i="2"/>
  <c r="C1815" i="2"/>
  <c r="C1814" i="2"/>
  <c r="C1813" i="2"/>
  <c r="C1812" i="2"/>
  <c r="C1811" i="2"/>
  <c r="C1810" i="2"/>
  <c r="C1809" i="2"/>
  <c r="C1806" i="2"/>
  <c r="C1804" i="2"/>
  <c r="J1799" i="2"/>
  <c r="I1799" i="2"/>
  <c r="H1799" i="2"/>
  <c r="C1798" i="2"/>
  <c r="C1797" i="2"/>
  <c r="C1796" i="2"/>
  <c r="C1795" i="2"/>
  <c r="C1794" i="2"/>
  <c r="C1793" i="2"/>
  <c r="C1792" i="2"/>
  <c r="C1791" i="2"/>
  <c r="C1790" i="2"/>
  <c r="C1789" i="2"/>
  <c r="C1788" i="2"/>
  <c r="C1787" i="2"/>
  <c r="C1786" i="2"/>
  <c r="C1785" i="2"/>
  <c r="C1784" i="2"/>
  <c r="C1783" i="2"/>
  <c r="C1782" i="2"/>
  <c r="C1781" i="2"/>
  <c r="C1780" i="2"/>
  <c r="C1779" i="2"/>
  <c r="C1778" i="2"/>
  <c r="C1777" i="2"/>
  <c r="C1776" i="2"/>
  <c r="C1775" i="2"/>
  <c r="C1774" i="2"/>
  <c r="C1773" i="2"/>
  <c r="C1772" i="2"/>
  <c r="C1771" i="2"/>
  <c r="C1770" i="2"/>
  <c r="C1769" i="2"/>
  <c r="C1768" i="2"/>
  <c r="C1767" i="2"/>
  <c r="C1766" i="2"/>
  <c r="C1763" i="2"/>
  <c r="C1761" i="2"/>
  <c r="J1756" i="2"/>
  <c r="I1756" i="2"/>
  <c r="H1756" i="2"/>
  <c r="C1755" i="2"/>
  <c r="C1754" i="2"/>
  <c r="C1753" i="2"/>
  <c r="C1752" i="2"/>
  <c r="C1751" i="2"/>
  <c r="C1750" i="2"/>
  <c r="C1749" i="2"/>
  <c r="C1748" i="2"/>
  <c r="C1747" i="2"/>
  <c r="C1746" i="2"/>
  <c r="C1745" i="2"/>
  <c r="C1744" i="2"/>
  <c r="C1743" i="2"/>
  <c r="C1742" i="2"/>
  <c r="C1741" i="2"/>
  <c r="C1740" i="2"/>
  <c r="C1739" i="2"/>
  <c r="C1738" i="2"/>
  <c r="C1737" i="2"/>
  <c r="C1736" i="2"/>
  <c r="C1735" i="2"/>
  <c r="C1734" i="2"/>
  <c r="C1733" i="2"/>
  <c r="C1732" i="2"/>
  <c r="C1731" i="2"/>
  <c r="C1730" i="2"/>
  <c r="C1729" i="2"/>
  <c r="C1728" i="2"/>
  <c r="C1727" i="2"/>
  <c r="C1726" i="2"/>
  <c r="C1725" i="2"/>
  <c r="C1724" i="2"/>
  <c r="C1723" i="2"/>
  <c r="C1722" i="2"/>
  <c r="C1721" i="2"/>
  <c r="C1720" i="2"/>
  <c r="C1719" i="2"/>
  <c r="C1718" i="2"/>
  <c r="C1717" i="2"/>
  <c r="C1716" i="2"/>
  <c r="C1715" i="2"/>
  <c r="C1714" i="2"/>
  <c r="C1713" i="2"/>
  <c r="C1712" i="2"/>
  <c r="C1711" i="2"/>
  <c r="C1710" i="2"/>
  <c r="C1709" i="2"/>
  <c r="C1708" i="2"/>
  <c r="C1707" i="2"/>
  <c r="C1706" i="2"/>
  <c r="C1705" i="2"/>
  <c r="C1704" i="2"/>
  <c r="C1703" i="2"/>
  <c r="C1702" i="2"/>
  <c r="C1701" i="2"/>
  <c r="C1700" i="2"/>
  <c r="C1699" i="2"/>
  <c r="C1698" i="2"/>
  <c r="C1697" i="2"/>
  <c r="C1694" i="2"/>
  <c r="C1692" i="2"/>
  <c r="J1687" i="2"/>
  <c r="I1687" i="2"/>
  <c r="H1687" i="2"/>
  <c r="C1686" i="2"/>
  <c r="C1683" i="2"/>
  <c r="C1681" i="2"/>
  <c r="J1676" i="2"/>
  <c r="I1676" i="2"/>
  <c r="H1676" i="2"/>
  <c r="C1675" i="2"/>
  <c r="C1674" i="2"/>
  <c r="C1673" i="2"/>
  <c r="C1672" i="2"/>
  <c r="C1671" i="2"/>
  <c r="C1670" i="2"/>
  <c r="C1669" i="2"/>
  <c r="C1668" i="2"/>
  <c r="C1667" i="2"/>
  <c r="C1666" i="2"/>
  <c r="C1665" i="2"/>
  <c r="C1664" i="2"/>
  <c r="C1663" i="2"/>
  <c r="C1662" i="2"/>
  <c r="C1661" i="2"/>
  <c r="C1660" i="2"/>
  <c r="C1659" i="2"/>
  <c r="C1658" i="2"/>
  <c r="C1657" i="2"/>
  <c r="C1656" i="2"/>
  <c r="C1655" i="2"/>
  <c r="C1654" i="2"/>
  <c r="C1653" i="2"/>
  <c r="C1652" i="2"/>
  <c r="C1649" i="2"/>
  <c r="C1647" i="2"/>
  <c r="J1642" i="2"/>
  <c r="I1642" i="2"/>
  <c r="H1642" i="2"/>
  <c r="C1641" i="2"/>
  <c r="C1638" i="2"/>
  <c r="C1636" i="2"/>
  <c r="J1631" i="2"/>
  <c r="I1631" i="2"/>
  <c r="H1631" i="2"/>
  <c r="C1630" i="2"/>
  <c r="C1627" i="2"/>
  <c r="C1625" i="2"/>
  <c r="J1620" i="2"/>
  <c r="I1620" i="2"/>
  <c r="H1620" i="2"/>
  <c r="C1619" i="2"/>
  <c r="C1618" i="2"/>
  <c r="C1617" i="2"/>
  <c r="C1616" i="2"/>
  <c r="C1613" i="2"/>
  <c r="C1611" i="2"/>
  <c r="J1606" i="2"/>
  <c r="I1606" i="2"/>
  <c r="H1606" i="2"/>
  <c r="C1605" i="2"/>
  <c r="C1604" i="2"/>
  <c r="C1603" i="2"/>
  <c r="C1602" i="2"/>
  <c r="C1601" i="2"/>
  <c r="C1600" i="2"/>
  <c r="C1599" i="2"/>
  <c r="C1598" i="2"/>
  <c r="C1597" i="2"/>
  <c r="C1594" i="2"/>
  <c r="C1592" i="2"/>
  <c r="J1587" i="2"/>
  <c r="I1587" i="2"/>
  <c r="H1587" i="2"/>
  <c r="C1586" i="2"/>
  <c r="C1585" i="2"/>
  <c r="C1584" i="2"/>
  <c r="C1583" i="2"/>
  <c r="C1582" i="2"/>
  <c r="C1581" i="2"/>
  <c r="C1580" i="2"/>
  <c r="C1579" i="2"/>
  <c r="C1578" i="2"/>
  <c r="C1577" i="2"/>
  <c r="C1576" i="2"/>
  <c r="C1575" i="2"/>
  <c r="C1574" i="2"/>
  <c r="C1573" i="2"/>
  <c r="C1570" i="2"/>
  <c r="C1568" i="2"/>
  <c r="J1563" i="2"/>
  <c r="I1563" i="2"/>
  <c r="H1563" i="2"/>
  <c r="C1562" i="2"/>
  <c r="C1559" i="2"/>
  <c r="C1557" i="2"/>
  <c r="J1552" i="2"/>
  <c r="I1552" i="2"/>
  <c r="H1552" i="2"/>
  <c r="C1551" i="2"/>
  <c r="C1550" i="2"/>
  <c r="C1549" i="2"/>
  <c r="C1548" i="2"/>
  <c r="C1547" i="2"/>
  <c r="C1544" i="2"/>
  <c r="C1542" i="2"/>
  <c r="J1537" i="2"/>
  <c r="I1537" i="2"/>
  <c r="H1537" i="2"/>
  <c r="C1536" i="2"/>
  <c r="C1535" i="2"/>
  <c r="C1534" i="2"/>
  <c r="C1533" i="2"/>
  <c r="C1532" i="2"/>
  <c r="C1531" i="2"/>
  <c r="C1530" i="2"/>
  <c r="C1527" i="2"/>
  <c r="C1525" i="2"/>
  <c r="J1520" i="2"/>
  <c r="I1520" i="2"/>
  <c r="H1520" i="2"/>
  <c r="C1519" i="2"/>
  <c r="C1518" i="2"/>
  <c r="C1517" i="2"/>
  <c r="C1516" i="2"/>
  <c r="C1515" i="2"/>
  <c r="C1514" i="2"/>
  <c r="C1513" i="2"/>
  <c r="C1512" i="2"/>
  <c r="C1511" i="2"/>
  <c r="C1510" i="2"/>
  <c r="C1509" i="2"/>
  <c r="C1508" i="2"/>
  <c r="C1507" i="2"/>
  <c r="C1506" i="2"/>
  <c r="C1505" i="2"/>
  <c r="C1504" i="2"/>
  <c r="C1503" i="2"/>
  <c r="C1502" i="2"/>
  <c r="C1501" i="2"/>
  <c r="C1500" i="2"/>
  <c r="C1497" i="2"/>
  <c r="C1495" i="2"/>
  <c r="J1490" i="2"/>
  <c r="I1490" i="2"/>
  <c r="H1490" i="2"/>
  <c r="C1489" i="2"/>
  <c r="C1486" i="2"/>
  <c r="C1484" i="2"/>
  <c r="J1479" i="2"/>
  <c r="I1479" i="2"/>
  <c r="H1479" i="2"/>
  <c r="C1478" i="2"/>
  <c r="C1477" i="2"/>
  <c r="C1476" i="2"/>
  <c r="C1475" i="2"/>
  <c r="C1474" i="2"/>
  <c r="C1473" i="2"/>
  <c r="C1472" i="2"/>
  <c r="C1471" i="2"/>
  <c r="C1470" i="2"/>
  <c r="C1467" i="2"/>
  <c r="C1465" i="2"/>
  <c r="J1460" i="2"/>
  <c r="I1460" i="2"/>
  <c r="H1460" i="2"/>
  <c r="C1459" i="2"/>
  <c r="C1456" i="2"/>
  <c r="C1454" i="2"/>
  <c r="J1449" i="2"/>
  <c r="I1449" i="2"/>
  <c r="H1449" i="2"/>
  <c r="C1448" i="2"/>
  <c r="C1447" i="2"/>
  <c r="C1446" i="2"/>
  <c r="C1445" i="2"/>
  <c r="C1444" i="2"/>
  <c r="C1443" i="2"/>
  <c r="C1442" i="2"/>
  <c r="C1439" i="2"/>
  <c r="C1437" i="2"/>
  <c r="J1432" i="2"/>
  <c r="I1432" i="2"/>
  <c r="H1432" i="2"/>
  <c r="C1431" i="2"/>
  <c r="C1428" i="2"/>
  <c r="C1426" i="2"/>
  <c r="J1421" i="2"/>
  <c r="I1421" i="2"/>
  <c r="H1421" i="2"/>
  <c r="C1420" i="2"/>
  <c r="C1417" i="2"/>
  <c r="C1415" i="2"/>
  <c r="J1410" i="2"/>
  <c r="I1410" i="2"/>
  <c r="H1410" i="2"/>
  <c r="C1409" i="2"/>
  <c r="C1406" i="2"/>
  <c r="C1404" i="2"/>
  <c r="J1399" i="2"/>
  <c r="I1399" i="2"/>
  <c r="H1399" i="2"/>
  <c r="C1398" i="2"/>
  <c r="C1395" i="2"/>
  <c r="C1393" i="2"/>
  <c r="J1388" i="2"/>
  <c r="I1388" i="2"/>
  <c r="H1388" i="2"/>
  <c r="C1387" i="2"/>
  <c r="C1384" i="2"/>
  <c r="C1382" i="2"/>
  <c r="J1377" i="2"/>
  <c r="I1377" i="2"/>
  <c r="H1377" i="2"/>
  <c r="C1376" i="2"/>
  <c r="C1373" i="2"/>
  <c r="C1371" i="2"/>
  <c r="J1366" i="2"/>
  <c r="I1366" i="2"/>
  <c r="H1366" i="2"/>
  <c r="C1365" i="2"/>
  <c r="C1362" i="2"/>
  <c r="C1360" i="2"/>
  <c r="J1355" i="2"/>
  <c r="I1355" i="2"/>
  <c r="H1355" i="2"/>
  <c r="C1354" i="2"/>
  <c r="C1353" i="2"/>
  <c r="C1352" i="2"/>
  <c r="C1349" i="2"/>
  <c r="C1347" i="2"/>
  <c r="J1342" i="2"/>
  <c r="I1342" i="2"/>
  <c r="H1342" i="2"/>
  <c r="C1341" i="2"/>
  <c r="C1338" i="2"/>
  <c r="C1336" i="2"/>
  <c r="J1331" i="2"/>
  <c r="I1331" i="2"/>
  <c r="H1331" i="2"/>
  <c r="C1330" i="2"/>
  <c r="C1329" i="2"/>
  <c r="C1328" i="2"/>
  <c r="C1327" i="2"/>
  <c r="C1326" i="2"/>
  <c r="C1325" i="2"/>
  <c r="C1322" i="2"/>
  <c r="C1320" i="2"/>
  <c r="J1315" i="2"/>
  <c r="I1315" i="2"/>
  <c r="H1315" i="2"/>
  <c r="C1314" i="2"/>
  <c r="C1313" i="2"/>
  <c r="C1312" i="2"/>
  <c r="C1311" i="2"/>
  <c r="C1310" i="2"/>
  <c r="C1309" i="2"/>
  <c r="C1308" i="2"/>
  <c r="C1307" i="2"/>
  <c r="C1306" i="2"/>
  <c r="C1305" i="2"/>
  <c r="C1304" i="2"/>
  <c r="C1303" i="2"/>
  <c r="C1302" i="2"/>
  <c r="C1301" i="2"/>
  <c r="C1300" i="2"/>
  <c r="C1297" i="2"/>
  <c r="C1295" i="2"/>
  <c r="J1290" i="2"/>
  <c r="I1290" i="2"/>
  <c r="H1290" i="2"/>
  <c r="C1289" i="2"/>
  <c r="C1288" i="2"/>
  <c r="C1287" i="2"/>
  <c r="C1286" i="2"/>
  <c r="C1285" i="2"/>
  <c r="C1284" i="2"/>
  <c r="C1283" i="2"/>
  <c r="C1282" i="2"/>
  <c r="C1281" i="2"/>
  <c r="C1280" i="2"/>
  <c r="C1277" i="2"/>
  <c r="C1275" i="2"/>
  <c r="J1270" i="2"/>
  <c r="I1270" i="2"/>
  <c r="H1270" i="2"/>
  <c r="C1269" i="2"/>
  <c r="C1268" i="2"/>
  <c r="C1267" i="2"/>
  <c r="C1266" i="2"/>
  <c r="C1265" i="2"/>
  <c r="C1264" i="2"/>
  <c r="C1263" i="2"/>
  <c r="C1262" i="2"/>
  <c r="C1261" i="2"/>
  <c r="C1260" i="2"/>
  <c r="C1259" i="2"/>
  <c r="C1258" i="2"/>
  <c r="C1257" i="2"/>
  <c r="C1256" i="2"/>
  <c r="C1255" i="2"/>
  <c r="C1254" i="2"/>
  <c r="C1253" i="2"/>
  <c r="C1252" i="2"/>
  <c r="C1251" i="2"/>
  <c r="C1250" i="2"/>
  <c r="C1249" i="2"/>
  <c r="C1248" i="2"/>
  <c r="C1247" i="2"/>
  <c r="C1246" i="2"/>
  <c r="C1245" i="2"/>
  <c r="C1244" i="2"/>
  <c r="C1243" i="2"/>
  <c r="C1242" i="2"/>
  <c r="C1241" i="2"/>
  <c r="C1240" i="2"/>
  <c r="C1239" i="2"/>
  <c r="C1238" i="2"/>
  <c r="C1237" i="2"/>
  <c r="C1236" i="2"/>
  <c r="C1235" i="2"/>
  <c r="C1234" i="2"/>
  <c r="C1233" i="2"/>
  <c r="C1232" i="2"/>
  <c r="C1231" i="2"/>
  <c r="C1230" i="2"/>
  <c r="C1227" i="2"/>
  <c r="C1225" i="2"/>
  <c r="J1220" i="2"/>
  <c r="I1220" i="2"/>
  <c r="H1220" i="2"/>
  <c r="C1219" i="2"/>
  <c r="C1216" i="2"/>
  <c r="C1214" i="2"/>
  <c r="J1209" i="2"/>
  <c r="I1209" i="2"/>
  <c r="H1209" i="2"/>
  <c r="C1208" i="2"/>
  <c r="C1205" i="2"/>
  <c r="C1203" i="2"/>
  <c r="J1198" i="2"/>
  <c r="I1198" i="2"/>
  <c r="H1198" i="2"/>
  <c r="C1197" i="2"/>
  <c r="C1196" i="2"/>
  <c r="C1195" i="2"/>
  <c r="C1194" i="2"/>
  <c r="C1193" i="2"/>
  <c r="C1192" i="2"/>
  <c r="C1191" i="2"/>
  <c r="C1190" i="2"/>
  <c r="C1189" i="2"/>
  <c r="C1188" i="2"/>
  <c r="C1187" i="2"/>
  <c r="C1186" i="2"/>
  <c r="C1183" i="2"/>
  <c r="C1181" i="2"/>
  <c r="J1176" i="2"/>
  <c r="I1176" i="2"/>
  <c r="H1176" i="2"/>
  <c r="C1175" i="2"/>
  <c r="C1174" i="2"/>
  <c r="C1173" i="2"/>
  <c r="C1172" i="2"/>
  <c r="C1171" i="2"/>
  <c r="C1168" i="2"/>
  <c r="C1166" i="2"/>
  <c r="J1161" i="2"/>
  <c r="I1161" i="2"/>
  <c r="H1161" i="2"/>
  <c r="C1160" i="2"/>
  <c r="C1157" i="2"/>
  <c r="C1155" i="2"/>
  <c r="J1150" i="2"/>
  <c r="I1150" i="2"/>
  <c r="H1150" i="2"/>
  <c r="C1149" i="2"/>
  <c r="C1148" i="2"/>
  <c r="C1147" i="2"/>
  <c r="C1146" i="2"/>
  <c r="C1145" i="2"/>
  <c r="C1142" i="2"/>
  <c r="C1140" i="2"/>
  <c r="J1135" i="2"/>
  <c r="I1135" i="2"/>
  <c r="H1135" i="2"/>
  <c r="C1134" i="2"/>
  <c r="C1133" i="2"/>
  <c r="C1130" i="2"/>
  <c r="C1128" i="2"/>
  <c r="J1123" i="2"/>
  <c r="I1123" i="2"/>
  <c r="H1123" i="2"/>
  <c r="C1122" i="2"/>
  <c r="C1121" i="2"/>
  <c r="C1120" i="2"/>
  <c r="C1119" i="2"/>
  <c r="C1118" i="2"/>
  <c r="C1117" i="2"/>
  <c r="C1116" i="2"/>
  <c r="C1115" i="2"/>
  <c r="C1114" i="2"/>
  <c r="C1113" i="2"/>
  <c r="C1112" i="2"/>
  <c r="C1111" i="2"/>
  <c r="C1110" i="2"/>
  <c r="C1109" i="2"/>
  <c r="C1108" i="2"/>
  <c r="C1107" i="2"/>
  <c r="C1104" i="2"/>
  <c r="C1102" i="2"/>
  <c r="J1097" i="2"/>
  <c r="I1097" i="2"/>
  <c r="H1097" i="2"/>
  <c r="C1096" i="2"/>
  <c r="C1095" i="2"/>
  <c r="C1094" i="2"/>
  <c r="C1093" i="2"/>
  <c r="C1092" i="2"/>
  <c r="C1091" i="2"/>
  <c r="C1090" i="2"/>
  <c r="C1089" i="2"/>
  <c r="C1088" i="2"/>
  <c r="C1087" i="2"/>
  <c r="C1086" i="2"/>
  <c r="C1085" i="2"/>
  <c r="C1084" i="2"/>
  <c r="C1083" i="2"/>
  <c r="C1082" i="2"/>
  <c r="C1081" i="2"/>
  <c r="C1080" i="2"/>
  <c r="C1079" i="2"/>
  <c r="C1078" i="2"/>
  <c r="C1077" i="2"/>
  <c r="C1076" i="2"/>
  <c r="C1075" i="2"/>
  <c r="C1074" i="2"/>
  <c r="C1073" i="2"/>
  <c r="C1072" i="2"/>
  <c r="C1071" i="2"/>
  <c r="C1070" i="2"/>
  <c r="C1069" i="2"/>
  <c r="C1068" i="2"/>
  <c r="C1067" i="2"/>
  <c r="C1066" i="2"/>
  <c r="C1065" i="2"/>
  <c r="C1064" i="2"/>
  <c r="C1063" i="2"/>
  <c r="C1062" i="2"/>
  <c r="C1061" i="2"/>
  <c r="C1060" i="2"/>
  <c r="C1059" i="2"/>
  <c r="C1058" i="2"/>
  <c r="C1057" i="2"/>
  <c r="C1056" i="2"/>
  <c r="C1055" i="2"/>
  <c r="C1054" i="2"/>
  <c r="C1053" i="2"/>
  <c r="C1052" i="2"/>
  <c r="C1051" i="2"/>
  <c r="C1050" i="2"/>
  <c r="C1049" i="2"/>
  <c r="C1046" i="2"/>
  <c r="C1044" i="2"/>
  <c r="J1039" i="2"/>
  <c r="I1039" i="2"/>
  <c r="H1039" i="2"/>
  <c r="C1038" i="2"/>
  <c r="C1037" i="2"/>
  <c r="C1036" i="2"/>
  <c r="C1035" i="2"/>
  <c r="C1034" i="2"/>
  <c r="C1031" i="2"/>
  <c r="C1029" i="2"/>
  <c r="J1024" i="2"/>
  <c r="I1024" i="2"/>
  <c r="H1024" i="2"/>
  <c r="C1023" i="2"/>
  <c r="C1020" i="2"/>
  <c r="C1018" i="2"/>
  <c r="J1013" i="2"/>
  <c r="I1013" i="2"/>
  <c r="H1013" i="2"/>
  <c r="C1012" i="2"/>
  <c r="C1009" i="2"/>
  <c r="C1007" i="2"/>
  <c r="J1002" i="2"/>
  <c r="I1002" i="2"/>
  <c r="H1002" i="2"/>
  <c r="C1001" i="2"/>
  <c r="C1000" i="2"/>
  <c r="C997" i="2"/>
  <c r="C995" i="2"/>
  <c r="J990" i="2"/>
  <c r="I990" i="2"/>
  <c r="H990" i="2"/>
  <c r="C989" i="2"/>
  <c r="C986" i="2"/>
  <c r="C984" i="2"/>
  <c r="J979" i="2"/>
  <c r="I979" i="2"/>
  <c r="H979" i="2"/>
  <c r="C978" i="2"/>
  <c r="C977" i="2"/>
  <c r="C976" i="2"/>
  <c r="C975" i="2"/>
  <c r="C972" i="2"/>
  <c r="C970" i="2"/>
  <c r="J965" i="2"/>
  <c r="I965" i="2"/>
  <c r="H965" i="2"/>
  <c r="C964" i="2"/>
  <c r="C961" i="2"/>
  <c r="C959" i="2"/>
  <c r="J954" i="2"/>
  <c r="I954" i="2"/>
  <c r="H954" i="2"/>
  <c r="C953" i="2"/>
  <c r="C950" i="2"/>
  <c r="C948" i="2"/>
  <c r="J943" i="2"/>
  <c r="I943" i="2"/>
  <c r="H943" i="2"/>
  <c r="C942" i="2"/>
  <c r="C941" i="2"/>
  <c r="C940" i="2"/>
  <c r="C939" i="2"/>
  <c r="C938" i="2"/>
  <c r="C937" i="2"/>
  <c r="C936" i="2"/>
  <c r="C935" i="2"/>
  <c r="C934" i="2"/>
  <c r="C933" i="2"/>
  <c r="C932" i="2"/>
  <c r="C931" i="2"/>
  <c r="C930" i="2"/>
  <c r="C929" i="2"/>
  <c r="C928" i="2"/>
  <c r="C927" i="2"/>
  <c r="C926" i="2"/>
  <c r="C923" i="2"/>
  <c r="C921" i="2"/>
  <c r="J916" i="2"/>
  <c r="I916" i="2"/>
  <c r="H916" i="2"/>
  <c r="C915" i="2"/>
  <c r="C914" i="2"/>
  <c r="C913" i="2"/>
  <c r="C910" i="2"/>
  <c r="C908" i="2"/>
  <c r="J903" i="2"/>
  <c r="I903" i="2"/>
  <c r="H903" i="2"/>
  <c r="C902" i="2"/>
  <c r="C901" i="2"/>
  <c r="C898" i="2"/>
  <c r="C896" i="2"/>
  <c r="J891" i="2"/>
  <c r="I891" i="2"/>
  <c r="H891" i="2"/>
  <c r="C890" i="2"/>
  <c r="C889" i="2"/>
  <c r="C886" i="2"/>
  <c r="C884" i="2"/>
  <c r="J879" i="2"/>
  <c r="I879" i="2"/>
  <c r="H879" i="2"/>
  <c r="C878" i="2"/>
  <c r="C877" i="2"/>
  <c r="C874" i="2"/>
  <c r="C872" i="2"/>
  <c r="J867" i="2"/>
  <c r="I867" i="2"/>
  <c r="H867" i="2"/>
  <c r="C866" i="2"/>
  <c r="C863" i="2"/>
  <c r="C861" i="2"/>
  <c r="J856" i="2"/>
  <c r="I856" i="2"/>
  <c r="H856" i="2"/>
  <c r="C855" i="2"/>
  <c r="C854" i="2"/>
  <c r="C853" i="2"/>
  <c r="C852" i="2"/>
  <c r="C851" i="2"/>
  <c r="C850" i="2"/>
  <c r="C847" i="2"/>
  <c r="C845" i="2"/>
  <c r="J840" i="2"/>
  <c r="I840" i="2"/>
  <c r="H840" i="2"/>
  <c r="C839" i="2"/>
  <c r="C838" i="2"/>
  <c r="C837" i="2"/>
  <c r="C836" i="2"/>
  <c r="C835" i="2"/>
  <c r="C834" i="2"/>
  <c r="C833" i="2"/>
  <c r="C832" i="2"/>
  <c r="C831" i="2"/>
  <c r="C830" i="2"/>
  <c r="C829" i="2"/>
  <c r="C828" i="2"/>
  <c r="C827" i="2"/>
  <c r="C826" i="2"/>
  <c r="C825" i="2"/>
  <c r="C824" i="2"/>
  <c r="C823" i="2"/>
  <c r="C822" i="2"/>
  <c r="C821" i="2"/>
  <c r="C820" i="2"/>
  <c r="C819" i="2"/>
  <c r="C818" i="2"/>
  <c r="C817" i="2"/>
  <c r="C816" i="2"/>
  <c r="C815" i="2"/>
  <c r="C814" i="2"/>
  <c r="C813" i="2"/>
  <c r="C812" i="2"/>
  <c r="C811" i="2"/>
  <c r="C810" i="2"/>
  <c r="C809" i="2"/>
  <c r="C808" i="2"/>
  <c r="C807" i="2"/>
  <c r="C806" i="2"/>
  <c r="C805" i="2"/>
  <c r="C804" i="2"/>
  <c r="C803" i="2"/>
  <c r="C802" i="2"/>
  <c r="C801" i="2"/>
  <c r="C800" i="2"/>
  <c r="C799" i="2"/>
  <c r="C798" i="2"/>
  <c r="C797" i="2"/>
  <c r="C796" i="2"/>
  <c r="C795" i="2"/>
  <c r="C794" i="2"/>
  <c r="C793" i="2"/>
  <c r="C792" i="2"/>
  <c r="C791" i="2"/>
  <c r="C790" i="2"/>
  <c r="C787" i="2"/>
  <c r="C785" i="2"/>
  <c r="J780" i="2"/>
  <c r="I780" i="2"/>
  <c r="H780" i="2"/>
  <c r="C779" i="2"/>
  <c r="C778" i="2"/>
  <c r="C777" i="2"/>
  <c r="C776" i="2"/>
  <c r="C775" i="2"/>
  <c r="C774" i="2"/>
  <c r="C773" i="2"/>
  <c r="C772" i="2"/>
  <c r="C769" i="2"/>
  <c r="C767" i="2"/>
  <c r="J762" i="2"/>
  <c r="I762" i="2"/>
  <c r="H762" i="2"/>
  <c r="C761" i="2"/>
  <c r="C760" i="2"/>
  <c r="C759" i="2"/>
  <c r="C758" i="2"/>
  <c r="C757" i="2"/>
  <c r="C756" i="2"/>
  <c r="C755" i="2"/>
  <c r="C754" i="2"/>
  <c r="C753" i="2"/>
  <c r="C752" i="2"/>
  <c r="C751" i="2"/>
  <c r="C750" i="2"/>
  <c r="C749" i="2"/>
  <c r="C748" i="2"/>
  <c r="C747" i="2"/>
  <c r="C746" i="2"/>
  <c r="C745" i="2"/>
  <c r="C744" i="2"/>
  <c r="C743" i="2"/>
  <c r="C742" i="2"/>
  <c r="C741" i="2"/>
  <c r="C740" i="2"/>
  <c r="C739" i="2"/>
  <c r="C738" i="2"/>
  <c r="C737" i="2"/>
  <c r="C736" i="2"/>
  <c r="C735" i="2"/>
  <c r="C734" i="2"/>
  <c r="C731" i="2"/>
  <c r="C729" i="2"/>
  <c r="J724" i="2"/>
  <c r="I724" i="2"/>
  <c r="H724" i="2"/>
  <c r="C723" i="2"/>
  <c r="C722" i="2"/>
  <c r="C721" i="2"/>
  <c r="C720" i="2"/>
  <c r="C719" i="2"/>
  <c r="C716" i="2"/>
  <c r="C714" i="2"/>
  <c r="J709" i="2"/>
  <c r="I709" i="2"/>
  <c r="H709" i="2"/>
  <c r="C708" i="2"/>
  <c r="C707" i="2"/>
  <c r="C706" i="2"/>
  <c r="C705" i="2"/>
  <c r="C704" i="2"/>
  <c r="C703" i="2"/>
  <c r="C702" i="2"/>
  <c r="C701" i="2"/>
  <c r="C700" i="2"/>
  <c r="C699" i="2"/>
  <c r="C698" i="2"/>
  <c r="C697" i="2"/>
  <c r="C696" i="2"/>
  <c r="C695" i="2"/>
  <c r="C694" i="2"/>
  <c r="C693" i="2"/>
  <c r="C692" i="2"/>
  <c r="C691" i="2"/>
  <c r="C690" i="2"/>
  <c r="C689" i="2"/>
  <c r="C688" i="2"/>
  <c r="C687" i="2"/>
  <c r="C686" i="2"/>
  <c r="C685" i="2"/>
  <c r="C684" i="2"/>
  <c r="C683" i="2"/>
  <c r="C682" i="2"/>
  <c r="C681" i="2"/>
  <c r="C680" i="2"/>
  <c r="C679" i="2"/>
  <c r="C678" i="2"/>
  <c r="C677" i="2"/>
  <c r="C676" i="2"/>
  <c r="C675" i="2"/>
  <c r="C674" i="2"/>
  <c r="C671" i="2"/>
  <c r="C669" i="2"/>
  <c r="J664" i="2"/>
  <c r="I664" i="2"/>
  <c r="H664" i="2"/>
  <c r="C663" i="2"/>
  <c r="C662" i="2"/>
  <c r="C661" i="2"/>
  <c r="C660" i="2"/>
  <c r="C659" i="2"/>
  <c r="C658" i="2"/>
  <c r="C657" i="2"/>
  <c r="C656" i="2"/>
  <c r="C655" i="2"/>
  <c r="C654" i="2"/>
  <c r="C653" i="2"/>
  <c r="C652" i="2"/>
  <c r="C651" i="2"/>
  <c r="C650" i="2"/>
  <c r="C649" i="2"/>
  <c r="C648" i="2"/>
  <c r="C647" i="2"/>
  <c r="C646" i="2"/>
  <c r="C645" i="2"/>
  <c r="C644" i="2"/>
  <c r="C643" i="2"/>
  <c r="C642" i="2"/>
  <c r="C641" i="2"/>
  <c r="C640" i="2"/>
  <c r="C639" i="2"/>
  <c r="C638" i="2"/>
  <c r="C637" i="2"/>
  <c r="C636" i="2"/>
  <c r="C635" i="2"/>
  <c r="C634" i="2"/>
  <c r="C633" i="2"/>
  <c r="C632" i="2"/>
  <c r="C631" i="2"/>
  <c r="C630" i="2"/>
  <c r="C629" i="2"/>
  <c r="C628" i="2"/>
  <c r="C627" i="2"/>
  <c r="C626" i="2"/>
  <c r="C625" i="2"/>
  <c r="C622" i="2"/>
  <c r="C620" i="2"/>
  <c r="J615" i="2"/>
  <c r="I615" i="2"/>
  <c r="H615" i="2"/>
  <c r="C614" i="2"/>
  <c r="C611" i="2"/>
  <c r="C609" i="2"/>
  <c r="J604" i="2"/>
  <c r="I604" i="2"/>
  <c r="H604" i="2"/>
  <c r="C603" i="2"/>
  <c r="C602" i="2"/>
  <c r="C601" i="2"/>
  <c r="C600" i="2"/>
  <c r="C599" i="2"/>
  <c r="C598" i="2"/>
  <c r="C597" i="2"/>
  <c r="C596" i="2"/>
  <c r="C595" i="2"/>
  <c r="C594" i="2"/>
  <c r="C593" i="2"/>
  <c r="C592" i="2"/>
  <c r="C591" i="2"/>
  <c r="C590" i="2"/>
  <c r="C589" i="2"/>
  <c r="C588" i="2"/>
  <c r="C587" i="2"/>
  <c r="C586" i="2"/>
  <c r="C585" i="2"/>
  <c r="C582" i="2"/>
  <c r="C580" i="2"/>
  <c r="J575" i="2"/>
  <c r="I575" i="2"/>
  <c r="H575" i="2"/>
  <c r="C574" i="2"/>
  <c r="C573" i="2"/>
  <c r="C572" i="2"/>
  <c r="C571" i="2"/>
  <c r="C570" i="2"/>
  <c r="C569" i="2"/>
  <c r="C568" i="2"/>
  <c r="C567" i="2"/>
  <c r="C566" i="2"/>
  <c r="C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29" i="2"/>
  <c r="C527" i="2"/>
  <c r="J522" i="2"/>
  <c r="I522" i="2"/>
  <c r="H522" i="2"/>
  <c r="C521" i="2"/>
  <c r="C520" i="2"/>
  <c r="C519" i="2"/>
  <c r="C518" i="2"/>
  <c r="C517" i="2"/>
  <c r="C516" i="2"/>
  <c r="C515" i="2"/>
  <c r="C514" i="2"/>
  <c r="C513" i="2"/>
  <c r="C512" i="2"/>
  <c r="C511" i="2"/>
  <c r="C510" i="2"/>
  <c r="C509" i="2"/>
  <c r="C508" i="2"/>
  <c r="C507" i="2"/>
  <c r="C506" i="2"/>
  <c r="C505" i="2"/>
  <c r="C504" i="2"/>
  <c r="C503" i="2"/>
  <c r="C502" i="2"/>
  <c r="C501" i="2"/>
  <c r="C500" i="2"/>
  <c r="C499" i="2"/>
  <c r="C498" i="2"/>
  <c r="C497" i="2"/>
  <c r="C496" i="2"/>
  <c r="C495" i="2"/>
  <c r="C494" i="2"/>
  <c r="C493" i="2"/>
  <c r="C492" i="2"/>
  <c r="C491" i="2"/>
  <c r="C490" i="2"/>
  <c r="C489" i="2"/>
  <c r="C488" i="2"/>
  <c r="C487" i="2"/>
  <c r="C486" i="2"/>
  <c r="C485" i="2"/>
  <c r="C484" i="2"/>
  <c r="C483" i="2"/>
  <c r="C482" i="2"/>
  <c r="C481" i="2"/>
  <c r="C480" i="2"/>
  <c r="C479" i="2"/>
  <c r="C478" i="2"/>
  <c r="C477" i="2"/>
  <c r="C476" i="2"/>
  <c r="C475" i="2"/>
  <c r="C474" i="2"/>
  <c r="C473" i="2"/>
  <c r="C472" i="2"/>
  <c r="C471" i="2"/>
  <c r="C470" i="2"/>
  <c r="C469" i="2"/>
  <c r="C468" i="2"/>
  <c r="C467" i="2"/>
  <c r="C466" i="2"/>
  <c r="C465" i="2"/>
  <c r="C464" i="2"/>
  <c r="C463" i="2"/>
  <c r="C462" i="2"/>
  <c r="C461" i="2"/>
  <c r="C460" i="2"/>
  <c r="C459" i="2"/>
  <c r="C458" i="2"/>
  <c r="C457" i="2"/>
  <c r="C456" i="2"/>
  <c r="C455" i="2"/>
  <c r="C454" i="2"/>
  <c r="C453" i="2"/>
  <c r="C452" i="2"/>
  <c r="C451" i="2"/>
  <c r="C450" i="2"/>
  <c r="C449" i="2"/>
  <c r="C448" i="2"/>
  <c r="C447" i="2"/>
  <c r="C446" i="2"/>
  <c r="C445" i="2"/>
  <c r="C442" i="2"/>
  <c r="C440" i="2"/>
  <c r="J435" i="2"/>
  <c r="I435" i="2"/>
  <c r="H435" i="2"/>
  <c r="C434" i="2"/>
  <c r="C433" i="2"/>
  <c r="C432" i="2"/>
  <c r="C431" i="2"/>
  <c r="C430" i="2"/>
  <c r="C429" i="2"/>
  <c r="C428" i="2"/>
  <c r="C427" i="2"/>
  <c r="C426" i="2"/>
  <c r="C425" i="2"/>
  <c r="C424" i="2"/>
  <c r="C423" i="2"/>
  <c r="C422" i="2"/>
  <c r="C421" i="2"/>
  <c r="C420" i="2"/>
  <c r="C419" i="2"/>
  <c r="C418" i="2"/>
  <c r="C417" i="2"/>
  <c r="C416" i="2"/>
  <c r="C415" i="2"/>
  <c r="C414" i="2"/>
  <c r="C413" i="2"/>
  <c r="C412" i="2"/>
  <c r="C411" i="2"/>
  <c r="C410" i="2"/>
  <c r="C409" i="2"/>
  <c r="C408" i="2"/>
  <c r="C407" i="2"/>
  <c r="C406" i="2"/>
  <c r="C405" i="2"/>
  <c r="C404" i="2"/>
  <c r="C401" i="2"/>
  <c r="C399" i="2"/>
  <c r="J394" i="2"/>
  <c r="I394" i="2"/>
  <c r="H394" i="2"/>
  <c r="C393" i="2"/>
  <c r="C392" i="2"/>
  <c r="C391" i="2"/>
  <c r="C390" i="2"/>
  <c r="C389" i="2"/>
  <c r="C388" i="2"/>
  <c r="C387" i="2"/>
  <c r="C386" i="2"/>
  <c r="C385" i="2"/>
  <c r="C384" i="2"/>
  <c r="C381" i="2"/>
  <c r="C379" i="2"/>
  <c r="J374" i="2"/>
  <c r="I374" i="2"/>
  <c r="H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6" i="2"/>
  <c r="C324" i="2"/>
  <c r="J319" i="2"/>
  <c r="I319" i="2"/>
  <c r="H319" i="2"/>
  <c r="C318" i="2"/>
  <c r="C315" i="2"/>
  <c r="C313" i="2"/>
  <c r="J308" i="2"/>
  <c r="I308" i="2"/>
  <c r="H308" i="2"/>
  <c r="C307" i="2"/>
  <c r="C306" i="2"/>
  <c r="C305" i="2"/>
  <c r="C304" i="2"/>
  <c r="C303" i="2"/>
  <c r="C302" i="2"/>
  <c r="C301" i="2"/>
  <c r="C300" i="2"/>
  <c r="C299" i="2"/>
  <c r="C298" i="2"/>
  <c r="C297" i="2"/>
  <c r="C296" i="2"/>
  <c r="C295" i="2"/>
  <c r="C294" i="2"/>
  <c r="C293" i="2"/>
  <c r="C292" i="2"/>
  <c r="C291" i="2"/>
  <c r="C290" i="2"/>
  <c r="C289" i="2"/>
  <c r="C288" i="2"/>
  <c r="C285" i="2"/>
  <c r="C283" i="2"/>
  <c r="J278" i="2"/>
  <c r="I278" i="2"/>
  <c r="H278" i="2"/>
  <c r="C277" i="2"/>
  <c r="C274" i="2"/>
  <c r="C272" i="2"/>
  <c r="J267" i="2"/>
  <c r="I267" i="2"/>
  <c r="H267" i="2"/>
  <c r="C266" i="2"/>
  <c r="C263" i="2"/>
  <c r="C261" i="2"/>
  <c r="J256" i="2"/>
  <c r="I256" i="2"/>
  <c r="H256" i="2"/>
  <c r="C255" i="2"/>
  <c r="C252" i="2"/>
  <c r="C250" i="2"/>
  <c r="J245" i="2"/>
  <c r="I245" i="2"/>
  <c r="H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79" i="2"/>
  <c r="C177" i="2"/>
  <c r="J172" i="2"/>
  <c r="I172" i="2"/>
  <c r="H172" i="2"/>
  <c r="C171" i="2"/>
  <c r="C170" i="2"/>
  <c r="C169" i="2"/>
  <c r="C168" i="2"/>
  <c r="C167" i="2"/>
  <c r="C166" i="2"/>
  <c r="C165" i="2"/>
  <c r="C164" i="2"/>
  <c r="C163" i="2"/>
  <c r="C162" i="2"/>
  <c r="C159" i="2"/>
  <c r="C157" i="2"/>
  <c r="J152" i="2"/>
  <c r="I152" i="2"/>
  <c r="H152" i="2"/>
  <c r="C151" i="2"/>
  <c r="C148" i="2"/>
  <c r="C146" i="2"/>
  <c r="J141" i="2"/>
  <c r="I141" i="2"/>
  <c r="H141" i="2"/>
  <c r="C140" i="2"/>
  <c r="C139" i="2"/>
  <c r="C138" i="2"/>
  <c r="C137" i="2"/>
  <c r="C136" i="2"/>
  <c r="C135" i="2"/>
  <c r="C134" i="2"/>
  <c r="C133" i="2"/>
  <c r="C132" i="2"/>
  <c r="C131" i="2"/>
  <c r="C130" i="2"/>
  <c r="C129" i="2"/>
  <c r="C126" i="2"/>
  <c r="C124" i="2"/>
  <c r="J119" i="2"/>
  <c r="I119" i="2"/>
  <c r="H119" i="2"/>
  <c r="C118" i="2"/>
  <c r="C117" i="2"/>
  <c r="C116" i="2"/>
  <c r="C115" i="2"/>
  <c r="C114" i="2"/>
  <c r="C113" i="2"/>
  <c r="C112" i="2"/>
  <c r="C109" i="2"/>
  <c r="C107" i="2"/>
  <c r="J102" i="2"/>
  <c r="I102" i="2"/>
  <c r="H102" i="2"/>
  <c r="C101" i="2"/>
  <c r="C100" i="2"/>
  <c r="C99" i="2"/>
  <c r="C98" i="2"/>
  <c r="C97" i="2"/>
  <c r="C96" i="2"/>
  <c r="C95" i="2"/>
  <c r="C94" i="2"/>
  <c r="C93" i="2"/>
  <c r="C92" i="2"/>
  <c r="C91" i="2"/>
  <c r="C90" i="2"/>
  <c r="C89" i="2"/>
  <c r="C88" i="2"/>
  <c r="C87" i="2"/>
  <c r="C86" i="2"/>
  <c r="C85" i="2"/>
  <c r="C84" i="2"/>
  <c r="C83" i="2"/>
  <c r="C82" i="2"/>
  <c r="C81" i="2"/>
  <c r="C80" i="2"/>
  <c r="C79" i="2"/>
  <c r="C78" i="2"/>
  <c r="C75" i="2"/>
  <c r="C73" i="2"/>
  <c r="J68" i="2"/>
  <c r="I68" i="2"/>
  <c r="H68" i="2"/>
  <c r="C67" i="2"/>
  <c r="C64" i="2"/>
  <c r="C62" i="2"/>
  <c r="J57" i="2"/>
  <c r="I57" i="2"/>
  <c r="H57" i="2"/>
  <c r="C56" i="2"/>
  <c r="C53" i="2"/>
  <c r="C51" i="2"/>
  <c r="J46" i="2"/>
  <c r="I46" i="2"/>
  <c r="H46" i="2"/>
  <c r="C45" i="2"/>
  <c r="C42" i="2"/>
  <c r="C40" i="2"/>
  <c r="J35" i="2"/>
  <c r="I35" i="2"/>
  <c r="H35" i="2"/>
  <c r="C34" i="2"/>
  <c r="C31" i="2"/>
  <c r="C29" i="2"/>
  <c r="J24" i="2"/>
  <c r="I24" i="2"/>
  <c r="H24" i="2"/>
  <c r="C23" i="2"/>
  <c r="C20" i="2"/>
  <c r="C18" i="2"/>
  <c r="B3" i="2"/>
  <c r="B341" i="2"/>
  <c r="B3274" i="2"/>
  <c r="B3181" i="2"/>
  <c r="B4116" i="2"/>
  <c r="F3013" i="2"/>
  <c r="B3192" i="2"/>
  <c r="F3373" i="2"/>
  <c r="F4341" i="2"/>
  <c r="B4407" i="2"/>
  <c r="B596" i="2"/>
  <c r="F3624" i="2"/>
  <c r="B1064" i="2"/>
  <c r="F3669" i="2"/>
  <c r="F2187" i="2"/>
  <c r="F2656" i="2"/>
  <c r="F482" i="2"/>
  <c r="F3073" i="2"/>
  <c r="F653" i="2"/>
  <c r="B2529" i="2"/>
  <c r="F1819" i="2"/>
  <c r="B4261" i="2"/>
  <c r="F591" i="2"/>
  <c r="F4291" i="2"/>
  <c r="B2749" i="2"/>
  <c r="B2681" i="2"/>
  <c r="B2793" i="2"/>
  <c r="B2762" i="2"/>
  <c r="B1108" i="2"/>
  <c r="B1448" i="2"/>
  <c r="F307" i="2"/>
  <c r="F4121" i="2"/>
  <c r="B3595" i="2"/>
  <c r="B3915" i="2"/>
  <c r="B2894" i="2"/>
  <c r="B1235" i="2"/>
  <c r="B3704" i="2"/>
  <c r="B4420" i="2"/>
  <c r="B1444" i="2"/>
  <c r="B511" i="2"/>
  <c r="B422" i="2"/>
  <c r="B2673" i="2"/>
  <c r="F4463" i="2"/>
  <c r="B1597" i="2"/>
  <c r="B4406" i="2"/>
  <c r="B1241" i="2"/>
  <c r="F688" i="2"/>
  <c r="F2587" i="2"/>
  <c r="B2436" i="2"/>
  <c r="B808" i="2"/>
  <c r="B627" i="2"/>
  <c r="F3577" i="2"/>
  <c r="F811" i="2"/>
  <c r="B4500" i="2"/>
  <c r="B497" i="2"/>
  <c r="F3979" i="2"/>
  <c r="F2715" i="2"/>
  <c r="F2367" i="2"/>
  <c r="B964" i="2"/>
  <c r="F3172" i="2"/>
  <c r="B1445" i="2"/>
  <c r="B4356" i="2"/>
  <c r="F2964" i="2"/>
  <c r="F466" i="2"/>
  <c r="B4191" i="2"/>
  <c r="F4482" i="2"/>
  <c r="B2782" i="2"/>
  <c r="B2326" i="2"/>
  <c r="F1235" i="2"/>
  <c r="F2154" i="2"/>
  <c r="F929" i="2"/>
  <c r="F942" i="2"/>
  <c r="F3192" i="2"/>
  <c r="B2293" i="2"/>
  <c r="B3160" i="2"/>
  <c r="B1727" i="2"/>
  <c r="B2292" i="2"/>
  <c r="B3899" i="2"/>
  <c r="F4199" i="2"/>
  <c r="B2600" i="2"/>
  <c r="B797" i="2"/>
  <c r="F1579" i="2"/>
  <c r="B2861" i="2"/>
  <c r="B4484" i="2"/>
  <c r="F4489" i="2"/>
  <c r="F4023" i="2"/>
  <c r="B3753" i="2"/>
  <c r="F4089" i="2"/>
  <c r="B3971" i="2"/>
  <c r="F4477" i="2"/>
  <c r="F4343" i="2"/>
  <c r="B2643" i="2"/>
  <c r="B1134" i="2"/>
  <c r="F3869" i="2"/>
  <c r="B3750" i="2"/>
  <c r="F3052" i="2"/>
  <c r="F1257" i="2"/>
  <c r="F471" i="2"/>
  <c r="B2766" i="2"/>
  <c r="B4228" i="2"/>
  <c r="F802" i="2"/>
  <c r="B4117" i="2"/>
  <c r="F96" i="2"/>
  <c r="B1750" i="2"/>
  <c r="F2954" i="2"/>
  <c r="B1669" i="2"/>
  <c r="F4309" i="2"/>
  <c r="B4417" i="2"/>
  <c r="F3874" i="2"/>
  <c r="B4183" i="2"/>
  <c r="B298" i="2"/>
  <c r="B3050" i="2"/>
  <c r="B3077" i="2"/>
  <c r="F801" i="2"/>
  <c r="B1865" i="2"/>
  <c r="B4348" i="2"/>
  <c r="B4351" i="2"/>
  <c r="B2637" i="2"/>
  <c r="F2286" i="2"/>
  <c r="F3656" i="2"/>
  <c r="F1208" i="2"/>
  <c r="B2170" i="2"/>
  <c r="F3194" i="2"/>
  <c r="F4363" i="2"/>
  <c r="B367" i="2"/>
  <c r="F244" i="2"/>
  <c r="F805" i="2"/>
  <c r="F1793" i="2"/>
  <c r="F2960" i="2"/>
  <c r="B4382" i="2"/>
  <c r="F540" i="2"/>
  <c r="B199" i="2"/>
  <c r="F391" i="2"/>
  <c r="F1729" i="2"/>
  <c r="F660" i="2"/>
  <c r="F3661" i="2"/>
  <c r="F2495" i="2"/>
  <c r="B371" i="2"/>
  <c r="F750" i="2"/>
  <c r="F3875" i="2"/>
  <c r="B496" i="2"/>
  <c r="F4055" i="2"/>
  <c r="B4347" i="2"/>
  <c r="F532" i="2"/>
  <c r="F4519" i="2"/>
  <c r="B1446" i="2"/>
  <c r="B1284" i="2"/>
  <c r="F1330" i="2"/>
  <c r="F1067" i="2"/>
  <c r="F3431" i="2"/>
  <c r="B4294" i="2"/>
  <c r="B3953" i="2"/>
  <c r="B1038" i="2"/>
  <c r="B190" i="2"/>
  <c r="B1730" i="2"/>
  <c r="F4169" i="2"/>
  <c r="B3927" i="2"/>
  <c r="F754" i="2"/>
  <c r="F3673" i="2"/>
  <c r="F4015" i="2"/>
  <c r="B587" i="2"/>
  <c r="B4100" i="2"/>
  <c r="B1950" i="2"/>
  <c r="B4164" i="2"/>
  <c r="F569" i="2"/>
  <c r="B2845" i="2"/>
  <c r="B2737" i="2"/>
  <c r="F3668" i="2"/>
  <c r="F3975" i="2"/>
  <c r="F2968" i="2"/>
  <c r="F2607" i="2"/>
  <c r="F2140" i="2"/>
  <c r="F3100" i="2"/>
  <c r="F1952" i="2"/>
  <c r="B4380" i="2"/>
  <c r="B2759" i="2"/>
  <c r="F1354" i="2"/>
  <c r="F1811" i="2"/>
  <c r="B2563" i="2"/>
  <c r="B2287" i="2"/>
  <c r="F3089" i="2"/>
  <c r="F2438" i="2"/>
  <c r="F4302" i="2"/>
  <c r="F735" i="2"/>
  <c r="F545" i="2"/>
  <c r="B221" i="2"/>
  <c r="F2500" i="2"/>
  <c r="B1536" i="2"/>
  <c r="F3978" i="2"/>
  <c r="F3048" i="2"/>
  <c r="F3598" i="2"/>
  <c r="F2819" i="2"/>
  <c r="F1511" i="2"/>
  <c r="B2157" i="2"/>
  <c r="F3054" i="2"/>
  <c r="B598" i="2"/>
  <c r="F4300" i="2"/>
  <c r="F4447" i="2"/>
  <c r="F3488" i="2"/>
  <c r="F4429" i="2"/>
  <c r="B3259" i="2"/>
  <c r="F4331" i="2"/>
  <c r="F4240" i="2"/>
  <c r="B4187" i="2"/>
  <c r="B634" i="2"/>
  <c r="F4119" i="2"/>
  <c r="F4018" i="2"/>
  <c r="B4428" i="2"/>
  <c r="F4200" i="2"/>
  <c r="F187" i="2"/>
  <c r="F1715" i="2"/>
  <c r="B4442" i="2"/>
  <c r="F1240" i="2"/>
  <c r="B2999" i="2"/>
  <c r="B1602" i="2"/>
  <c r="F4410" i="2"/>
  <c r="F4141" i="2"/>
  <c r="F3955" i="2"/>
  <c r="F3953" i="2"/>
  <c r="F4114" i="2"/>
  <c r="B2655" i="2"/>
  <c r="B2432" i="2"/>
  <c r="B483" i="2"/>
  <c r="F685" i="2"/>
  <c r="F4494" i="2"/>
  <c r="F1866" i="2"/>
  <c r="F3634" i="2"/>
  <c r="F3952" i="2"/>
  <c r="F1605" i="2"/>
  <c r="B1817" i="2"/>
  <c r="F4248" i="2"/>
  <c r="F3969" i="2"/>
  <c r="B4300" i="2"/>
  <c r="F2236" i="2"/>
  <c r="F2647" i="2"/>
  <c r="B4476" i="2"/>
  <c r="B4139" i="2"/>
  <c r="B560" i="2"/>
  <c r="B3869" i="2"/>
  <c r="F636" i="2"/>
  <c r="B166" i="2"/>
  <c r="B685" i="2"/>
  <c r="F1329" i="2"/>
  <c r="F3204" i="2"/>
  <c r="F1709" i="2"/>
  <c r="B1533" i="2"/>
  <c r="F3611" i="2"/>
  <c r="B749" i="2"/>
  <c r="B3169" i="2"/>
  <c r="F1724" i="2"/>
  <c r="B4305" i="2"/>
  <c r="B590" i="2"/>
  <c r="F779" i="2"/>
  <c r="B1503" i="2"/>
  <c r="B1576" i="2"/>
  <c r="B370" i="2"/>
  <c r="F4433" i="2"/>
  <c r="B216" i="2"/>
  <c r="B1376" i="2"/>
  <c r="F2758" i="2"/>
  <c r="F1252" i="2"/>
  <c r="F758" i="2"/>
  <c r="B89" i="2"/>
  <c r="F4500" i="2"/>
  <c r="F1731" i="2"/>
  <c r="B828" i="2"/>
  <c r="F3846" i="2"/>
  <c r="F3630" i="2"/>
  <c r="F1813" i="2"/>
  <c r="B1172" i="2"/>
  <c r="F635" i="2"/>
  <c r="F520" i="2"/>
  <c r="B451" i="2"/>
  <c r="B3902" i="2"/>
  <c r="F534" i="2"/>
  <c r="B1111" i="2"/>
  <c r="B3926" i="2"/>
  <c r="B2281" i="2"/>
  <c r="F1091" i="2"/>
  <c r="F1001" i="2"/>
  <c r="B3670" i="2"/>
  <c r="F1995" i="2"/>
  <c r="B171" i="2"/>
  <c r="B2185" i="2"/>
  <c r="F2439" i="2"/>
  <c r="F1050" i="2"/>
  <c r="B229" i="2"/>
  <c r="B393" i="2"/>
  <c r="B297" i="2"/>
  <c r="F675" i="2"/>
  <c r="B4203" i="2"/>
  <c r="F4286" i="2"/>
  <c r="B3950" i="2"/>
  <c r="F1616" i="2"/>
  <c r="F4138" i="2"/>
  <c r="F890" i="2"/>
  <c r="B2006" i="2"/>
  <c r="F2866" i="2"/>
  <c r="F1663" i="2"/>
  <c r="B2501" i="2"/>
  <c r="F1365" i="2"/>
  <c r="B553" i="2"/>
  <c r="F1755" i="2"/>
  <c r="B4343" i="2"/>
  <c r="B740" i="2"/>
  <c r="F1310" i="2"/>
  <c r="F2844" i="2"/>
  <c r="F935" i="2"/>
  <c r="F2636" i="2"/>
  <c r="F4294" i="2"/>
  <c r="B3887" i="2"/>
  <c r="B890" i="2"/>
  <c r="F2497" i="2"/>
  <c r="B4219" i="2"/>
  <c r="F830" i="2"/>
  <c r="B4017" i="2"/>
  <c r="B2886" i="2"/>
  <c r="B1519" i="2"/>
  <c r="F3992" i="2"/>
  <c r="F2974" i="2"/>
  <c r="F708" i="2"/>
  <c r="B2448" i="2"/>
  <c r="F1746" i="2"/>
  <c r="B225" i="2"/>
  <c r="F4232" i="2"/>
  <c r="F2282" i="2"/>
  <c r="F3012" i="2"/>
  <c r="B2622" i="2"/>
  <c r="B182" i="2"/>
  <c r="F4365" i="2"/>
  <c r="F363" i="2"/>
  <c r="F4483" i="2"/>
  <c r="B1509" i="2"/>
  <c r="B3108" i="2"/>
  <c r="F4279" i="2"/>
  <c r="F517" i="2"/>
  <c r="F1770" i="2"/>
  <c r="F4347" i="2"/>
  <c r="F2619" i="2"/>
  <c r="B939" i="2"/>
  <c r="B1174" i="2"/>
  <c r="B3074" i="2"/>
  <c r="F4017" i="2"/>
  <c r="B198" i="2"/>
  <c r="B779" i="2"/>
  <c r="B2624" i="2"/>
  <c r="F831" i="2"/>
  <c r="B3583" i="2"/>
  <c r="F345" i="2"/>
  <c r="B1267" i="2"/>
  <c r="F1777" i="2"/>
  <c r="F4444" i="2"/>
  <c r="F92" i="2"/>
  <c r="B3963" i="2"/>
  <c r="B329" i="2"/>
  <c r="B565" i="2"/>
  <c r="B2441" i="2"/>
  <c r="B4114" i="2"/>
  <c r="F2654" i="2"/>
  <c r="F2861" i="2"/>
  <c r="F2843" i="2"/>
  <c r="B4024" i="2"/>
  <c r="F3887" i="2"/>
  <c r="F1303" i="2"/>
  <c r="F4416" i="2"/>
  <c r="F2624" i="2"/>
  <c r="B1116" i="2"/>
  <c r="B927" i="2"/>
  <c r="F696" i="2"/>
  <c r="F2007" i="2"/>
  <c r="F2646" i="2"/>
  <c r="F412" i="2"/>
  <c r="B4504" i="2"/>
  <c r="B2879" i="2"/>
  <c r="F3957" i="2"/>
  <c r="B2678" i="2"/>
  <c r="B1745" i="2"/>
  <c r="B1431" i="2"/>
  <c r="F191" i="2"/>
  <c r="F2996" i="2"/>
  <c r="F1600" i="2"/>
  <c r="F4230" i="2"/>
  <c r="B3970" i="2"/>
  <c r="B186" i="2"/>
  <c r="F638" i="2"/>
  <c r="F4310" i="2"/>
  <c r="B3663" i="2"/>
  <c r="F3733" i="2"/>
  <c r="F1113" i="2"/>
  <c r="B3940" i="2"/>
  <c r="F2158" i="2"/>
  <c r="B2755" i="2"/>
  <c r="F2426" i="2"/>
  <c r="B1036" i="2"/>
  <c r="F928" i="2"/>
  <c r="F91" i="2"/>
  <c r="B431" i="2"/>
  <c r="B2601" i="2"/>
  <c r="B1065" i="2"/>
  <c r="B3603" i="2"/>
  <c r="B243" i="2"/>
  <c r="B2867" i="2"/>
  <c r="F1327" i="2"/>
  <c r="B853" i="2"/>
  <c r="F2030" i="2"/>
  <c r="F3933" i="2"/>
  <c r="B1107" i="2"/>
  <c r="B3061" i="2"/>
  <c r="B3261" i="2"/>
  <c r="F496" i="2"/>
  <c r="F2167" i="2"/>
  <c r="B825" i="2"/>
  <c r="F2432" i="2"/>
  <c r="F682" i="2"/>
  <c r="F4109" i="2"/>
  <c r="B3837" i="2"/>
  <c r="F3167" i="2"/>
  <c r="F1230" i="2"/>
  <c r="F489" i="2"/>
  <c r="B409" i="2"/>
  <c r="B4279" i="2"/>
  <c r="F1114" i="2"/>
  <c r="B4335" i="2"/>
  <c r="F1420" i="2"/>
  <c r="F2291" i="2"/>
  <c r="B1744" i="2"/>
  <c r="F356" i="2"/>
  <c r="F1286" i="2"/>
  <c r="F746" i="2"/>
  <c r="F3144" i="2"/>
  <c r="B3929" i="2"/>
  <c r="F2433" i="2"/>
  <c r="B4495" i="2"/>
  <c r="B4435" i="2"/>
  <c r="B1314" i="2"/>
  <c r="B3060" i="2"/>
  <c r="F2152" i="2"/>
  <c r="B3454" i="2"/>
  <c r="B811" i="2"/>
  <c r="F978" i="2"/>
  <c r="B4304" i="2"/>
  <c r="B3734" i="2"/>
  <c r="B426" i="2"/>
  <c r="B1234" i="2"/>
  <c r="F1287" i="2"/>
  <c r="F2931" i="2"/>
  <c r="B3639" i="2"/>
  <c r="B1242" i="2"/>
  <c r="B162" i="2"/>
  <c r="B2165" i="2"/>
  <c r="B4364" i="2"/>
  <c r="F1824" i="2"/>
  <c r="B4340" i="2"/>
  <c r="B1788" i="2"/>
  <c r="B1710" i="2"/>
  <c r="B3744" i="2"/>
  <c r="B631" i="2"/>
  <c r="B4336" i="2"/>
  <c r="B4275" i="2"/>
  <c r="F937" i="2"/>
  <c r="F2936" i="2"/>
  <c r="B3419" i="2"/>
  <c r="B1735" i="2"/>
  <c r="B854" i="2"/>
  <c r="B1329" i="2"/>
  <c r="F3657" i="2"/>
  <c r="B1110" i="2"/>
  <c r="F3725" i="2"/>
  <c r="F3143" i="2"/>
  <c r="B4488" i="2"/>
  <c r="F1718" i="2"/>
  <c r="B4230" i="2"/>
  <c r="B688" i="2"/>
  <c r="F134" i="2"/>
  <c r="F878" i="2"/>
  <c r="B3666" i="2"/>
  <c r="B3772" i="2"/>
  <c r="B4120" i="2"/>
  <c r="B2156" i="2"/>
  <c r="F221" i="2"/>
  <c r="F3976" i="2"/>
  <c r="F1133" i="2"/>
  <c r="B98" i="2"/>
  <c r="B2658" i="2"/>
  <c r="F592" i="2"/>
  <c r="F236" i="2"/>
  <c r="B2992" i="2"/>
  <c r="B3179" i="2"/>
  <c r="F1722" i="2"/>
  <c r="B2074" i="2"/>
  <c r="F3743" i="2"/>
  <c r="F1512" i="2"/>
  <c r="B663" i="2"/>
  <c r="B3407" i="2"/>
  <c r="F2856" i="2"/>
  <c r="F4100" i="2"/>
  <c r="B3794" i="2"/>
  <c r="B689" i="2"/>
  <c r="F3918" i="2"/>
  <c r="F1065" i="2"/>
  <c r="B1250" i="2"/>
  <c r="F2881" i="2"/>
  <c r="F4056" i="2"/>
  <c r="F2290" i="2"/>
  <c r="B4235" i="2"/>
  <c r="B591" i="2"/>
  <c r="B2715" i="2"/>
  <c r="B2862" i="2"/>
  <c r="F554" i="2"/>
  <c r="B387" i="2"/>
  <c r="F3963" i="2"/>
  <c r="F2173" i="2"/>
  <c r="B3918" i="2"/>
  <c r="B1245" i="2"/>
  <c r="F775" i="2"/>
  <c r="F2951" i="2"/>
  <c r="B3142" i="2"/>
  <c r="F2643" i="2"/>
  <c r="F3199" i="2"/>
  <c r="F405" i="2"/>
  <c r="F3164" i="2"/>
  <c r="F4398" i="2"/>
  <c r="B507" i="2"/>
  <c r="B1054" i="2"/>
  <c r="B3190" i="2"/>
  <c r="B798" i="2"/>
  <c r="B385" i="2"/>
  <c r="B3675" i="2"/>
  <c r="B592" i="2"/>
  <c r="F2755" i="2"/>
  <c r="B830" i="2"/>
  <c r="B337" i="2"/>
  <c r="F547" i="2"/>
  <c r="F538" i="2"/>
  <c r="F1196" i="2"/>
  <c r="F3676" i="2"/>
  <c r="F2922" i="2"/>
  <c r="B626" i="2"/>
  <c r="F3184" i="2"/>
  <c r="F1328" i="2"/>
  <c r="B3499" i="2"/>
  <c r="F3608" i="2"/>
  <c r="F4395" i="2"/>
  <c r="B1268" i="2"/>
  <c r="B2979" i="2"/>
  <c r="F1946" i="2"/>
  <c r="F3858" i="2"/>
  <c r="B3941" i="2"/>
  <c r="F2976" i="2"/>
  <c r="B2365" i="2"/>
  <c r="F4355" i="2"/>
  <c r="B2269" i="2"/>
  <c r="F2763" i="2"/>
  <c r="F3935" i="2"/>
  <c r="F772" i="2"/>
  <c r="B3732" i="2"/>
  <c r="F1326" i="2"/>
  <c r="F1710" i="2"/>
  <c r="F1251" i="2"/>
  <c r="B2714" i="2"/>
  <c r="F451" i="2"/>
  <c r="F1191" i="2"/>
  <c r="F416" i="2"/>
  <c r="B2314" i="2"/>
  <c r="B84" i="2"/>
  <c r="B354" i="2"/>
  <c r="F501" i="2"/>
  <c r="F2818" i="2"/>
  <c r="F692" i="2"/>
  <c r="B2415" i="2"/>
  <c r="F3747" i="2"/>
  <c r="F1111" i="2"/>
  <c r="F210" i="2"/>
  <c r="F132" i="2"/>
  <c r="F4359" i="2"/>
  <c r="F2600" i="2"/>
  <c r="F4361" i="2"/>
  <c r="B790" i="2"/>
  <c r="B850" i="2"/>
  <c r="F3177" i="2"/>
  <c r="F2649" i="2"/>
  <c r="B2923" i="2"/>
  <c r="B776" i="2"/>
  <c r="B1219" i="2"/>
  <c r="F3912" i="2"/>
  <c r="B683" i="2"/>
  <c r="F224" i="2"/>
  <c r="F1791" i="2"/>
  <c r="B3105" i="2"/>
  <c r="F3274" i="2"/>
  <c r="B975" i="2"/>
  <c r="F114" i="2"/>
  <c r="B1067" i="2"/>
  <c r="F1747" i="2"/>
  <c r="B2887" i="2"/>
  <c r="B4449" i="2"/>
  <c r="F4168" i="2"/>
  <c r="F2177" i="2"/>
  <c r="F4027" i="2"/>
  <c r="B3634" i="2"/>
  <c r="F3907" i="2"/>
  <c r="B85" i="2"/>
  <c r="F2876" i="2"/>
  <c r="F4503" i="2"/>
  <c r="F219" i="2"/>
  <c r="F2877" i="2"/>
  <c r="B774" i="2"/>
  <c r="F2620" i="2"/>
  <c r="B410" i="2"/>
  <c r="B415" i="2"/>
  <c r="F167" i="2"/>
  <c r="F1532" i="2"/>
  <c r="F2759" i="2"/>
  <c r="F1060" i="2"/>
  <c r="F3707" i="2"/>
  <c r="F4241" i="2"/>
  <c r="B196" i="2"/>
  <c r="F1603" i="2"/>
  <c r="F2471" i="2"/>
  <c r="B3909" i="2"/>
  <c r="B2666" i="2"/>
  <c r="B1786" i="2"/>
  <c r="F1244" i="2"/>
  <c r="B4247" i="2"/>
  <c r="B425" i="2"/>
  <c r="F4498" i="2"/>
  <c r="B1779" i="2"/>
  <c r="B2499" i="2"/>
  <c r="F4312" i="2"/>
  <c r="F2864" i="2"/>
  <c r="B4021" i="2"/>
  <c r="B2765" i="2"/>
  <c r="F140" i="2"/>
  <c r="B3054" i="2"/>
  <c r="B3572" i="2"/>
  <c r="F720" i="2"/>
  <c r="F562" i="2"/>
  <c r="F1781" i="2"/>
  <c r="F1810" i="2"/>
  <c r="F2428" i="2"/>
  <c r="F2662" i="2"/>
  <c r="F4026" i="2"/>
  <c r="F4257" i="2"/>
  <c r="F1313" i="2"/>
  <c r="F2972" i="2"/>
  <c r="F1531" i="2"/>
  <c r="B4307" i="2"/>
  <c r="F798" i="2"/>
  <c r="F419" i="2"/>
  <c r="F4113" i="2"/>
  <c r="F3060" i="2"/>
  <c r="F2312" i="2"/>
  <c r="B2258" i="2"/>
  <c r="F3195" i="2"/>
  <c r="B2964" i="2"/>
  <c r="B3477" i="2"/>
  <c r="F4176" i="2"/>
  <c r="B4365" i="2"/>
  <c r="B3188" i="2"/>
  <c r="B1769" i="2"/>
  <c r="B1931" i="2"/>
  <c r="B889" i="2"/>
  <c r="F2686" i="2"/>
  <c r="B290" i="2"/>
  <c r="B934" i="2"/>
  <c r="B4397" i="2"/>
  <c r="F1776" i="2"/>
  <c r="B4329" i="2"/>
  <c r="F3186" i="2"/>
  <c r="B3204" i="2"/>
  <c r="F3418" i="2"/>
  <c r="B2650" i="2"/>
  <c r="B4257" i="2"/>
  <c r="B823" i="2"/>
  <c r="B2994" i="2"/>
  <c r="F1720" i="2"/>
  <c r="B2368" i="2"/>
  <c r="F487" i="2"/>
  <c r="B738" i="2"/>
  <c r="B4170" i="2"/>
  <c r="B1263" i="2"/>
  <c r="B1304" i="2"/>
  <c r="F1723" i="2"/>
  <c r="B2975" i="2"/>
  <c r="B1248" i="2"/>
  <c r="B2158" i="2"/>
  <c r="F698" i="2"/>
  <c r="B657" i="2"/>
  <c r="B2444" i="2"/>
  <c r="B3943" i="2"/>
  <c r="F1510" i="2"/>
  <c r="F454" i="2"/>
  <c r="F4098" i="2"/>
  <c r="B1705" i="2"/>
  <c r="F4296" i="2"/>
  <c r="F3681" i="2"/>
  <c r="F3636" i="2"/>
  <c r="B3635" i="2"/>
  <c r="F1727" i="2"/>
  <c r="F4449" i="2"/>
  <c r="B1476" i="2"/>
  <c r="F1443" i="2"/>
  <c r="B389" i="2"/>
  <c r="F3653" i="2"/>
  <c r="F3000" i="2"/>
  <c r="F4360" i="2"/>
  <c r="B2843" i="2"/>
  <c r="F99" i="2"/>
  <c r="B2758" i="2"/>
  <c r="B2892" i="2"/>
  <c r="F3258" i="2"/>
  <c r="F2401" i="2"/>
  <c r="B1118" i="2"/>
  <c r="F211" i="2"/>
  <c r="F2924" i="2"/>
  <c r="B4486" i="2"/>
  <c r="F508" i="2"/>
  <c r="B1755" i="2"/>
  <c r="B4395" i="2"/>
  <c r="F1934" i="2"/>
  <c r="B3600" i="2"/>
  <c r="B4314" i="2"/>
  <c r="F4255" i="2"/>
  <c r="F535" i="2"/>
  <c r="F3102" i="2"/>
  <c r="B636" i="2"/>
  <c r="F3166" i="2"/>
  <c r="B4053" i="2"/>
  <c r="B1706" i="2"/>
  <c r="F1956" i="2"/>
  <c r="B835" i="2"/>
  <c r="B2290" i="2"/>
  <c r="F3834" i="2"/>
  <c r="B1086" i="2"/>
  <c r="F836" i="2"/>
  <c r="B1738" i="2"/>
  <c r="B4286" i="2"/>
  <c r="F415" i="2"/>
  <c r="F1051" i="2"/>
  <c r="F1431" i="2"/>
  <c r="B552" i="2"/>
  <c r="F639" i="2"/>
  <c r="F4487" i="2"/>
  <c r="F230" i="2"/>
  <c r="F778" i="2"/>
  <c r="F3619" i="2"/>
  <c r="F2404" i="2"/>
  <c r="F4203" i="2"/>
  <c r="F964" i="2"/>
  <c r="B1949" i="2"/>
  <c r="B347" i="2"/>
  <c r="F2666" i="2"/>
  <c r="B4095" i="2"/>
  <c r="B3977" i="2"/>
  <c r="B3841" i="2"/>
  <c r="F418" i="2"/>
  <c r="B815" i="2"/>
  <c r="B3817" i="2"/>
  <c r="B3596" i="2"/>
  <c r="B2166" i="2"/>
  <c r="F2440" i="2"/>
  <c r="B4064" i="2"/>
  <c r="F1673" i="2"/>
  <c r="F2768" i="2"/>
  <c r="B2672" i="2"/>
  <c r="B433" i="2"/>
  <c r="F2858" i="2"/>
  <c r="B1868" i="2"/>
  <c r="F4440" i="2"/>
  <c r="B549" i="2"/>
  <c r="F516" i="2"/>
  <c r="B1714" i="2"/>
  <c r="F3967" i="2"/>
  <c r="F3057" i="2"/>
  <c r="F3898" i="2"/>
  <c r="F4430" i="2"/>
  <c r="F4170" i="2"/>
  <c r="F2886" i="2"/>
  <c r="B1091" i="2"/>
  <c r="F2368" i="2"/>
  <c r="F3959" i="2"/>
  <c r="F4397" i="2"/>
  <c r="F1505" i="2"/>
  <c r="B1747" i="2"/>
  <c r="B4464" i="2"/>
  <c r="F1195" i="2"/>
  <c r="B4015" i="2"/>
  <c r="F290" i="2"/>
  <c r="F1260" i="2"/>
  <c r="B2280" i="2"/>
  <c r="B1819" i="2"/>
  <c r="F2882" i="2"/>
  <c r="B3876" i="2"/>
  <c r="B1196" i="2"/>
  <c r="F677" i="2"/>
  <c r="F2441" i="2"/>
  <c r="F162" i="2"/>
  <c r="B207" i="2"/>
  <c r="B4360" i="2"/>
  <c r="B1748" i="2"/>
  <c r="F3675" i="2"/>
  <c r="B572" i="2"/>
  <c r="B2438" i="2"/>
  <c r="B519" i="2"/>
  <c r="B758" i="2"/>
  <c r="B1354" i="2"/>
  <c r="F2726" i="2"/>
  <c r="B2504" i="2"/>
  <c r="B1737" i="2"/>
  <c r="F3730" i="2"/>
  <c r="F1659" i="2"/>
  <c r="F453" i="2"/>
  <c r="F4153" i="2"/>
  <c r="F743" i="2"/>
  <c r="F3613" i="2"/>
  <c r="B4125" i="2"/>
  <c r="B1514" i="2"/>
  <c r="B2186" i="2"/>
  <c r="B3615" i="2"/>
  <c r="F1697" i="2"/>
  <c r="B3707" i="2"/>
  <c r="B4462" i="2"/>
  <c r="B1548" i="2"/>
  <c r="B3840" i="2"/>
  <c r="F3679" i="2"/>
  <c r="B2540" i="2"/>
  <c r="B792" i="2"/>
  <c r="F3639" i="2"/>
  <c r="B3640" i="2"/>
  <c r="B1573" i="2"/>
  <c r="B3629" i="2"/>
  <c r="B4411" i="2"/>
  <c r="F3036" i="2"/>
  <c r="B429" i="2"/>
  <c r="B3589" i="2"/>
  <c r="B821" i="2"/>
  <c r="F4462" i="2"/>
  <c r="F1788" i="2"/>
  <c r="F3058" i="2"/>
  <c r="F3654" i="2"/>
  <c r="B4465" i="2"/>
  <c r="B3872" i="2"/>
  <c r="F171" i="2"/>
  <c r="F3580" i="2"/>
  <c r="B368" i="2"/>
  <c r="F3062" i="2"/>
  <c r="F3840" i="2"/>
  <c r="F2443" i="2"/>
  <c r="B1711" i="2"/>
  <c r="B2505" i="2"/>
  <c r="B2646" i="2"/>
  <c r="B1891" i="2"/>
  <c r="F473" i="2"/>
  <c r="B1782" i="2"/>
  <c r="B222" i="2"/>
  <c r="F1769" i="2"/>
  <c r="F737" i="2"/>
  <c r="B2909" i="2"/>
  <c r="B953" i="2"/>
  <c r="B2661" i="2"/>
  <c r="F656" i="2"/>
  <c r="F1533" i="2"/>
  <c r="F277" i="2"/>
  <c r="F361" i="2"/>
  <c r="B751" i="2"/>
  <c r="B4190" i="2"/>
  <c r="F455" i="2"/>
  <c r="B3665" i="2"/>
  <c r="F2950" i="2"/>
  <c r="F1823" i="2"/>
  <c r="B356" i="2"/>
  <c r="B3751" i="2"/>
  <c r="F472" i="2"/>
  <c r="F1472" i="2"/>
  <c r="B4297" i="2"/>
  <c r="F2661" i="2"/>
  <c r="B901" i="2"/>
  <c r="F4415" i="2"/>
  <c r="F4247" i="2"/>
  <c r="B3901" i="2"/>
  <c r="F3915" i="2"/>
  <c r="F213" i="2"/>
  <c r="F2642" i="2"/>
  <c r="B913" i="2"/>
  <c r="B3874" i="2"/>
  <c r="F4409" i="2"/>
  <c r="F1112" i="2"/>
  <c r="B1953" i="2"/>
  <c r="F2287" i="2"/>
  <c r="B3194" i="2"/>
  <c r="F1714" i="2"/>
  <c r="B3608" i="2"/>
  <c r="B3579" i="2"/>
  <c r="B2631" i="2"/>
  <c r="B4104" i="2"/>
  <c r="F1661" i="2"/>
  <c r="F601" i="2"/>
  <c r="F1930" i="2"/>
  <c r="F165" i="2"/>
  <c r="F4181" i="2"/>
  <c r="F4446" i="2"/>
  <c r="B2874" i="2"/>
  <c r="B1112" i="2"/>
  <c r="F1233" i="2"/>
  <c r="F630" i="2"/>
  <c r="F459" i="2"/>
  <c r="B3839" i="2"/>
  <c r="B2901" i="2"/>
  <c r="F354" i="2"/>
  <c r="B117" i="2"/>
  <c r="F23" i="2"/>
  <c r="B3575" i="2"/>
  <c r="F372" i="2"/>
  <c r="B4258" i="2"/>
  <c r="B3898" i="2"/>
  <c r="B3945" i="2"/>
  <c r="B3912" i="2"/>
  <c r="F1703" i="2"/>
  <c r="B4171" i="2"/>
  <c r="F678" i="2"/>
  <c r="F200" i="2"/>
  <c r="F4293" i="2"/>
  <c r="B494" i="2"/>
  <c r="B3162" i="2"/>
  <c r="F4196" i="2"/>
  <c r="F3051" i="2"/>
  <c r="B346" i="2"/>
  <c r="B2107" i="2"/>
  <c r="F1868" i="2"/>
  <c r="B837" i="2"/>
  <c r="B4357" i="2"/>
  <c r="B4239" i="2"/>
  <c r="F166" i="2"/>
  <c r="F2645" i="2"/>
  <c r="F1785" i="2"/>
  <c r="B3705" i="2"/>
  <c r="B1289" i="2"/>
  <c r="B1700" i="2"/>
  <c r="F1052" i="2"/>
  <c r="F4353" i="2"/>
  <c r="B1725" i="2"/>
  <c r="F705" i="2"/>
  <c r="B2957" i="2"/>
  <c r="F2681" i="2"/>
  <c r="B878" i="2"/>
  <c r="F234" i="2"/>
  <c r="B4020" i="2"/>
  <c r="F3642" i="2"/>
  <c r="B509" i="2"/>
  <c r="B4299" i="2"/>
  <c r="B96" i="2"/>
  <c r="B1914" i="2"/>
  <c r="B629" i="2"/>
  <c r="F2644" i="2"/>
  <c r="F1489" i="2"/>
  <c r="F2869" i="2"/>
  <c r="F4051" i="2"/>
  <c r="F4530" i="2"/>
  <c r="F464" i="2"/>
  <c r="F2653" i="2"/>
  <c r="F3948" i="2"/>
  <c r="B1836" i="2"/>
  <c r="F4127" i="2"/>
  <c r="F1173" i="2"/>
  <c r="B1409" i="2"/>
  <c r="B2151" i="2"/>
  <c r="F3201" i="2"/>
  <c r="F34" i="2"/>
  <c r="B3156" i="2"/>
  <c r="F305" i="2"/>
  <c r="F420" i="2"/>
  <c r="B3263" i="2"/>
  <c r="F697" i="2"/>
  <c r="F2366" i="2"/>
  <c r="B1585" i="2"/>
  <c r="B220" i="2"/>
  <c r="B4093" i="2"/>
  <c r="B795" i="2"/>
  <c r="F1815" i="2"/>
  <c r="F3176" i="2"/>
  <c r="B564" i="2"/>
  <c r="F4275" i="2"/>
  <c r="F4064" i="2"/>
  <c r="B100" i="2"/>
  <c r="F500" i="2"/>
  <c r="F85" i="2"/>
  <c r="F1948" i="2"/>
  <c r="B1532" i="2"/>
  <c r="F511" i="2"/>
  <c r="F1797" i="2"/>
  <c r="F2975" i="2"/>
  <c r="B4412" i="2"/>
  <c r="B116" i="2"/>
  <c r="F3794" i="2"/>
  <c r="B3217" i="2"/>
  <c r="B2680" i="2"/>
  <c r="B4296" i="2"/>
  <c r="B1655" i="2"/>
  <c r="B4188" i="2"/>
  <c r="F748" i="2"/>
  <c r="B1733" i="2"/>
  <c r="F3197" i="2"/>
  <c r="F332" i="2"/>
  <c r="B3573" i="2"/>
  <c r="F182" i="2"/>
  <c r="F657" i="2"/>
  <c r="F2235" i="2"/>
  <c r="F1838" i="2"/>
  <c r="B978" i="2"/>
  <c r="F4205" i="2"/>
  <c r="B4237" i="2"/>
  <c r="F138" i="2"/>
  <c r="F4184" i="2"/>
  <c r="B3679" i="2"/>
  <c r="B721" i="2"/>
  <c r="F1092" i="2"/>
  <c r="B3555" i="2"/>
  <c r="F2933" i="2"/>
  <c r="F2957" i="2"/>
  <c r="F2963" i="2"/>
  <c r="F2293" i="2"/>
  <c r="B3165" i="2"/>
  <c r="B942" i="2"/>
  <c r="B1311" i="2"/>
  <c r="B4242" i="2"/>
  <c r="B3745" i="2"/>
  <c r="B2971" i="2"/>
  <c r="B1821" i="2"/>
  <c r="F3590" i="2"/>
  <c r="F1653" i="2"/>
  <c r="B536" i="2"/>
  <c r="B208" i="2"/>
  <c r="F2889" i="2"/>
  <c r="F2118" i="2"/>
  <c r="B3612" i="2"/>
  <c r="F357" i="2"/>
  <c r="F1772" i="2"/>
  <c r="F1304" i="2"/>
  <c r="B342" i="2"/>
  <c r="F421" i="2"/>
  <c r="B3632" i="2"/>
  <c r="B2933" i="2"/>
  <c r="F815" i="2"/>
  <c r="B1618" i="2"/>
  <c r="F1049" i="2"/>
  <c r="B3752" i="2"/>
  <c r="F4126" i="2"/>
  <c r="B1190" i="2"/>
  <c r="B2096" i="2"/>
  <c r="B4250" i="2"/>
  <c r="B3829" i="2"/>
  <c r="B211" i="2"/>
  <c r="F3738" i="2"/>
  <c r="B203" i="2"/>
  <c r="F1602" i="2"/>
  <c r="B1820" i="2"/>
  <c r="B1262" i="2"/>
  <c r="F3196" i="2"/>
  <c r="B167" i="2"/>
  <c r="B4092" i="2"/>
  <c r="F195" i="2"/>
  <c r="B92" i="2"/>
  <c r="F3919" i="2"/>
  <c r="F2498" i="2"/>
  <c r="B200" i="2"/>
  <c r="B307" i="2"/>
  <c r="F627" i="2"/>
  <c r="F2871" i="2"/>
  <c r="F1080" i="2"/>
  <c r="B936" i="2"/>
  <c r="B4505" i="2"/>
  <c r="F3956" i="2"/>
  <c r="F1308" i="2"/>
  <c r="B742" i="2"/>
  <c r="F2306" i="2"/>
  <c r="B2948" i="2"/>
  <c r="B567" i="2"/>
  <c r="F3533" i="2"/>
  <c r="B115" i="2"/>
  <c r="B3076" i="2"/>
  <c r="F3430" i="2"/>
  <c r="B1665" i="2"/>
  <c r="B681" i="2"/>
  <c r="B512" i="2"/>
  <c r="B550" i="2"/>
  <c r="F358" i="2"/>
  <c r="B2688" i="2"/>
  <c r="B720" i="2"/>
  <c r="B1053" i="2"/>
  <c r="F3130" i="2"/>
  <c r="F4336" i="2"/>
  <c r="B2821" i="2"/>
  <c r="F680" i="2"/>
  <c r="F2993" i="2"/>
  <c r="F3749" i="2"/>
  <c r="B2190" i="2"/>
  <c r="F98" i="2"/>
  <c r="B1605" i="2"/>
  <c r="F3626" i="2"/>
  <c r="B1720" i="2"/>
  <c r="B2041" i="2"/>
  <c r="F793" i="2"/>
  <c r="B2754" i="2"/>
  <c r="B1578" i="2"/>
  <c r="F1309" i="2"/>
  <c r="F3257" i="2"/>
  <c r="B4101" i="2"/>
  <c r="B4099" i="2"/>
  <c r="B1055" i="2"/>
  <c r="B4103" i="2"/>
  <c r="B4023" i="2"/>
  <c r="B2603" i="2"/>
  <c r="B3746" i="2"/>
  <c r="B468" i="2"/>
  <c r="B3442" i="2"/>
  <c r="B1353" i="2"/>
  <c r="B1781" i="2"/>
  <c r="B91" i="2"/>
  <c r="B1816" i="2"/>
  <c r="F3943" i="2"/>
  <c r="B471" i="2"/>
  <c r="B1770" i="2"/>
  <c r="B2129" i="2"/>
  <c r="B255" i="2"/>
  <c r="F2832" i="2"/>
  <c r="B1778" i="2"/>
  <c r="F736" i="2"/>
  <c r="B165" i="2"/>
  <c r="B1255" i="2"/>
  <c r="F2688" i="2"/>
  <c r="B3252" i="2"/>
  <c r="F4105" i="2"/>
  <c r="F2623" i="2"/>
  <c r="F4485" i="2"/>
  <c r="F1117" i="2"/>
  <c r="F1751" i="2"/>
  <c r="B1774" i="2"/>
  <c r="B3406" i="2"/>
  <c r="B3000" i="2"/>
  <c r="B4096" i="2"/>
  <c r="F2689" i="2"/>
  <c r="F1236" i="2"/>
  <c r="B1890" i="2"/>
  <c r="B1753" i="2"/>
  <c r="F133" i="2"/>
  <c r="F1782" i="2"/>
  <c r="B1824" i="2"/>
  <c r="B2726" i="2"/>
  <c r="B2434" i="2"/>
  <c r="F552" i="2"/>
  <c r="B2460" i="2"/>
  <c r="F3904" i="2"/>
  <c r="B1732" i="2"/>
  <c r="F3964" i="2"/>
  <c r="B546" i="2"/>
  <c r="B1089" i="2"/>
  <c r="F1285" i="2"/>
  <c r="B1253" i="2"/>
  <c r="F2085" i="2"/>
  <c r="B344" i="2"/>
  <c r="F1514" i="2"/>
  <c r="F4349" i="2"/>
  <c r="B2968" i="2"/>
  <c r="F1666" i="2"/>
  <c r="B362" i="2"/>
  <c r="B4410" i="2"/>
  <c r="B3645" i="2"/>
  <c r="B4445" i="2"/>
  <c r="F226" i="2"/>
  <c r="B2751" i="2"/>
  <c r="B4438" i="2"/>
  <c r="F3758" i="2"/>
  <c r="B1092" i="2"/>
  <c r="F1700" i="2"/>
  <c r="B3141" i="2"/>
  <c r="B2402" i="2"/>
  <c r="F4362" i="2"/>
  <c r="B3908" i="2"/>
  <c r="F2632" i="2"/>
  <c r="F1816" i="2"/>
  <c r="F3001" i="2"/>
  <c r="B1076" i="2"/>
  <c r="B4234" i="2"/>
  <c r="B1471" i="2"/>
  <c r="B745" i="2"/>
  <c r="F644" i="2"/>
  <c r="B4069" i="2"/>
  <c r="B1286" i="2"/>
  <c r="F721" i="2"/>
  <c r="B359" i="2"/>
  <c r="F4197" i="2"/>
  <c r="F4057" i="2"/>
  <c r="F3603" i="2"/>
  <c r="B201" i="2"/>
  <c r="B364" i="2"/>
  <c r="B189" i="2"/>
  <c r="F3599" i="2"/>
  <c r="F4327" i="2"/>
  <c r="F514" i="2"/>
  <c r="F1713" i="2"/>
  <c r="B1096" i="2"/>
  <c r="B288" i="2"/>
  <c r="B3628" i="2"/>
  <c r="B4334" i="2"/>
  <c r="F3406" i="2"/>
  <c r="F574" i="2"/>
  <c r="F2640" i="2"/>
  <c r="B1240" i="2"/>
  <c r="F1951" i="2"/>
  <c r="B1301" i="2"/>
  <c r="B640" i="2"/>
  <c r="B193" i="2"/>
  <c r="F4258" i="2"/>
  <c r="F1933" i="2"/>
  <c r="B1702" i="2"/>
  <c r="B3100" i="2"/>
  <c r="B3723" i="2"/>
  <c r="B4421" i="2"/>
  <c r="F4438" i="2"/>
  <c r="B3058" i="2"/>
  <c r="F513" i="2"/>
  <c r="F812" i="2"/>
  <c r="B707" i="2"/>
  <c r="B4025" i="2"/>
  <c r="B1723" i="2"/>
  <c r="B2628" i="2"/>
  <c r="B3532" i="2"/>
  <c r="F3230" i="2"/>
  <c r="F814" i="2"/>
  <c r="B3229" i="2"/>
  <c r="F4228" i="2"/>
  <c r="F2888" i="2"/>
  <c r="F3185" i="2"/>
  <c r="F502" i="2"/>
  <c r="F4118" i="2"/>
  <c r="F4434" i="2"/>
  <c r="F1145" i="2"/>
  <c r="F2247" i="2"/>
  <c r="B3960" i="2"/>
  <c r="B1766" i="2"/>
  <c r="F1574" i="2"/>
  <c r="B3916" i="2"/>
  <c r="B2587" i="2"/>
  <c r="F4167" i="2"/>
  <c r="B743" i="2"/>
  <c r="B2171" i="2"/>
  <c r="B914" i="2"/>
  <c r="B2366" i="2"/>
  <c r="B3654" i="2"/>
  <c r="F4499" i="2"/>
  <c r="F3910" i="2"/>
  <c r="B339" i="2"/>
  <c r="B1951" i="2"/>
  <c r="F509" i="2"/>
  <c r="F2991" i="2"/>
  <c r="F3617" i="2"/>
  <c r="B2286" i="2"/>
  <c r="B537" i="2"/>
  <c r="B4173" i="2"/>
  <c r="F2667" i="2"/>
  <c r="B168" i="2"/>
  <c r="B4277" i="2"/>
  <c r="B3059" i="2"/>
  <c r="B1326" i="2"/>
  <c r="B543" i="2"/>
  <c r="F1241" i="2"/>
  <c r="B2564" i="2"/>
  <c r="F3181" i="2"/>
  <c r="B1712" i="2"/>
  <c r="F3254" i="2"/>
  <c r="B1767" i="2"/>
  <c r="F387" i="2"/>
  <c r="B2972" i="2"/>
  <c r="F3056" i="2"/>
  <c r="F3623" i="2"/>
  <c r="B4054" i="2"/>
  <c r="B693" i="2"/>
  <c r="F2362" i="2"/>
  <c r="F1262" i="2"/>
  <c r="B1668" i="2"/>
  <c r="F1787" i="2"/>
  <c r="F2860" i="2"/>
  <c r="B213" i="2"/>
  <c r="B2019" i="2"/>
  <c r="B4121" i="2"/>
  <c r="F1576" i="2"/>
  <c r="B1973" i="2"/>
  <c r="B2030" i="2"/>
  <c r="B4313" i="2"/>
  <c r="F3582" i="2"/>
  <c r="F2314" i="2"/>
  <c r="F647" i="2"/>
  <c r="B510" i="2"/>
  <c r="B1630" i="2"/>
  <c r="F3253" i="2"/>
  <c r="B3638" i="2"/>
  <c r="F3576" i="2"/>
  <c r="F3607" i="2"/>
  <c r="F3932" i="2"/>
  <c r="F2760" i="2"/>
  <c r="B3594" i="2"/>
  <c r="F1261" i="2"/>
  <c r="B569" i="2"/>
  <c r="B723" i="2"/>
  <c r="F3727" i="2"/>
  <c r="B3035" i="2"/>
  <c r="B3024" i="2"/>
  <c r="F4480" i="2"/>
  <c r="F1189" i="2"/>
  <c r="F1175" i="2"/>
  <c r="F3951" i="2"/>
  <c r="B3947" i="2"/>
  <c r="F933" i="2"/>
  <c r="B684" i="2"/>
  <c r="F2927" i="2"/>
  <c r="B138" i="2"/>
  <c r="F3751" i="2"/>
  <c r="B2935" i="2"/>
  <c r="B2956" i="2"/>
  <c r="F2606" i="2"/>
  <c r="F1812" i="2"/>
  <c r="F426" i="2"/>
  <c r="B3733" i="2"/>
  <c r="F461" i="2"/>
  <c r="B4098" i="2"/>
  <c r="B1746" i="2"/>
  <c r="B1954" i="2"/>
  <c r="F4506" i="2"/>
  <c r="B1715" i="2"/>
  <c r="F4106" i="2"/>
  <c r="F1932" i="2"/>
  <c r="F3228" i="2"/>
  <c r="B600" i="2"/>
  <c r="B4326" i="2"/>
  <c r="B3631" i="2"/>
  <c r="F1082" i="2"/>
  <c r="B1810" i="2"/>
  <c r="B1171" i="2"/>
  <c r="B3648" i="2"/>
  <c r="F488" i="2"/>
  <c r="B1508" i="2"/>
  <c r="F2998" i="2"/>
  <c r="F216" i="2"/>
  <c r="F3466" i="2"/>
  <c r="B4393" i="2"/>
  <c r="F556" i="2"/>
  <c r="B2311" i="2"/>
  <c r="B1070" i="2"/>
  <c r="F2447" i="2"/>
  <c r="B3351" i="2"/>
  <c r="B351" i="2"/>
  <c r="F4313" i="2"/>
  <c r="F100" i="2"/>
  <c r="F3939" i="2"/>
  <c r="B4448" i="2"/>
  <c r="B2689" i="2"/>
  <c r="B2895" i="2"/>
  <c r="F4491" i="2"/>
  <c r="F3724" i="2"/>
  <c r="F4087" i="2"/>
  <c r="F3183" i="2"/>
  <c r="F485" i="2"/>
  <c r="F306" i="2"/>
  <c r="F202" i="2"/>
  <c r="F4039" i="2"/>
  <c r="B4225" i="2"/>
  <c r="F218" i="2"/>
  <c r="F702" i="2"/>
  <c r="B3673" i="2"/>
  <c r="F4191" i="2"/>
  <c r="F4091" i="2"/>
  <c r="F4110" i="2"/>
  <c r="B2162" i="2"/>
  <c r="F838" i="2"/>
  <c r="B3847" i="2"/>
  <c r="B355" i="2"/>
  <c r="F4442" i="2"/>
  <c r="B2907" i="2"/>
  <c r="F4443" i="2"/>
  <c r="B4281" i="2"/>
  <c r="F113" i="2"/>
  <c r="B406" i="2"/>
  <c r="F1728" i="2"/>
  <c r="B2503" i="2"/>
  <c r="B4248" i="2"/>
  <c r="F546" i="2"/>
  <c r="F4417" i="2"/>
  <c r="B4028" i="2"/>
  <c r="F1300" i="2"/>
  <c r="B1502" i="2"/>
  <c r="B4094" i="2"/>
  <c r="F626" i="2"/>
  <c r="B2903" i="2"/>
  <c r="B1145" i="2"/>
  <c r="F3944" i="2"/>
  <c r="F3477" i="2"/>
  <c r="B3056" i="2"/>
  <c r="B4330" i="2"/>
  <c r="B1664" i="2"/>
  <c r="B1773" i="2"/>
  <c r="B2656" i="2"/>
  <c r="B2657" i="2"/>
  <c r="F3618" i="2"/>
  <c r="F352" i="2"/>
  <c r="B1661" i="2"/>
  <c r="B4424" i="2"/>
  <c r="B118" i="2"/>
  <c r="F208" i="2"/>
  <c r="B194" i="2"/>
  <c r="B2683" i="2"/>
  <c r="F2870" i="2"/>
  <c r="F1086" i="2"/>
  <c r="F1085" i="2"/>
  <c r="B3590" i="2"/>
  <c r="F339" i="2"/>
  <c r="F641" i="2"/>
  <c r="B93" i="2"/>
  <c r="F4202" i="2"/>
  <c r="F1836" i="2"/>
  <c r="F3610" i="2"/>
  <c r="F365" i="2"/>
  <c r="B1051" i="2"/>
  <c r="F1707" i="2"/>
  <c r="F2820" i="2"/>
  <c r="F4256" i="2"/>
  <c r="B2183" i="2"/>
  <c r="B3965" i="2"/>
  <c r="B1473" i="2"/>
  <c r="F3962" i="2"/>
  <c r="F2702" i="2"/>
  <c r="B2172" i="2"/>
  <c r="B95" i="2"/>
  <c r="B1582" i="2"/>
  <c r="B3199" i="2"/>
  <c r="F3173" i="2"/>
  <c r="B4065" i="2"/>
  <c r="B1583" i="2"/>
  <c r="B3728" i="2"/>
  <c r="F364" i="2"/>
  <c r="F4225" i="2"/>
  <c r="F706" i="2"/>
  <c r="F199" i="2"/>
  <c r="F4282" i="2"/>
  <c r="F1779" i="2"/>
  <c r="B1928" i="2"/>
  <c r="F588" i="2"/>
  <c r="F4103" i="2"/>
  <c r="F722" i="2"/>
  <c r="B4110" i="2"/>
  <c r="F2969" i="2"/>
  <c r="B4494" i="2"/>
  <c r="F4488" i="2"/>
  <c r="B445" i="2"/>
  <c r="F2499" i="2"/>
  <c r="B632" i="2"/>
  <c r="B4256" i="2"/>
  <c r="B3956" i="2"/>
  <c r="F2770" i="2"/>
  <c r="F1775" i="2"/>
  <c r="F543" i="2"/>
  <c r="F852" i="2"/>
  <c r="F2429" i="2"/>
  <c r="F4273" i="2"/>
  <c r="F3107" i="2"/>
  <c r="F663" i="2"/>
  <c r="B646" i="2"/>
  <c r="B2180" i="2"/>
  <c r="F3171" i="2"/>
  <c r="B4399" i="2"/>
  <c r="B2403" i="2"/>
  <c r="B637" i="2"/>
  <c r="F3965" i="2"/>
  <c r="B2653" i="2"/>
  <c r="B2805" i="2"/>
  <c r="F462" i="2"/>
  <c r="F1035" i="2"/>
  <c r="F115" i="2"/>
  <c r="F1442" i="2"/>
  <c r="F341" i="2"/>
  <c r="B3621" i="2"/>
  <c r="F1656" i="2"/>
  <c r="B4499" i="2"/>
  <c r="F4298" i="2"/>
  <c r="F1376" i="2"/>
  <c r="B231" i="2"/>
  <c r="B759" i="2"/>
  <c r="F4233" i="2"/>
  <c r="B2428" i="2"/>
  <c r="F3646" i="2"/>
  <c r="B4342" i="2"/>
  <c r="B3754" i="2"/>
  <c r="F3645" i="2"/>
  <c r="F425" i="2"/>
  <c r="F1820" i="2"/>
  <c r="B4236" i="2"/>
  <c r="F186" i="2"/>
  <c r="B3873" i="2"/>
  <c r="B541" i="2"/>
  <c r="F1928" i="2"/>
  <c r="B3186" i="2"/>
  <c r="B4427" i="2"/>
  <c r="F492" i="2"/>
  <c r="B2977" i="2"/>
  <c r="F4481" i="2"/>
  <c r="F1767" i="2"/>
  <c r="F2634" i="2"/>
  <c r="B2640" i="2"/>
  <c r="F3191" i="2"/>
  <c r="F2202" i="2"/>
  <c r="F56" i="2"/>
  <c r="F2935" i="2"/>
  <c r="B1513" i="2"/>
  <c r="B2980" i="2"/>
  <c r="B4337" i="2"/>
  <c r="B1063" i="2"/>
  <c r="B412" i="2"/>
  <c r="F4246" i="2"/>
  <c r="F4189" i="2"/>
  <c r="F1107" i="2"/>
  <c r="F3141" i="2"/>
  <c r="F3990" i="2"/>
  <c r="F3077" i="2"/>
  <c r="F2213" i="2"/>
  <c r="F1231" i="2"/>
  <c r="F2884" i="2"/>
  <c r="F2168" i="2"/>
  <c r="F586" i="2"/>
  <c r="F3906" i="2"/>
  <c r="B218" i="2"/>
  <c r="B3933" i="2"/>
  <c r="B87" i="2"/>
  <c r="F2999" i="2"/>
  <c r="B1442" i="2"/>
  <c r="B838" i="2"/>
  <c r="F902" i="2"/>
  <c r="B1243" i="2"/>
  <c r="F2437" i="2"/>
  <c r="B2816" i="2"/>
  <c r="F4069" i="2"/>
  <c r="B2449" i="2"/>
  <c r="F542" i="2"/>
  <c r="F4303" i="2"/>
  <c r="B4332" i="2"/>
  <c r="F3924" i="2"/>
  <c r="F3692" i="2"/>
  <c r="B747" i="2"/>
  <c r="B1792" i="2"/>
  <c r="F1670" i="2"/>
  <c r="F832" i="2"/>
  <c r="F2190" i="2"/>
  <c r="F2902" i="2"/>
  <c r="F2926" i="2"/>
  <c r="F1193" i="2"/>
  <c r="F632" i="2"/>
  <c r="B2639" i="2"/>
  <c r="B4177" i="2"/>
  <c r="B656" i="2"/>
  <c r="B2869" i="2"/>
  <c r="B450" i="2"/>
  <c r="F4486" i="2"/>
  <c r="B2632" i="2"/>
  <c r="F826" i="2"/>
  <c r="F3667" i="2"/>
  <c r="F2605" i="2"/>
  <c r="B3048" i="2"/>
  <c r="F445" i="2"/>
  <c r="B97" i="2"/>
  <c r="B4501" i="2"/>
  <c r="B1443" i="2"/>
  <c r="F1617" i="2"/>
  <c r="F2363" i="2"/>
  <c r="B202" i="2"/>
  <c r="B1283" i="2"/>
  <c r="B638" i="2"/>
  <c r="B1083" i="2"/>
  <c r="F212" i="2"/>
  <c r="B131" i="2"/>
  <c r="B373" i="2"/>
  <c r="B3168" i="2"/>
  <c r="F1822" i="2"/>
  <c r="F1598" i="2"/>
  <c r="F2176" i="2"/>
  <c r="F2224" i="2"/>
  <c r="F1000" i="2"/>
  <c r="F4111" i="2"/>
  <c r="B3567" i="2"/>
  <c r="F2714" i="2"/>
  <c r="B3979" i="2"/>
  <c r="F2269" i="2"/>
  <c r="B1783" i="2"/>
  <c r="F2903" i="2"/>
  <c r="B1035" i="2"/>
  <c r="F4019" i="2"/>
  <c r="F3637" i="2"/>
  <c r="B3727" i="2"/>
  <c r="B2294" i="2"/>
  <c r="B3910" i="2"/>
  <c r="B4485" i="2"/>
  <c r="B2167" i="2"/>
  <c r="B3771" i="2"/>
  <c r="F3900" i="2"/>
  <c r="B1864" i="2"/>
  <c r="F1903" i="2"/>
  <c r="B2404" i="2"/>
  <c r="B4434" i="2"/>
  <c r="B3257" i="2"/>
  <c r="F78" i="2"/>
  <c r="F3899" i="2"/>
  <c r="F2637" i="2"/>
  <c r="F2618" i="2"/>
  <c r="B408" i="2"/>
  <c r="B2870" i="2"/>
  <c r="F1258" i="2"/>
  <c r="F4407" i="2"/>
  <c r="F2668" i="2"/>
  <c r="F3961" i="2"/>
  <c r="B1670" i="2"/>
  <c r="B1186" i="2"/>
  <c r="B739" i="2"/>
  <c r="B3307" i="2"/>
  <c r="F941" i="2"/>
  <c r="B241" i="2"/>
  <c r="F4490" i="2"/>
  <c r="B2482" i="2"/>
  <c r="B4401" i="2"/>
  <c r="F689" i="2"/>
  <c r="F4065" i="2"/>
  <c r="F491" i="2"/>
  <c r="B3757" i="2"/>
  <c r="F2761" i="2"/>
  <c r="F2445" i="2"/>
  <c r="F1935" i="2"/>
  <c r="F4364" i="2"/>
  <c r="B542" i="2"/>
  <c r="B4444" i="2"/>
  <c r="F3162" i="2"/>
  <c r="F1864" i="2"/>
  <c r="B2860" i="2"/>
  <c r="F1246" i="2"/>
  <c r="F4406" i="2"/>
  <c r="B452" i="2"/>
  <c r="F3650" i="2"/>
  <c r="F2361" i="2"/>
  <c r="B363" i="2"/>
  <c r="B1352" i="2"/>
  <c r="F628" i="2"/>
  <c r="F296" i="2"/>
  <c r="B1952" i="2"/>
  <c r="F2898" i="2"/>
  <c r="F3726" i="2"/>
  <c r="B4431" i="2"/>
  <c r="F2281" i="2"/>
  <c r="B2471" i="2"/>
  <c r="F3179" i="2"/>
  <c r="F189" i="2"/>
  <c r="F4221" i="2"/>
  <c r="F389" i="2"/>
  <c r="F1504" i="2"/>
  <c r="F404" i="2"/>
  <c r="B1114" i="2"/>
  <c r="B170" i="2"/>
  <c r="B755" i="2"/>
  <c r="F3106" i="2"/>
  <c r="B4071" i="2"/>
  <c r="B1740" i="2"/>
  <c r="F633" i="2"/>
  <c r="B417" i="2"/>
  <c r="B3938" i="2"/>
  <c r="B1550" i="2"/>
  <c r="F756" i="2"/>
  <c r="F3905" i="2"/>
  <c r="F2496" i="2"/>
  <c r="F572" i="2"/>
  <c r="F755" i="2"/>
  <c r="F4436" i="2"/>
  <c r="F2904" i="2"/>
  <c r="B352" i="2"/>
  <c r="B686" i="2"/>
  <c r="B2881" i="2"/>
  <c r="B4423" i="2"/>
  <c r="B3012" i="2"/>
  <c r="B4193" i="2"/>
  <c r="F643" i="2"/>
  <c r="B3606" i="2"/>
  <c r="F101" i="2"/>
  <c r="B4126" i="2"/>
  <c r="B641" i="2"/>
  <c r="B866" i="2"/>
  <c r="B3163" i="2"/>
  <c r="F2863" i="2"/>
  <c r="F1840" i="2"/>
  <c r="F371" i="2"/>
  <c r="B3047" i="2"/>
  <c r="B4085" i="2"/>
  <c r="B2753" i="2"/>
  <c r="F2655" i="2"/>
  <c r="F2564" i="2"/>
  <c r="F1969" i="2"/>
  <c r="B2517" i="2"/>
  <c r="B3739" i="2"/>
  <c r="B4004" i="2"/>
  <c r="F839" i="2"/>
  <c r="F1071" i="2"/>
  <c r="B2620" i="2"/>
  <c r="F1108" i="2"/>
  <c r="B3191" i="2"/>
  <c r="B3756" i="2"/>
  <c r="B3681" i="2"/>
  <c r="B3611" i="2"/>
  <c r="B926" i="2"/>
  <c r="B3584" i="2"/>
  <c r="B4440" i="2"/>
  <c r="B1551" i="2"/>
  <c r="F1853" i="2"/>
  <c r="B3920" i="2"/>
  <c r="B2953" i="2"/>
  <c r="B4441" i="2"/>
  <c r="F3705" i="2"/>
  <c r="F483" i="2"/>
  <c r="B3664" i="2"/>
  <c r="F3903" i="2"/>
  <c r="F3750" i="2"/>
  <c r="B3934" i="2"/>
  <c r="F1817" i="2"/>
  <c r="F4219" i="2"/>
  <c r="B1698" i="2"/>
  <c r="F3923" i="2"/>
  <c r="F4238" i="2"/>
  <c r="F3575" i="2"/>
  <c r="F477" i="2"/>
  <c r="B277" i="2"/>
  <c r="F163" i="2"/>
  <c r="B453" i="2"/>
  <c r="B4346" i="2"/>
  <c r="B3671" i="2"/>
  <c r="B1512" i="2"/>
  <c r="F1409" i="2"/>
  <c r="B4278" i="2"/>
  <c r="F2953" i="2"/>
  <c r="F4116" i="2"/>
  <c r="B3521" i="2"/>
  <c r="F1149" i="2"/>
  <c r="F3739" i="2"/>
  <c r="F2865" i="2"/>
  <c r="F1115" i="2"/>
  <c r="B4303" i="2"/>
  <c r="F1789" i="2"/>
  <c r="F2638" i="2"/>
  <c r="B1310" i="2"/>
  <c r="B2312" i="2"/>
  <c r="F3075" i="2"/>
  <c r="B4298" i="2"/>
  <c r="F3571" i="2"/>
  <c r="F1508" i="2"/>
  <c r="F1674" i="2"/>
  <c r="F4174" i="2"/>
  <c r="F661" i="2"/>
  <c r="B4138" i="2"/>
  <c r="F2517" i="2"/>
  <c r="B4339" i="2"/>
  <c r="B3158" i="2"/>
  <c r="B1193" i="2"/>
  <c r="B499" i="2"/>
  <c r="B826" i="2"/>
  <c r="F414" i="2"/>
  <c r="F3612" i="2"/>
  <c r="F4099" i="2"/>
  <c r="F342" i="2"/>
  <c r="B4333" i="2"/>
  <c r="F2379" i="2"/>
  <c r="B2647" i="2"/>
  <c r="F1583" i="2"/>
  <c r="B454" i="2"/>
  <c r="B3588" i="2"/>
  <c r="F1077" i="2"/>
  <c r="F3101" i="2"/>
  <c r="F4283" i="2"/>
  <c r="F1957" i="2"/>
  <c r="B3598" i="2"/>
  <c r="F465" i="2"/>
  <c r="B4276" i="2"/>
  <c r="B475" i="2"/>
  <c r="F2879" i="2"/>
  <c r="F203" i="2"/>
  <c r="B1260" i="2"/>
  <c r="F3678" i="2"/>
  <c r="B3726" i="2"/>
  <c r="F2169" i="2"/>
  <c r="F833" i="2"/>
  <c r="F1109" i="2"/>
  <c r="F3633" i="2"/>
  <c r="B1751" i="2"/>
  <c r="B4127" i="2"/>
  <c r="F504" i="2"/>
  <c r="B3919" i="2"/>
  <c r="F89" i="2"/>
  <c r="F1306" i="2"/>
  <c r="F1794" i="2"/>
  <c r="B1796" i="2"/>
  <c r="F1818" i="2"/>
  <c r="F2185" i="2"/>
  <c r="B1601" i="2"/>
  <c r="B3616" i="2"/>
  <c r="F4053" i="2"/>
  <c r="B81" i="2"/>
  <c r="B3644" i="2"/>
  <c r="B3914" i="2"/>
  <c r="B534" i="2"/>
  <c r="F822" i="2"/>
  <c r="B1674" i="2"/>
  <c r="F1056" i="2"/>
  <c r="B3911" i="2"/>
  <c r="F2793" i="2"/>
  <c r="B4280" i="2"/>
  <c r="F1618" i="2"/>
  <c r="B1072" i="2"/>
  <c r="B2865" i="2"/>
  <c r="F1250" i="2"/>
  <c r="B2649" i="2"/>
  <c r="B1616" i="2"/>
  <c r="B1703" i="2"/>
  <c r="F1971" i="2"/>
  <c r="B2007" i="2"/>
  <c r="B2925" i="2"/>
  <c r="B343" i="2"/>
  <c r="F1475" i="2"/>
  <c r="B2804" i="2"/>
  <c r="F1973" i="2"/>
  <c r="B4056" i="2"/>
  <c r="F2930" i="2"/>
  <c r="B3900" i="2"/>
  <c r="B2174" i="2"/>
  <c r="B4240" i="2"/>
  <c r="F3165" i="2"/>
  <c r="F679" i="2"/>
  <c r="F4400" i="2"/>
  <c r="F4052" i="2"/>
  <c r="F1783" i="2"/>
  <c r="B3730" i="2"/>
  <c r="F241" i="2"/>
  <c r="B517" i="2"/>
  <c r="B2179" i="2"/>
  <c r="B801" i="2"/>
  <c r="B3570" i="2"/>
  <c r="F2285" i="2"/>
  <c r="B2871" i="2"/>
  <c r="B2606" i="2"/>
  <c r="B1562" i="2"/>
  <c r="F2873" i="2"/>
  <c r="B467" i="2"/>
  <c r="B2668" i="2"/>
  <c r="B2635" i="2"/>
  <c r="F3817" i="2"/>
  <c r="B1656" i="2"/>
  <c r="B1197" i="2"/>
  <c r="B1266" i="2"/>
  <c r="B446" i="2"/>
  <c r="B4202" i="2"/>
  <c r="F4326" i="2"/>
  <c r="B228" i="2"/>
  <c r="B2213" i="2"/>
  <c r="F740" i="2"/>
  <c r="F1146" i="2"/>
  <c r="B1192" i="2"/>
  <c r="B2633" i="2"/>
  <c r="F299" i="2"/>
  <c r="B2634" i="2"/>
  <c r="B4508" i="2"/>
  <c r="B4273" i="2"/>
  <c r="B1474" i="2"/>
  <c r="B388" i="2"/>
  <c r="F568" i="2"/>
  <c r="B195" i="2"/>
  <c r="F4354" i="2"/>
  <c r="B349" i="2"/>
  <c r="F3993" i="2"/>
  <c r="F1072" i="2"/>
  <c r="F3728" i="2"/>
  <c r="F3578" i="2"/>
  <c r="F360" i="2"/>
  <c r="F2900" i="2"/>
  <c r="B358" i="2"/>
  <c r="F4495" i="2"/>
  <c r="B513" i="2"/>
  <c r="F4496" i="2"/>
  <c r="F704" i="2"/>
  <c r="F3968" i="2"/>
  <c r="F3074" i="2"/>
  <c r="B1232" i="2"/>
  <c r="B1082" i="2"/>
  <c r="B2864" i="2"/>
  <c r="B4174" i="2"/>
  <c r="F331" i="2"/>
  <c r="F3170" i="2"/>
  <c r="F194" i="2"/>
  <c r="B4062" i="2"/>
  <c r="B1603" i="2"/>
  <c r="B4368" i="2"/>
  <c r="F3665" i="2"/>
  <c r="B691" i="2"/>
  <c r="F3159" i="2"/>
  <c r="F596" i="2"/>
  <c r="F1474" i="2"/>
  <c r="F738" i="2"/>
  <c r="B2926" i="2"/>
  <c r="F1197" i="2"/>
  <c r="B3706" i="2"/>
  <c r="B465" i="2"/>
  <c r="B1287" i="2"/>
  <c r="F4095" i="2"/>
  <c r="B680" i="2"/>
  <c r="B1657" i="2"/>
  <c r="B562" i="2"/>
  <c r="B2235" i="2"/>
  <c r="B214" i="2"/>
  <c r="F479" i="2"/>
  <c r="F2631" i="2"/>
  <c r="F795" i="2"/>
  <c r="B2224" i="2"/>
  <c r="B4415" i="2"/>
  <c r="F1931" i="2"/>
  <c r="F1784" i="2"/>
  <c r="F4166" i="2"/>
  <c r="B3843" i="2"/>
  <c r="B4039" i="2"/>
  <c r="F4288" i="2"/>
  <c r="B1288" i="2"/>
  <c r="B3430" i="2"/>
  <c r="B3721" i="2"/>
  <c r="B3062" i="2"/>
  <c r="F4381" i="2"/>
  <c r="F3190" i="2"/>
  <c r="B3613" i="2"/>
  <c r="B369" i="2"/>
  <c r="F433" i="2"/>
  <c r="F4097" i="2"/>
  <c r="B4097" i="2"/>
  <c r="F1821" i="2"/>
  <c r="B1604" i="2"/>
  <c r="F1735" i="2"/>
  <c r="F289" i="2"/>
  <c r="B4284" i="2"/>
  <c r="B2899" i="2"/>
  <c r="B427" i="2"/>
  <c r="F2504" i="2"/>
  <c r="F3950" i="2"/>
  <c r="F3595" i="2"/>
  <c r="F2867" i="2"/>
  <c r="B3195" i="2"/>
  <c r="F1171" i="2"/>
  <c r="B80" i="2"/>
  <c r="F2816" i="2"/>
  <c r="F1841" i="2"/>
  <c r="F1619" i="2"/>
  <c r="B135" i="2"/>
  <c r="F434" i="2"/>
  <c r="F649" i="2"/>
  <c r="F3329" i="2"/>
  <c r="F334" i="2"/>
  <c r="F1255" i="2"/>
  <c r="F3946" i="2"/>
  <c r="B489" i="2"/>
  <c r="B3942" i="2"/>
  <c r="F4195" i="2"/>
  <c r="F2562" i="2"/>
  <c r="F4108" i="2"/>
  <c r="F2658" i="2"/>
  <c r="B184" i="2"/>
  <c r="B3607" i="2"/>
  <c r="F564" i="2"/>
  <c r="F1705" i="2"/>
  <c r="B4063" i="2"/>
  <c r="B4419" i="2"/>
  <c r="F2641" i="2"/>
  <c r="F2660" i="2"/>
  <c r="F2766" i="2"/>
  <c r="B855" i="2"/>
  <c r="F2804" i="2"/>
  <c r="F3198" i="2"/>
  <c r="B1704" i="2"/>
  <c r="F1501" i="2"/>
  <c r="F2305" i="2"/>
  <c r="F1601" i="2"/>
  <c r="F3917" i="2"/>
  <c r="F4340" i="2"/>
  <c r="B1927" i="2"/>
  <c r="B227" i="2"/>
  <c r="B1749" i="2"/>
  <c r="B4409" i="2"/>
  <c r="F3241" i="2"/>
  <c r="F3970" i="2"/>
  <c r="F4402" i="2"/>
  <c r="F4190" i="2"/>
  <c r="B348" i="2"/>
  <c r="F4204" i="2"/>
  <c r="B1797" i="2"/>
  <c r="B3719" i="2"/>
  <c r="B1001" i="2"/>
  <c r="B3418" i="2"/>
  <c r="F1253" i="2"/>
  <c r="F1754" i="2"/>
  <c r="B2930" i="2"/>
  <c r="B3592" i="2"/>
  <c r="F3644" i="2"/>
  <c r="F3704" i="2"/>
  <c r="F2171" i="2"/>
  <c r="F449" i="2"/>
  <c r="F3583" i="2"/>
  <c r="F3662" i="2"/>
  <c r="B2191" i="2"/>
  <c r="B518" i="2"/>
  <c r="F2683" i="2"/>
  <c r="F2932" i="2"/>
  <c r="B2967" i="2"/>
  <c r="B4355" i="2"/>
  <c r="B1787" i="2"/>
  <c r="B2910" i="2"/>
  <c r="B1000" i="2"/>
  <c r="F931" i="2"/>
  <c r="F3757" i="2"/>
  <c r="F4328" i="2"/>
  <c r="F3200" i="2"/>
  <c r="B2663" i="2"/>
  <c r="F1068" i="2"/>
  <c r="B3262" i="2"/>
  <c r="F2360" i="2"/>
  <c r="F408" i="2"/>
  <c r="F1597" i="2"/>
  <c r="B3577" i="2"/>
  <c r="B752" i="2"/>
  <c r="F45" i="2"/>
  <c r="F681" i="2"/>
  <c r="B1724" i="2"/>
  <c r="B473" i="2"/>
  <c r="F2503" i="2"/>
  <c r="B3013" i="2"/>
  <c r="B414" i="2"/>
  <c r="B1477" i="2"/>
  <c r="F4493" i="2"/>
  <c r="F752" i="2"/>
  <c r="F2151" i="2"/>
  <c r="B1768" i="2"/>
  <c r="B432" i="2"/>
  <c r="B3992" i="2"/>
  <c r="B421" i="2"/>
  <c r="B1256" i="2"/>
  <c r="F204" i="2"/>
  <c r="B2961" i="2"/>
  <c r="F4259" i="2"/>
  <c r="F3594" i="2"/>
  <c r="B1093" i="2"/>
  <c r="B4168" i="2"/>
  <c r="B1516" i="2"/>
  <c r="B3758" i="2"/>
  <c r="B2769" i="2"/>
  <c r="F201" i="2"/>
  <c r="F4117" i="2"/>
  <c r="F1307" i="2"/>
  <c r="B3729" i="2"/>
  <c r="B977" i="2"/>
  <c r="F1536" i="2"/>
  <c r="B3597" i="2"/>
  <c r="B1515" i="2"/>
  <c r="B3617" i="2"/>
  <c r="B4059" i="2"/>
  <c r="B3693" i="2"/>
  <c r="B3143" i="2"/>
  <c r="B1809" i="2"/>
  <c r="F3229" i="2"/>
  <c r="F3586" i="2"/>
  <c r="F686" i="2"/>
  <c r="F2764" i="2"/>
  <c r="F2966" i="2"/>
  <c r="F4281" i="2"/>
  <c r="B4358" i="2"/>
  <c r="F2925" i="2"/>
  <c r="F2170" i="2"/>
  <c r="F866" i="2"/>
  <c r="F417" i="2"/>
  <c r="B535" i="2"/>
  <c r="B1673" i="2"/>
  <c r="F1387" i="2"/>
  <c r="B3972" i="2"/>
  <c r="B477" i="2"/>
  <c r="B521" i="2"/>
  <c r="B586" i="2"/>
  <c r="B3844" i="2"/>
  <c r="F3783" i="2"/>
  <c r="F4311" i="2"/>
  <c r="B1790" i="2"/>
  <c r="B1252" i="2"/>
  <c r="B3103" i="2"/>
  <c r="F1502" i="2"/>
  <c r="F67" i="2"/>
  <c r="B94" i="2"/>
  <c r="B4196" i="2"/>
  <c r="B3571" i="2"/>
  <c r="B556" i="2"/>
  <c r="B1075" i="2"/>
  <c r="B3755" i="2"/>
  <c r="F4305" i="2"/>
  <c r="F4350" i="2"/>
  <c r="F4412" i="2"/>
  <c r="F2961" i="2"/>
  <c r="B2713" i="2"/>
  <c r="B4153" i="2"/>
  <c r="F3744" i="2"/>
  <c r="B404" i="2"/>
  <c r="F1090" i="2"/>
  <c r="B2308" i="2"/>
  <c r="B4070" i="2"/>
  <c r="F4226" i="2"/>
  <c r="B3653" i="2"/>
  <c r="F548" i="2"/>
  <c r="F1641" i="2"/>
  <c r="F3925" i="2"/>
  <c r="F3627" i="2"/>
  <c r="F700" i="2"/>
  <c r="B1489" i="2"/>
  <c r="F3510" i="2"/>
  <c r="F2894" i="2"/>
  <c r="F3742" i="2"/>
  <c r="B3661" i="2"/>
  <c r="B2518" i="2"/>
  <c r="B2929" i="2"/>
  <c r="F3828" i="2"/>
  <c r="F3216" i="2"/>
  <c r="F559" i="2"/>
  <c r="F1955" i="2"/>
  <c r="B112" i="2"/>
  <c r="B514" i="2"/>
  <c r="B9" i="5"/>
  <c r="F4140" i="2"/>
  <c r="F3929" i="2"/>
  <c r="F4421" i="2"/>
  <c r="F475" i="2"/>
  <c r="B4109" i="2"/>
  <c r="F3843" i="2"/>
  <c r="B234" i="2"/>
  <c r="F3927" i="2"/>
  <c r="B1671" i="2"/>
  <c r="F4332" i="2"/>
  <c r="F4182" i="2"/>
  <c r="F3567" i="2"/>
  <c r="F4218" i="2"/>
  <c r="F1575" i="2"/>
  <c r="B4186" i="2"/>
  <c r="F3640" i="2"/>
  <c r="F2188" i="2"/>
  <c r="F1122" i="2"/>
  <c r="F2868" i="2"/>
  <c r="B3216" i="2"/>
  <c r="B500" i="2"/>
  <c r="B1584" i="2"/>
  <c r="F2845" i="2"/>
  <c r="B4350" i="2"/>
  <c r="B4338" i="2"/>
  <c r="B1598" i="2"/>
  <c r="B2974" i="2"/>
  <c r="B2315" i="2"/>
  <c r="F3569" i="2"/>
  <c r="B223" i="2"/>
  <c r="F914" i="2"/>
  <c r="F2444" i="2"/>
  <c r="F3971" i="2"/>
  <c r="F3574" i="2"/>
  <c r="B4479" i="2"/>
  <c r="B3144" i="2"/>
  <c r="F2182" i="2"/>
  <c r="F602" i="2"/>
  <c r="F1515" i="2"/>
  <c r="B1258" i="2"/>
  <c r="B3966" i="2"/>
  <c r="F3731" i="2"/>
  <c r="B4169" i="2"/>
  <c r="F413" i="2"/>
  <c r="F497" i="2"/>
  <c r="F4188" i="2"/>
  <c r="F790" i="2"/>
  <c r="F1657" i="2"/>
  <c r="F3573" i="2"/>
  <c r="F2895" i="2"/>
  <c r="B2998" i="2"/>
  <c r="F2965" i="2"/>
  <c r="B3692" i="2"/>
  <c r="B3641" i="2"/>
  <c r="F3870" i="2"/>
  <c r="F2680" i="2"/>
  <c r="B3951" i="2"/>
  <c r="F2650" i="2"/>
  <c r="F1188" i="2"/>
  <c r="F95" i="2"/>
  <c r="F2627" i="2"/>
  <c r="B2586" i="2"/>
  <c r="B809" i="2"/>
  <c r="B625" i="2"/>
  <c r="B294" i="2"/>
  <c r="F1766" i="2"/>
  <c r="B4167" i="2"/>
  <c r="B3078" i="2"/>
  <c r="B4241" i="2"/>
  <c r="F190" i="2"/>
  <c r="F4431" i="2"/>
  <c r="F2327" i="2"/>
  <c r="F2635" i="2"/>
  <c r="B3931" i="2"/>
  <c r="F650" i="2"/>
  <c r="B353" i="2"/>
  <c r="B661" i="2"/>
  <c r="B3749" i="2"/>
  <c r="B3722" i="2"/>
  <c r="B3718" i="2"/>
  <c r="F1325" i="2"/>
  <c r="B4328" i="2"/>
  <c r="B4285" i="2"/>
  <c r="F2586" i="2"/>
  <c r="F3205" i="2"/>
  <c r="F3255" i="2"/>
  <c r="F3499" i="2"/>
  <c r="F2449" i="2"/>
  <c r="F1721" i="2"/>
  <c r="F3674" i="2"/>
  <c r="F3262" i="2"/>
  <c r="F2921" i="2"/>
  <c r="F255" i="2"/>
  <c r="B83" i="2"/>
  <c r="B2498" i="2"/>
  <c r="F3203" i="2"/>
  <c r="F645" i="2"/>
  <c r="F1190" i="2"/>
  <c r="F4094" i="2"/>
  <c r="F2995" i="2"/>
  <c r="F3914" i="2"/>
  <c r="B2761" i="2"/>
  <c r="F2956" i="2"/>
  <c r="F759" i="2"/>
  <c r="B2960" i="2"/>
  <c r="B4238" i="2"/>
  <c r="B557" i="2"/>
  <c r="F295" i="2"/>
  <c r="B2169" i="2"/>
  <c r="F185" i="2"/>
  <c r="F4435" i="2"/>
  <c r="B676" i="2"/>
  <c r="F151" i="2"/>
  <c r="B1057" i="2"/>
  <c r="B2361" i="2"/>
  <c r="F4122" i="2"/>
  <c r="F4115" i="2"/>
  <c r="B737" i="2"/>
  <c r="F4479" i="2"/>
  <c r="F4088" i="2"/>
  <c r="F3566" i="2"/>
  <c r="F4439" i="2"/>
  <c r="B3871" i="2"/>
  <c r="B2890" i="2"/>
  <c r="F4021" i="2"/>
  <c r="B3362" i="2"/>
  <c r="B2625" i="2"/>
  <c r="B3667" i="2"/>
  <c r="B682" i="2"/>
  <c r="F4198" i="2"/>
  <c r="F807" i="2"/>
  <c r="F4220" i="2"/>
  <c r="B1726" i="2"/>
  <c r="F3601" i="2"/>
  <c r="B2685" i="2"/>
  <c r="B1058" i="2"/>
  <c r="F806" i="2"/>
  <c r="B4073" i="2"/>
  <c r="B1062" i="2"/>
  <c r="F803" i="2"/>
  <c r="F1743" i="2"/>
  <c r="F3588" i="2"/>
  <c r="B2495" i="2"/>
  <c r="F2179" i="2"/>
  <c r="F1749" i="2"/>
  <c r="F192" i="2"/>
  <c r="B678" i="2"/>
  <c r="F819" i="2"/>
  <c r="F3752" i="2"/>
  <c r="B2500" i="2"/>
  <c r="B2623" i="2"/>
  <c r="B813" i="2"/>
  <c r="F2163" i="2"/>
  <c r="F3902" i="2"/>
  <c r="B1619" i="2"/>
  <c r="B3159" i="2"/>
  <c r="F2977" i="2"/>
  <c r="B1969" i="2"/>
  <c r="F1795" i="2"/>
  <c r="F1237" i="2"/>
  <c r="B3870" i="2"/>
  <c r="F1548" i="2"/>
  <c r="F457" i="2"/>
  <c r="F2482" i="2"/>
  <c r="B1731" i="2"/>
  <c r="B192" i="2"/>
  <c r="B3155" i="2"/>
  <c r="B2349" i="2"/>
  <c r="B3917" i="2"/>
  <c r="B2494" i="2"/>
  <c r="B2888" i="2"/>
  <c r="F3664" i="2"/>
  <c r="B4249" i="2"/>
  <c r="F2994" i="2"/>
  <c r="F3615" i="2"/>
  <c r="F3666" i="2"/>
  <c r="F460" i="2"/>
  <c r="F2979" i="2"/>
  <c r="B1866" i="2"/>
  <c r="F684" i="2"/>
  <c r="F3740" i="2"/>
  <c r="F4124" i="2"/>
  <c r="B2875" i="2"/>
  <c r="B1932" i="2"/>
  <c r="B1743" i="2"/>
  <c r="F2909" i="2"/>
  <c r="F1147" i="2"/>
  <c r="B1012" i="2"/>
  <c r="B462" i="2"/>
  <c r="F2006" i="2"/>
  <c r="F4243" i="2"/>
  <c r="F2713" i="2"/>
  <c r="F563" i="2"/>
  <c r="B4379" i="2"/>
  <c r="B4245" i="2"/>
  <c r="F2701" i="2"/>
  <c r="F130" i="2"/>
  <c r="F4084" i="2"/>
  <c r="B3576" i="2"/>
  <c r="F1748" i="2"/>
  <c r="B2184" i="2"/>
  <c r="F2309" i="2"/>
  <c r="F3465" i="2"/>
  <c r="B3625" i="2"/>
  <c r="F362" i="2"/>
  <c r="B4198" i="2"/>
  <c r="B1023" i="2"/>
  <c r="B805" i="2"/>
  <c r="B1972" i="2"/>
  <c r="F1550" i="2"/>
  <c r="F3755" i="2"/>
  <c r="B902" i="2"/>
  <c r="F1753" i="2"/>
  <c r="B1052" i="2"/>
  <c r="F3722" i="2"/>
  <c r="F3928" i="2"/>
  <c r="F625" i="2"/>
  <c r="B2872" i="2"/>
  <c r="F1562" i="2"/>
  <c r="B132" i="2"/>
  <c r="F3641" i="2"/>
  <c r="B236" i="2"/>
  <c r="B3205" i="2"/>
  <c r="B3052" i="2"/>
  <c r="B3783" i="2"/>
  <c r="B2085" i="2"/>
  <c r="B1579" i="2"/>
  <c r="B533" i="2"/>
  <c r="B4088" i="2"/>
  <c r="B392" i="2"/>
  <c r="F4460" i="2"/>
  <c r="B3674" i="2"/>
  <c r="B687" i="2"/>
  <c r="B1652" i="2"/>
  <c r="F2973" i="2"/>
  <c r="F3544" i="2"/>
  <c r="F1786" i="2"/>
  <c r="F3570" i="2"/>
  <c r="F2958" i="2"/>
  <c r="B4252" i="2"/>
  <c r="B1925" i="2"/>
  <c r="B819" i="2"/>
  <c r="B772" i="2"/>
  <c r="B1312" i="2"/>
  <c r="F541" i="2"/>
  <c r="B694" i="2"/>
  <c r="F3285" i="2"/>
  <c r="B1791" i="2"/>
  <c r="F3754" i="2"/>
  <c r="F355" i="2"/>
  <c r="B459" i="2"/>
  <c r="F392" i="2"/>
  <c r="B3955" i="2"/>
  <c r="B704" i="2"/>
  <c r="F3911" i="2"/>
  <c r="F799" i="2"/>
  <c r="F4284" i="2"/>
  <c r="B932" i="2"/>
  <c r="B3586" i="2"/>
  <c r="B90" i="2"/>
  <c r="F4420" i="2"/>
  <c r="F2191" i="2"/>
  <c r="F3182" i="2"/>
  <c r="F3909" i="2"/>
  <c r="F197" i="2"/>
  <c r="B834" i="2"/>
  <c r="F2505" i="2"/>
  <c r="B1839" i="2"/>
  <c r="F794" i="2"/>
  <c r="B301" i="2"/>
  <c r="F452" i="2"/>
  <c r="F3659" i="2"/>
  <c r="F553" i="2"/>
  <c r="B4232" i="2"/>
  <c r="B4287" i="2"/>
  <c r="B4425" i="2"/>
  <c r="B2282" i="2"/>
  <c r="B3178" i="2"/>
  <c r="F565" i="2"/>
  <c r="F1732" i="2"/>
  <c r="F1547" i="2"/>
  <c r="F2896" i="2"/>
  <c r="B2768" i="2"/>
  <c r="B2928" i="2"/>
  <c r="B487" i="2"/>
  <c r="B793" i="2"/>
  <c r="B589" i="2"/>
  <c r="F3442" i="2"/>
  <c r="F3202" i="2"/>
  <c r="F741" i="2"/>
  <c r="B3990" i="2"/>
  <c r="F1890" i="2"/>
  <c r="F614" i="2"/>
  <c r="F4408" i="2"/>
  <c r="F2633" i="2"/>
  <c r="F135" i="2"/>
  <c r="F1725" i="2"/>
  <c r="B2516" i="2"/>
  <c r="F2757" i="2"/>
  <c r="F2923" i="2"/>
  <c r="B4184" i="2"/>
  <c r="B4308" i="2"/>
  <c r="B1795" i="2"/>
  <c r="F346" i="2"/>
  <c r="B405" i="2"/>
  <c r="F4102" i="2"/>
  <c r="F603" i="2"/>
  <c r="B2991" i="2"/>
  <c r="B130" i="2"/>
  <c r="B822" i="2"/>
  <c r="F1665" i="2"/>
  <c r="F2671" i="2"/>
  <c r="F1652" i="2"/>
  <c r="F2162" i="2"/>
  <c r="F116" i="2"/>
  <c r="B1780" i="2"/>
  <c r="F2980" i="2"/>
  <c r="B2155" i="2"/>
  <c r="F600" i="2"/>
  <c r="F4423" i="2"/>
  <c r="B1478" i="2"/>
  <c r="B2401" i="2"/>
  <c r="B210" i="2"/>
  <c r="F1264" i="2"/>
  <c r="F774" i="2"/>
  <c r="B1798" i="2"/>
  <c r="F2891" i="2"/>
  <c r="B736" i="2"/>
  <c r="B1577" i="2"/>
  <c r="B303" i="2"/>
  <c r="F570" i="2"/>
  <c r="B1995" i="2"/>
  <c r="B603" i="2"/>
  <c r="F2967" i="2"/>
  <c r="B4312" i="2"/>
  <c r="F293" i="2"/>
  <c r="F3024" i="2"/>
  <c r="F828" i="2"/>
  <c r="B1814" i="2"/>
  <c r="F850" i="2"/>
  <c r="B4172" i="2"/>
  <c r="B3614" i="2"/>
  <c r="B482" i="2"/>
  <c r="F1473" i="2"/>
  <c r="F2629" i="2"/>
  <c r="F1305" i="2"/>
  <c r="F2156" i="2"/>
  <c r="F4192" i="2"/>
  <c r="F519" i="2"/>
  <c r="F4492" i="2"/>
  <c r="F3555" i="2"/>
  <c r="B3574" i="2"/>
  <c r="B2908" i="2"/>
  <c r="B187" i="2"/>
  <c r="B4432" i="2"/>
  <c r="F1780" i="2"/>
  <c r="B635" i="2"/>
  <c r="B1328" i="2"/>
  <c r="F745" i="2"/>
  <c r="B4477" i="2"/>
  <c r="B219" i="2"/>
  <c r="F347" i="2"/>
  <c r="F2893" i="2"/>
  <c r="B238" i="2"/>
  <c r="F4235" i="2"/>
  <c r="B4201" i="2"/>
  <c r="F4104" i="2"/>
  <c r="F3362" i="2"/>
  <c r="B2900" i="2"/>
  <c r="F3847" i="2"/>
  <c r="F1076" i="2"/>
  <c r="F4338" i="2"/>
  <c r="B649" i="2"/>
  <c r="B1308" i="2"/>
  <c r="F2019" i="2"/>
  <c r="B700" i="2"/>
  <c r="F808" i="2"/>
  <c r="B1852" i="2"/>
  <c r="F2157" i="2"/>
  <c r="F4393" i="2"/>
  <c r="B520" i="2"/>
  <c r="F3836" i="2"/>
  <c r="F97" i="2"/>
  <c r="B237" i="2"/>
  <c r="B2379" i="2"/>
  <c r="F3680" i="2"/>
  <c r="F448" i="2"/>
  <c r="F3584" i="2"/>
  <c r="F877" i="2"/>
  <c r="B3578" i="2"/>
  <c r="F3351" i="2"/>
  <c r="B777" i="2"/>
  <c r="B1771" i="2"/>
  <c r="F1686" i="2"/>
  <c r="F2928" i="2"/>
  <c r="F1774" i="2"/>
  <c r="F4254" i="2"/>
  <c r="F112" i="2"/>
  <c r="F170" i="2"/>
  <c r="B1777" i="2"/>
  <c r="F232" i="2"/>
  <c r="F493" i="2"/>
  <c r="F4325" i="2"/>
  <c r="B2682" i="2"/>
  <c r="F4274" i="2"/>
  <c r="B929" i="2"/>
  <c r="B4463" i="2"/>
  <c r="F1578" i="2"/>
  <c r="F1738" i="2"/>
  <c r="F3193" i="2"/>
  <c r="F1925" i="2"/>
  <c r="B1739" i="2"/>
  <c r="B802" i="2"/>
  <c r="B1050" i="2"/>
  <c r="F1074" i="2"/>
  <c r="B1113" i="2"/>
  <c r="B3171" i="2"/>
  <c r="B3676" i="2"/>
  <c r="B1146" i="2"/>
  <c r="F1063" i="2"/>
  <c r="B3601" i="2"/>
  <c r="F4299" i="2"/>
  <c r="B1971" i="2"/>
  <c r="F235" i="2"/>
  <c r="F2601" i="2"/>
  <c r="F432" i="2"/>
  <c r="B585" i="2"/>
  <c r="F3055" i="2"/>
  <c r="B558" i="2"/>
  <c r="B639" i="2"/>
  <c r="F2338" i="2"/>
  <c r="F294" i="2"/>
  <c r="B633" i="2"/>
  <c r="B989" i="2"/>
  <c r="B655" i="2"/>
  <c r="F424" i="2"/>
  <c r="B164" i="2"/>
  <c r="F855" i="2"/>
  <c r="B2629" i="2"/>
  <c r="F676" i="2"/>
  <c r="F1341" i="2"/>
  <c r="B4460" i="2"/>
  <c r="F3942" i="2"/>
  <c r="B1734" i="2"/>
  <c r="F3596" i="2"/>
  <c r="F223" i="2"/>
  <c r="B3747" i="2"/>
  <c r="B677" i="2"/>
  <c r="B1398" i="2"/>
  <c r="F90" i="2"/>
  <c r="B827" i="2"/>
  <c r="F1744" i="2"/>
  <c r="B2364" i="2"/>
  <c r="B820" i="2"/>
  <c r="F411" i="2"/>
  <c r="B2955" i="2"/>
  <c r="B4205" i="2"/>
  <c r="F385" i="2"/>
  <c r="F1968" i="2"/>
  <c r="B3173" i="2"/>
  <c r="B3184" i="2"/>
  <c r="B330" i="2"/>
  <c r="B463" i="2"/>
  <c r="B423" i="2"/>
  <c r="B3166" i="2"/>
  <c r="F2885" i="2"/>
  <c r="F4478" i="2"/>
  <c r="B331" i="2"/>
  <c r="F3587" i="2"/>
  <c r="F373" i="2"/>
  <c r="F796" i="2"/>
  <c r="F1037" i="2"/>
  <c r="B455" i="2"/>
  <c r="B3053" i="2"/>
  <c r="B1581" i="2"/>
  <c r="F2258" i="2"/>
  <c r="B407" i="2"/>
  <c r="B3164" i="2"/>
  <c r="F222" i="2"/>
  <c r="F4096" i="2"/>
  <c r="B2626" i="2"/>
  <c r="F3635" i="2"/>
  <c r="F3589" i="2"/>
  <c r="B1511" i="2"/>
  <c r="F4231" i="2"/>
  <c r="F469" i="2"/>
  <c r="F4222" i="2"/>
  <c r="B1599" i="2"/>
  <c r="B2390" i="2"/>
  <c r="B2599" i="2"/>
  <c r="B3253" i="2"/>
  <c r="F4059" i="2"/>
  <c r="F4428" i="2"/>
  <c r="B3627" i="2"/>
  <c r="B1285" i="2"/>
  <c r="B3842" i="2"/>
  <c r="B2164" i="2"/>
  <c r="B2857" i="2"/>
  <c r="F1238" i="2"/>
  <c r="B3976" i="2"/>
  <c r="B185" i="2"/>
  <c r="F2166" i="2"/>
  <c r="B3650" i="2"/>
  <c r="F370" i="2"/>
  <c r="F4306" i="2"/>
  <c r="F1094" i="2"/>
  <c r="B703" i="2"/>
  <c r="F4330" i="2"/>
  <c r="F537" i="2"/>
  <c r="B411" i="2"/>
  <c r="F589" i="2"/>
  <c r="B391" i="2"/>
  <c r="F829" i="2"/>
  <c r="B2168" i="2"/>
  <c r="F81" i="2"/>
  <c r="F4090" i="2"/>
  <c r="F428" i="2"/>
  <c r="F423" i="2"/>
  <c r="F2365" i="2"/>
  <c r="F4484" i="2"/>
  <c r="B2442" i="2"/>
  <c r="B99" i="2"/>
  <c r="B3580" i="2"/>
  <c r="B4429" i="2"/>
  <c r="B4229" i="2"/>
  <c r="F2887" i="2"/>
  <c r="F1120" i="2"/>
  <c r="B209" i="2"/>
  <c r="F2905" i="2"/>
  <c r="B79" i="2"/>
  <c r="B3203" i="2"/>
  <c r="B240" i="2"/>
  <c r="F4419" i="2"/>
  <c r="F3805" i="2"/>
  <c r="B4344" i="2"/>
  <c r="B2173" i="2"/>
  <c r="B3652" i="2"/>
  <c r="F4004" i="2"/>
  <c r="B3254" i="2"/>
  <c r="B1813" i="2"/>
  <c r="F1586" i="2"/>
  <c r="B3488" i="2"/>
  <c r="B2818" i="2"/>
  <c r="B2338" i="2"/>
  <c r="F2929" i="2"/>
  <c r="F209" i="2"/>
  <c r="B3677" i="2"/>
  <c r="F4227" i="2"/>
  <c r="B1306" i="2"/>
  <c r="F2311" i="2"/>
  <c r="B1280" i="2"/>
  <c r="F292" i="2"/>
  <c r="F3829" i="2"/>
  <c r="F1573" i="2"/>
  <c r="B2496" i="2"/>
  <c r="B824" i="2"/>
  <c r="B1313" i="2"/>
  <c r="B3075" i="2"/>
  <c r="B574" i="2"/>
  <c r="F549" i="2"/>
  <c r="B4194" i="2"/>
  <c r="F3945" i="2"/>
  <c r="B2896" i="2"/>
  <c r="F4171" i="2"/>
  <c r="F495" i="2"/>
  <c r="F1239" i="2"/>
  <c r="F3837" i="2"/>
  <c r="B163" i="2"/>
  <c r="B4282" i="2"/>
  <c r="F4063" i="2"/>
  <c r="F3340" i="2"/>
  <c r="F2493" i="2"/>
  <c r="B3993" i="2"/>
  <c r="B2760" i="2"/>
  <c r="F1073" i="2"/>
  <c r="F989" i="2"/>
  <c r="B773" i="2"/>
  <c r="B2932" i="2"/>
  <c r="B1244" i="2"/>
  <c r="B652" i="2"/>
  <c r="F2540" i="2"/>
  <c r="B4108" i="2"/>
  <c r="F3941" i="2"/>
  <c r="B472" i="2"/>
  <c r="B1056" i="2"/>
  <c r="F4194" i="2"/>
  <c r="B4207" i="2"/>
  <c r="F3174" i="2"/>
  <c r="F2436" i="2"/>
  <c r="F330" i="2"/>
  <c r="F1708" i="2"/>
  <c r="B3175" i="2"/>
  <c r="B1059" i="2"/>
  <c r="F2639" i="2"/>
  <c r="F4379" i="2"/>
  <c r="B136" i="2"/>
  <c r="F220" i="2"/>
  <c r="B674" i="2"/>
  <c r="F2962" i="2"/>
  <c r="F1518" i="2"/>
  <c r="F2288" i="2"/>
  <c r="F3632" i="2"/>
  <c r="F2872" i="2"/>
  <c r="F3572" i="2"/>
  <c r="B4352" i="2"/>
  <c r="B877" i="2"/>
  <c r="B3925" i="2"/>
  <c r="F3614" i="2"/>
  <c r="F2949" i="2"/>
  <c r="B1121" i="2"/>
  <c r="B2764" i="2"/>
  <c r="B2181" i="2"/>
  <c r="F701" i="2"/>
  <c r="F2063" i="2"/>
  <c r="F3155" i="2"/>
  <c r="B4175" i="2"/>
  <c r="F1265" i="2"/>
  <c r="F4178" i="2"/>
  <c r="B2885" i="2"/>
  <c r="B3193" i="2"/>
  <c r="F422" i="2"/>
  <c r="B812" i="2"/>
  <c r="B1233" i="2"/>
  <c r="F4249" i="2"/>
  <c r="F88" i="2"/>
  <c r="B390" i="2"/>
  <c r="B719" i="2"/>
  <c r="F474" i="2"/>
  <c r="F4253" i="2"/>
  <c r="B1549" i="2"/>
  <c r="B2140" i="2"/>
  <c r="B3073" i="2"/>
  <c r="F131" i="2"/>
  <c r="B1095" i="2"/>
  <c r="F168" i="2"/>
  <c r="B588" i="2"/>
  <c r="B3605" i="2"/>
  <c r="F1459" i="2"/>
  <c r="F340" i="2"/>
  <c r="B653" i="2"/>
  <c r="F4223" i="2"/>
  <c r="B2621" i="2"/>
  <c r="F4418" i="2"/>
  <c r="F2948" i="2"/>
  <c r="F557" i="2"/>
  <c r="F3760" i="2"/>
  <c r="B545" i="2"/>
  <c r="B235" i="2"/>
  <c r="B242" i="2"/>
  <c r="B4254" i="2"/>
  <c r="B2152" i="2"/>
  <c r="B1741" i="2"/>
  <c r="B1195" i="2"/>
  <c r="B1078" i="2"/>
  <c r="F198" i="2"/>
  <c r="F2349" i="2"/>
  <c r="F3035" i="2"/>
  <c r="F2817" i="2"/>
  <c r="F1814" i="2"/>
  <c r="F4352" i="2"/>
  <c r="B4246" i="2"/>
  <c r="B4272" i="2"/>
  <c r="F4425" i="2"/>
  <c r="B3626" i="2"/>
  <c r="F1284" i="2"/>
  <c r="B1580" i="2"/>
  <c r="F3930" i="2"/>
  <c r="B4291" i="2"/>
  <c r="B4398" i="2"/>
  <c r="B191" i="2"/>
  <c r="B505" i="2"/>
  <c r="B4243" i="2"/>
  <c r="B654" i="2"/>
  <c r="F4061" i="2"/>
  <c r="F4422" i="2"/>
  <c r="F975" i="2"/>
  <c r="F1702" i="2"/>
  <c r="B1281" i="2"/>
  <c r="B291" i="2"/>
  <c r="F1549" i="2"/>
  <c r="B2247" i="2"/>
  <c r="B2963" i="2"/>
  <c r="B4181" i="2"/>
  <c r="F2934" i="2"/>
  <c r="F1134" i="2"/>
  <c r="B4404" i="2"/>
  <c r="B1506" i="2"/>
  <c r="B4055" i="2"/>
  <c r="F4177" i="2"/>
  <c r="B1472" i="2"/>
  <c r="F2501" i="2"/>
  <c r="F3158" i="2"/>
  <c r="F1716" i="2"/>
  <c r="B2817" i="2"/>
  <c r="F4405" i="2"/>
  <c r="B1088" i="2"/>
  <c r="F4165" i="2"/>
  <c r="B690" i="2"/>
  <c r="F1535" i="2"/>
  <c r="F797" i="2"/>
  <c r="F4224" i="2"/>
  <c r="F915" i="2"/>
  <c r="F3671" i="2"/>
  <c r="B386" i="2"/>
  <c r="F4261" i="2"/>
  <c r="F4139" i="2"/>
  <c r="B2654" i="2"/>
  <c r="F4404" i="2"/>
  <c r="B4066" i="2"/>
  <c r="B1341" i="2"/>
  <c r="B3568" i="2"/>
  <c r="B4106" i="2"/>
  <c r="F761" i="2"/>
  <c r="F640" i="2"/>
  <c r="B2607" i="2"/>
  <c r="F4335" i="2"/>
  <c r="F431" i="2"/>
  <c r="F2684" i="2"/>
  <c r="B2154" i="2"/>
  <c r="B215" i="2"/>
  <c r="F1809" i="2"/>
  <c r="B2429" i="2"/>
  <c r="B548" i="2"/>
  <c r="F2183" i="2"/>
  <c r="B2430" i="2"/>
  <c r="F87" i="2"/>
  <c r="B3968" i="2"/>
  <c r="F1658" i="2"/>
  <c r="F300" i="2"/>
  <c r="F1119" i="2"/>
  <c r="F834" i="2"/>
  <c r="B481" i="2"/>
  <c r="F427" i="2"/>
  <c r="B476" i="2"/>
  <c r="B1049" i="2"/>
  <c r="F1712" i="2"/>
  <c r="F851" i="2"/>
  <c r="B4115" i="2"/>
  <c r="B4220" i="2"/>
  <c r="F79" i="2"/>
  <c r="F3672" i="2"/>
  <c r="B3544" i="2"/>
  <c r="F1087" i="2"/>
  <c r="F94" i="2"/>
  <c r="B3395" i="2"/>
  <c r="B4367" i="2"/>
  <c r="B1654" i="2"/>
  <c r="F2659" i="2"/>
  <c r="F1281" i="2"/>
  <c r="F634" i="2"/>
  <c r="B4052" i="2"/>
  <c r="B2367" i="2"/>
  <c r="F2665" i="2"/>
  <c r="B593" i="2"/>
  <c r="B2551" i="2"/>
  <c r="F2669" i="2"/>
  <c r="B4200" i="2"/>
  <c r="B3672" i="2"/>
  <c r="F1266" i="2"/>
  <c r="B2182" i="2"/>
  <c r="F1283" i="2"/>
  <c r="B1120" i="2"/>
  <c r="B82" i="2"/>
  <c r="B4496" i="2"/>
  <c r="F476" i="2"/>
  <c r="B1934" i="2"/>
  <c r="B2604" i="2"/>
  <c r="B1117" i="2"/>
  <c r="B4507" i="2"/>
  <c r="B3834" i="2"/>
  <c r="B4310" i="2"/>
  <c r="B4402" i="2"/>
  <c r="F4285" i="2"/>
  <c r="F4028" i="2"/>
  <c r="F2175" i="2"/>
  <c r="B424" i="2"/>
  <c r="F4380" i="2"/>
  <c r="F1585" i="2"/>
  <c r="B3296" i="2"/>
  <c r="F3256" i="2"/>
  <c r="B735" i="2"/>
  <c r="F1069" i="2"/>
  <c r="B3285" i="2"/>
  <c r="F4308" i="2"/>
  <c r="F3658" i="2"/>
  <c r="B3954" i="2"/>
  <c r="F590" i="2"/>
  <c r="B169" i="2"/>
  <c r="B3958" i="2"/>
  <c r="F2164" i="2"/>
  <c r="B3623" i="2"/>
  <c r="F2604" i="2"/>
  <c r="B3622" i="2"/>
  <c r="B791" i="2"/>
  <c r="F239" i="2"/>
  <c r="F2857" i="2"/>
  <c r="B3587" i="2"/>
  <c r="B675" i="2"/>
  <c r="F1668" i="2"/>
  <c r="F3729" i="2"/>
  <c r="B2627" i="2"/>
  <c r="F2676" i="2"/>
  <c r="F333" i="2"/>
  <c r="B2949" i="2"/>
  <c r="F3806" i="2"/>
  <c r="F1096" i="2"/>
  <c r="B1659" i="2"/>
  <c r="B4478" i="2"/>
  <c r="F2603" i="2"/>
  <c r="B1303" i="2"/>
  <c r="F2107" i="2"/>
  <c r="B1660" i="2"/>
  <c r="B4058" i="2"/>
  <c r="F1771" i="2"/>
  <c r="B3630" i="2"/>
  <c r="B2750" i="2"/>
  <c r="F585" i="2"/>
  <c r="F739" i="2"/>
  <c r="B2202" i="2"/>
  <c r="F2180" i="2"/>
  <c r="B4491" i="2"/>
  <c r="B833" i="2"/>
  <c r="F3059" i="2"/>
  <c r="B2966" i="2"/>
  <c r="F3597" i="2"/>
  <c r="B1586" i="2"/>
  <c r="F2622" i="2"/>
  <c r="F3830" i="2"/>
  <c r="B832" i="2"/>
  <c r="F4058" i="2"/>
  <c r="B3923" i="2"/>
  <c r="B1191" i="2"/>
  <c r="B2676" i="2"/>
  <c r="B23" i="2"/>
  <c r="B4089" i="2"/>
  <c r="B4288" i="2"/>
  <c r="F1790" i="2"/>
  <c r="F1078" i="2"/>
  <c r="F4179" i="2"/>
  <c r="B3533" i="2"/>
  <c r="F303" i="2"/>
  <c r="B1420" i="2"/>
  <c r="B803" i="2"/>
  <c r="B1188" i="2"/>
  <c r="F940" i="2"/>
  <c r="B4016" i="2"/>
  <c r="F4345" i="2"/>
  <c r="B2756" i="2"/>
  <c r="F2415" i="2"/>
  <c r="F84" i="2"/>
  <c r="F2899" i="2"/>
  <c r="F651" i="2"/>
  <c r="B817" i="2"/>
  <c r="B2644" i="2"/>
  <c r="F2626" i="2"/>
  <c r="B2763" i="2"/>
  <c r="B1325" i="2"/>
  <c r="F335" i="2"/>
  <c r="B1535" i="2"/>
  <c r="F2648" i="2"/>
  <c r="F558" i="2"/>
  <c r="B566" i="2"/>
  <c r="F1664" i="2"/>
  <c r="F587" i="2"/>
  <c r="B1085" i="2"/>
  <c r="F1259" i="2"/>
  <c r="F4342" i="2"/>
  <c r="B1327" i="2"/>
  <c r="F1580" i="2"/>
  <c r="B3255" i="2"/>
  <c r="F4180" i="2"/>
  <c r="B594" i="2"/>
  <c r="F515" i="2"/>
  <c r="B1069" i="2"/>
  <c r="B2993" i="2"/>
  <c r="F1711" i="2"/>
  <c r="F3663" i="2"/>
  <c r="F2769" i="2"/>
  <c r="B1087" i="2"/>
  <c r="B3875" i="2"/>
  <c r="F463" i="2"/>
  <c r="F229" i="2"/>
  <c r="F2883" i="2"/>
  <c r="F3629" i="2"/>
  <c r="F694" i="2"/>
  <c r="F4441" i="2"/>
  <c r="B4461" i="2"/>
  <c r="B4118" i="2"/>
  <c r="F3217" i="2"/>
  <c r="F3168" i="2"/>
  <c r="B384" i="2"/>
  <c r="F1742" i="2"/>
  <c r="F4175" i="2"/>
  <c r="F2153" i="2"/>
  <c r="B538" i="2"/>
  <c r="F659" i="2"/>
  <c r="F699" i="2"/>
  <c r="F1740" i="2"/>
  <c r="B1074" i="2"/>
  <c r="B2921" i="2"/>
  <c r="F2748" i="2"/>
  <c r="B2951" i="2"/>
  <c r="F3157" i="2"/>
  <c r="B2163" i="2"/>
  <c r="B4290" i="2"/>
  <c r="F484" i="2"/>
  <c r="F3677" i="2"/>
  <c r="F2897" i="2"/>
  <c r="B1518" i="2"/>
  <c r="B4019" i="2"/>
  <c r="F4252" i="2"/>
  <c r="F184" i="2"/>
  <c r="F429" i="2"/>
  <c r="F494" i="2"/>
  <c r="F2442" i="2"/>
  <c r="F499" i="2"/>
  <c r="F2494" i="2"/>
  <c r="F3260" i="2"/>
  <c r="B340" i="2"/>
  <c r="B757" i="2"/>
  <c r="F3736" i="2"/>
  <c r="B2431" i="2"/>
  <c r="B2288" i="2"/>
  <c r="B420" i="2"/>
  <c r="B2684" i="2"/>
  <c r="B3662" i="2"/>
  <c r="F3156" i="2"/>
  <c r="F3521" i="2"/>
  <c r="F1953" i="2"/>
  <c r="F4060" i="2"/>
  <c r="B2936" i="2"/>
  <c r="F810" i="2"/>
  <c r="F3693" i="2"/>
  <c r="B554" i="2"/>
  <c r="F3756" i="2"/>
  <c r="F1706" i="2"/>
  <c r="B3647" i="2"/>
  <c r="B4443" i="2"/>
  <c r="F2165" i="2"/>
  <c r="B4091" i="2"/>
  <c r="F3748" i="2"/>
  <c r="B457" i="2"/>
  <c r="B333" i="2"/>
  <c r="B597" i="2"/>
  <c r="B1517" i="2"/>
  <c r="B1697" i="2"/>
  <c r="F193" i="2"/>
  <c r="B3157" i="2"/>
  <c r="B230" i="2"/>
  <c r="F4297" i="2"/>
  <c r="F1256" i="2"/>
  <c r="F4427" i="2"/>
  <c r="F3161" i="2"/>
  <c r="B1307" i="2"/>
  <c r="B1742" i="2"/>
  <c r="F1949" i="2"/>
  <c r="B3806" i="2"/>
  <c r="F3188" i="2"/>
  <c r="F505" i="2"/>
  <c r="B232" i="2"/>
  <c r="F4333" i="2"/>
  <c r="F3103" i="2"/>
  <c r="F683" i="2"/>
  <c r="B206" i="2"/>
  <c r="F1057" i="2"/>
  <c r="B1701" i="2"/>
  <c r="B2284" i="2"/>
  <c r="F390" i="2"/>
  <c r="F302" i="2"/>
  <c r="B2669" i="2"/>
  <c r="B2636" i="2"/>
  <c r="B4413" i="2"/>
  <c r="F207" i="2"/>
  <c r="B2651" i="2"/>
  <c r="F1604" i="2"/>
  <c r="F2756" i="2"/>
  <c r="B365" i="2"/>
  <c r="B539" i="2"/>
  <c r="F3972" i="2"/>
  <c r="B4311" i="2"/>
  <c r="B2236" i="2"/>
  <c r="F823" i="2"/>
  <c r="B1387" i="2"/>
  <c r="B695" i="2"/>
  <c r="B2497" i="2"/>
  <c r="B2283" i="2"/>
  <c r="B1716" i="2"/>
  <c r="B852" i="2"/>
  <c r="B3241" i="2"/>
  <c r="F2910" i="2"/>
  <c r="F3605" i="2"/>
  <c r="B183" i="2"/>
  <c r="B1835" i="2"/>
  <c r="F446" i="2"/>
  <c r="F691" i="2"/>
  <c r="B3962" i="2"/>
  <c r="B699" i="2"/>
  <c r="B2959" i="2"/>
  <c r="B1060" i="2"/>
  <c r="F3050" i="2"/>
  <c r="B1254" i="2"/>
  <c r="F654" i="2"/>
  <c r="B4381" i="2"/>
  <c r="F3759" i="2"/>
  <c r="B1935" i="2"/>
  <c r="F3719" i="2"/>
  <c r="F977" i="2"/>
  <c r="F2670" i="2"/>
  <c r="F800" i="2"/>
  <c r="B2313" i="2"/>
  <c r="B515" i="2"/>
  <c r="B4259" i="2"/>
  <c r="B642" i="2"/>
  <c r="B1721" i="2"/>
  <c r="F3845" i="2"/>
  <c r="F3592" i="2"/>
  <c r="F3407" i="2"/>
  <c r="F1726" i="2"/>
  <c r="F744" i="2"/>
  <c r="B4400" i="2"/>
  <c r="F3746" i="2"/>
  <c r="B2187" i="2"/>
  <c r="B2435" i="2"/>
  <c r="B197" i="2"/>
  <c r="B3845" i="2"/>
  <c r="F1095" i="2"/>
  <c r="F240" i="2"/>
  <c r="B2189" i="2"/>
  <c r="B816" i="2"/>
  <c r="B1080" i="2"/>
  <c r="B4231" i="2"/>
  <c r="F3078" i="2"/>
  <c r="F1503" i="2"/>
  <c r="B3922" i="2"/>
  <c r="B2863" i="2"/>
  <c r="B1853" i="2"/>
  <c r="B1073" i="2"/>
  <c r="F1704" i="2"/>
  <c r="F2685" i="2"/>
  <c r="F2096" i="2"/>
  <c r="F188" i="2"/>
  <c r="F1219" i="2"/>
  <c r="F662" i="2"/>
  <c r="F4085" i="2"/>
  <c r="F3977" i="2"/>
  <c r="B2880" i="2"/>
  <c r="F3831" i="2"/>
  <c r="F4396" i="2"/>
  <c r="B466" i="2"/>
  <c r="B2176" i="2"/>
  <c r="B1265" i="2"/>
  <c r="F1066" i="2"/>
  <c r="B416" i="2"/>
  <c r="B1309" i="2"/>
  <c r="B628" i="2"/>
  <c r="F536" i="2"/>
  <c r="B3057" i="2"/>
  <c r="F1717" i="2"/>
  <c r="F648" i="2"/>
  <c r="B651" i="2"/>
  <c r="B3089" i="2"/>
  <c r="B4489" i="2"/>
  <c r="F976" i="2"/>
  <c r="B935" i="2"/>
  <c r="F827" i="2"/>
  <c r="F934" i="2"/>
  <c r="B449" i="2"/>
  <c r="F4185" i="2"/>
  <c r="B2958" i="2"/>
  <c r="F2516" i="2"/>
  <c r="B1754" i="2"/>
  <c r="B4422" i="2"/>
  <c r="B540" i="2"/>
  <c r="B2878" i="2"/>
  <c r="F1950" i="2"/>
  <c r="F4123" i="2"/>
  <c r="F637" i="2"/>
  <c r="F228" i="2"/>
  <c r="F4367" i="2"/>
  <c r="F1034" i="2"/>
  <c r="F2292" i="2"/>
  <c r="F1187" i="2"/>
  <c r="F3395" i="2"/>
  <c r="B937" i="2"/>
  <c r="B1247" i="2"/>
  <c r="F4382" i="2"/>
  <c r="F1192" i="2"/>
  <c r="F4508" i="2"/>
  <c r="F1254" i="2"/>
  <c r="B2905" i="2"/>
  <c r="F4501" i="2"/>
  <c r="F4260" i="2"/>
  <c r="B4195" i="2"/>
  <c r="F506" i="2"/>
  <c r="B1175" i="2"/>
  <c r="B2820" i="2"/>
  <c r="B4403" i="2"/>
  <c r="B4447" i="2"/>
  <c r="B4363" i="2"/>
  <c r="B1946" i="2"/>
  <c r="B336" i="2"/>
  <c r="F344" i="2"/>
  <c r="B302" i="2"/>
  <c r="F4368" i="2"/>
  <c r="B1708" i="2"/>
  <c r="F2172" i="2"/>
  <c r="B1149" i="2"/>
  <c r="F2435" i="2"/>
  <c r="F4437" i="2"/>
  <c r="B3830" i="2"/>
  <c r="B2433" i="2"/>
  <c r="F4239" i="2"/>
  <c r="B4176" i="2"/>
  <c r="B2897" i="2"/>
  <c r="B244" i="2"/>
  <c r="B1707" i="2"/>
  <c r="B1246" i="2"/>
  <c r="F3579" i="2"/>
  <c r="F367" i="2"/>
  <c r="F936" i="2"/>
  <c r="B357" i="2"/>
  <c r="F551" i="2"/>
  <c r="B2889" i="2"/>
  <c r="F2753" i="2"/>
  <c r="B493" i="2"/>
  <c r="B4436" i="2"/>
  <c r="B648" i="2"/>
  <c r="B4166" i="2"/>
  <c r="F1654" i="2"/>
  <c r="F1530" i="2"/>
  <c r="B3832" i="2"/>
  <c r="B4068" i="2"/>
  <c r="F2971" i="2"/>
  <c r="F4025" i="2"/>
  <c r="F3104" i="2"/>
  <c r="B799" i="2"/>
  <c r="B4192" i="2"/>
  <c r="F1734" i="2"/>
  <c r="B3051" i="2"/>
  <c r="F2390" i="2"/>
  <c r="F3160" i="2"/>
  <c r="F1768" i="2"/>
  <c r="F4304" i="2"/>
  <c r="B151" i="2"/>
  <c r="B4490" i="2"/>
  <c r="B295" i="2"/>
  <c r="B1658" i="2"/>
  <c r="F80" i="2"/>
  <c r="F2430" i="2"/>
  <c r="F2289" i="2"/>
  <c r="B2876" i="2"/>
  <c r="B1955" i="2"/>
  <c r="F1186" i="2"/>
  <c r="F3604" i="2"/>
  <c r="F2875" i="2"/>
  <c r="F227" i="2"/>
  <c r="B2931" i="2"/>
  <c r="B366" i="2"/>
  <c r="B601" i="2"/>
  <c r="F791" i="2"/>
  <c r="B2902" i="2"/>
  <c r="F571" i="2"/>
  <c r="F291" i="2"/>
  <c r="B4142" i="2"/>
  <c r="B1236" i="2"/>
  <c r="F1269" i="2"/>
  <c r="B4306" i="2"/>
  <c r="F2181" i="2"/>
  <c r="B434" i="2"/>
  <c r="B3176" i="2"/>
  <c r="B4349" i="2"/>
  <c r="B3944" i="2"/>
  <c r="F835" i="2"/>
  <c r="B1147" i="2"/>
  <c r="F1778" i="2"/>
  <c r="F410" i="2"/>
  <c r="F3602" i="2"/>
  <c r="B599" i="2"/>
  <c r="F573" i="2"/>
  <c r="B1547" i="2"/>
  <c r="B2648" i="2"/>
  <c r="F3741" i="2"/>
  <c r="F804" i="2"/>
  <c r="B4224" i="2"/>
  <c r="B4244" i="2"/>
  <c r="F3647" i="2"/>
  <c r="B4189" i="2"/>
  <c r="B1672" i="2"/>
  <c r="F1093" i="2"/>
  <c r="B2307" i="2"/>
  <c r="F1470" i="2"/>
  <c r="B2973" i="2"/>
  <c r="F4229" i="2"/>
  <c r="F658" i="2"/>
  <c r="F1012" i="2"/>
  <c r="B516" i="2"/>
  <c r="B2063" i="2"/>
  <c r="F351" i="2"/>
  <c r="F926" i="2"/>
  <c r="B3748" i="2"/>
  <c r="F3841" i="2"/>
  <c r="B1068" i="2"/>
  <c r="B2882" i="2"/>
  <c r="F4234" i="2"/>
  <c r="F430" i="2"/>
  <c r="F4394" i="2"/>
  <c r="B2327" i="2"/>
  <c r="F266" i="2"/>
  <c r="F1088" i="2"/>
  <c r="F4066" i="2"/>
  <c r="F139" i="2"/>
  <c r="F1311" i="2"/>
  <c r="B3618" i="2"/>
  <c r="B4122" i="2"/>
  <c r="F2752" i="2"/>
  <c r="B831" i="2"/>
  <c r="B4105" i="2"/>
  <c r="F2008" i="2"/>
  <c r="B1079" i="2"/>
  <c r="B289" i="2"/>
  <c r="B2630" i="2"/>
  <c r="B226" i="2"/>
  <c r="F2280" i="2"/>
  <c r="B1530" i="2"/>
  <c r="F4432" i="2"/>
  <c r="F4250" i="2"/>
  <c r="B2363" i="2"/>
  <c r="B698" i="2"/>
  <c r="F2657" i="2"/>
  <c r="B1752" i="2"/>
  <c r="F629" i="2"/>
  <c r="F384" i="2"/>
  <c r="B2856" i="2"/>
  <c r="B4362" i="2"/>
  <c r="F409" i="2"/>
  <c r="B2877" i="2"/>
  <c r="F1352" i="2"/>
  <c r="F2602" i="2"/>
  <c r="F3873" i="2"/>
  <c r="F3252" i="2"/>
  <c r="F2364" i="2"/>
  <c r="F555" i="2"/>
  <c r="F4236" i="2"/>
  <c r="F3652" i="2"/>
  <c r="F1660" i="2"/>
  <c r="F821" i="2"/>
  <c r="B1575" i="2"/>
  <c r="F3296" i="2"/>
  <c r="B1784" i="2"/>
  <c r="B563" i="2"/>
  <c r="F1798" i="2"/>
  <c r="B705" i="2"/>
  <c r="B4221" i="2"/>
  <c r="F386" i="2"/>
  <c r="B1699" i="2"/>
  <c r="B2619" i="2"/>
  <c r="B360" i="2"/>
  <c r="B3831" i="2"/>
  <c r="F2678" i="2"/>
  <c r="B4061" i="2"/>
  <c r="F521" i="2"/>
  <c r="B1230" i="2"/>
  <c r="F1247" i="2"/>
  <c r="F93" i="2"/>
  <c r="F4125" i="2"/>
  <c r="B679" i="2"/>
  <c r="F1036" i="2"/>
  <c r="B4253" i="2"/>
  <c r="B3636" i="2"/>
  <c r="F329" i="2"/>
  <c r="F820" i="2"/>
  <c r="B3373" i="2"/>
  <c r="B3001" i="2"/>
  <c r="B4086" i="2"/>
  <c r="F1079" i="2"/>
  <c r="B3828" i="2"/>
  <c r="F1506" i="2"/>
  <c r="B3187" i="2"/>
  <c r="B1300" i="2"/>
  <c r="B490" i="2"/>
  <c r="B706" i="2"/>
  <c r="B4274" i="2"/>
  <c r="B3935" i="2"/>
  <c r="F4276" i="2"/>
  <c r="B4119" i="2"/>
  <c r="F1075" i="2"/>
  <c r="B1879" i="2"/>
  <c r="B559" i="2"/>
  <c r="F490" i="2"/>
  <c r="B430" i="2"/>
  <c r="F1929" i="2"/>
  <c r="F1263" i="2"/>
  <c r="B2670" i="2"/>
  <c r="B794" i="2"/>
  <c r="F4411" i="2"/>
  <c r="F2284" i="2"/>
  <c r="F3954" i="2"/>
  <c r="F3833" i="2"/>
  <c r="B2289" i="2"/>
  <c r="B3049" i="2"/>
  <c r="B3510" i="2"/>
  <c r="F3648" i="2"/>
  <c r="B2947" i="2"/>
  <c r="B3760" i="2"/>
  <c r="F2518" i="2"/>
  <c r="F205" i="2"/>
  <c r="F4054" i="2"/>
  <c r="F4173" i="2"/>
  <c r="B800" i="2"/>
  <c r="F652" i="2"/>
  <c r="F2434" i="2"/>
  <c r="B456" i="2"/>
  <c r="B2641" i="2"/>
  <c r="F3872" i="2"/>
  <c r="F1773" i="2"/>
  <c r="B3948" i="2"/>
  <c r="F1892" i="2"/>
  <c r="F1248" i="2"/>
  <c r="F749" i="2"/>
  <c r="B4199" i="2"/>
  <c r="B2664" i="2"/>
  <c r="F3839" i="2"/>
  <c r="B3106" i="2"/>
  <c r="B4226" i="2"/>
  <c r="B741" i="2"/>
  <c r="B2008" i="2"/>
  <c r="F1867" i="2"/>
  <c r="B4359" i="2"/>
  <c r="F566" i="2"/>
  <c r="B3197" i="2"/>
  <c r="B2439" i="2"/>
  <c r="F817" i="2"/>
  <c r="F4290" i="2"/>
  <c r="F1116" i="2"/>
  <c r="F2782" i="2"/>
  <c r="B1970" i="2"/>
  <c r="B2752" i="2"/>
  <c r="B3991" i="2"/>
  <c r="F3660" i="2"/>
  <c r="B4416" i="2"/>
  <c r="B3569" i="2"/>
  <c r="F388" i="2"/>
  <c r="F3105" i="2"/>
  <c r="B4180" i="2"/>
  <c r="F2675" i="2"/>
  <c r="F773" i="2"/>
  <c r="B708" i="2"/>
  <c r="B1930" i="2"/>
  <c r="B4090" i="2"/>
  <c r="B461" i="2"/>
  <c r="B2674" i="2"/>
  <c r="B3619" i="2"/>
  <c r="B3602" i="2"/>
  <c r="B2310" i="2"/>
  <c r="F2184" i="2"/>
  <c r="B3593" i="2"/>
  <c r="F2874" i="2"/>
  <c r="B2702" i="2"/>
  <c r="B3737" i="2"/>
  <c r="F1447" i="2"/>
  <c r="B292" i="2"/>
  <c r="F233" i="2"/>
  <c r="B3183" i="2"/>
  <c r="F4244" i="2"/>
  <c r="B3161" i="2"/>
  <c r="B4060" i="2"/>
  <c r="F1234" i="2"/>
  <c r="F3591" i="2"/>
  <c r="B3939" i="2"/>
  <c r="B4498" i="2"/>
  <c r="B4331" i="2"/>
  <c r="F338" i="2"/>
  <c r="F2970" i="2"/>
  <c r="B34" i="2"/>
  <c r="B492" i="2"/>
  <c r="F690" i="2"/>
  <c r="B1675" i="2"/>
  <c r="F2563" i="2"/>
  <c r="F1630" i="2"/>
  <c r="B4289" i="2"/>
  <c r="F1446" i="2"/>
  <c r="B3256" i="2"/>
  <c r="F3931" i="2"/>
  <c r="F3609" i="2"/>
  <c r="F777" i="2"/>
  <c r="B976" i="2"/>
  <c r="F3655" i="2"/>
  <c r="B573" i="2"/>
  <c r="F2906" i="2"/>
  <c r="B2178" i="2"/>
  <c r="B2844" i="2"/>
  <c r="B4487" i="2"/>
  <c r="F3649" i="2"/>
  <c r="B3453" i="2"/>
  <c r="F507" i="2"/>
  <c r="B3724" i="2"/>
  <c r="F1914" i="2"/>
  <c r="B2679" i="2"/>
  <c r="B4197" i="2"/>
  <c r="F1081" i="2"/>
  <c r="B3913" i="2"/>
  <c r="B1840" i="2"/>
  <c r="F3625" i="2"/>
  <c r="F2446" i="2"/>
  <c r="B2819" i="2"/>
  <c r="B2153" i="2"/>
  <c r="B532" i="2"/>
  <c r="F3936" i="2"/>
  <c r="B555" i="2"/>
  <c r="B1305" i="2"/>
  <c r="B3185" i="2"/>
  <c r="B3566" i="2"/>
  <c r="F2052" i="2"/>
  <c r="B4165" i="2"/>
  <c r="F3616" i="2"/>
  <c r="F214" i="2"/>
  <c r="F298" i="2"/>
  <c r="B3835" i="2"/>
  <c r="F3938" i="2"/>
  <c r="B2927" i="2"/>
  <c r="B1187" i="2"/>
  <c r="B2502" i="2"/>
  <c r="B2898" i="2"/>
  <c r="F1701" i="2"/>
  <c r="F3734" i="2"/>
  <c r="F4403" i="2"/>
  <c r="F1314" i="2"/>
  <c r="F3958" i="2"/>
  <c r="B1531" i="2"/>
  <c r="F818" i="2"/>
  <c r="F2178" i="2"/>
  <c r="F3842" i="2"/>
  <c r="B418" i="2"/>
  <c r="B2883" i="2"/>
  <c r="F3076" i="2"/>
  <c r="B488" i="2"/>
  <c r="B551" i="2"/>
  <c r="B1719" i="2"/>
  <c r="F2862" i="2"/>
  <c r="F703" i="2"/>
  <c r="F693" i="2"/>
  <c r="B1081" i="2"/>
  <c r="F3871" i="2"/>
  <c r="B662" i="2"/>
  <c r="F4067" i="2"/>
  <c r="B1837" i="2"/>
  <c r="B2659" i="2"/>
  <c r="F1719" i="2"/>
  <c r="B1772" i="2"/>
  <c r="B4107" i="2"/>
  <c r="F4071" i="2"/>
  <c r="F336" i="2"/>
  <c r="B306" i="2"/>
  <c r="F1599" i="2"/>
  <c r="F3732" i="2"/>
  <c r="B2686" i="2"/>
  <c r="B495" i="2"/>
  <c r="B3969" i="2"/>
  <c r="F1061" i="2"/>
  <c r="B3107" i="2"/>
  <c r="F3940" i="2"/>
  <c r="B658" i="2"/>
  <c r="F1796" i="2"/>
  <c r="F1577" i="2"/>
  <c r="B2598" i="2"/>
  <c r="F734" i="2"/>
  <c r="B806" i="2"/>
  <c r="B3858" i="2"/>
  <c r="F1194" i="2"/>
  <c r="F3622" i="2"/>
  <c r="B4260" i="2"/>
  <c r="F4277" i="2"/>
  <c r="B938" i="2"/>
  <c r="B4480" i="2"/>
  <c r="F242" i="2"/>
  <c r="B3974" i="2"/>
  <c r="B3743" i="2"/>
  <c r="F2959" i="2"/>
  <c r="F2908" i="2"/>
  <c r="F1947" i="2"/>
  <c r="F3061" i="2"/>
  <c r="B1302" i="2"/>
  <c r="B3949" i="2"/>
  <c r="B3905" i="2"/>
  <c r="B1264" i="2"/>
  <c r="B350" i="2"/>
  <c r="F4072" i="2"/>
  <c r="B2638" i="2"/>
  <c r="F3947" i="2"/>
  <c r="F1972" i="2"/>
  <c r="F1471" i="2"/>
  <c r="F288" i="2"/>
  <c r="B1666" i="2"/>
  <c r="F9" i="5"/>
  <c r="B602" i="2"/>
  <c r="B3680" i="2"/>
  <c r="F3937" i="2"/>
  <c r="F366" i="2"/>
  <c r="B2770" i="2"/>
  <c r="B2667" i="2"/>
  <c r="B217" i="2"/>
  <c r="F2762" i="2"/>
  <c r="B266" i="2"/>
  <c r="B3170" i="2"/>
  <c r="B3930" i="2"/>
  <c r="F824" i="2"/>
  <c r="B2662" i="2"/>
  <c r="B3936" i="2"/>
  <c r="F3187" i="2"/>
  <c r="B4408" i="2"/>
  <c r="B2767" i="2"/>
  <c r="F467" i="2"/>
  <c r="F3053" i="2"/>
  <c r="F3901" i="2"/>
  <c r="B1133" i="2"/>
  <c r="F2431" i="2"/>
  <c r="F349" i="2"/>
  <c r="F2427" i="2"/>
  <c r="B469" i="2"/>
  <c r="B3200" i="2"/>
  <c r="B2652" i="2"/>
  <c r="F2901" i="2"/>
  <c r="B1259" i="2"/>
  <c r="B3740" i="2"/>
  <c r="F2529" i="2"/>
  <c r="B2859" i="2"/>
  <c r="B1505" i="2"/>
  <c r="B3921" i="2"/>
  <c r="B2997" i="2"/>
  <c r="B1084" i="2"/>
  <c r="B1926" i="2"/>
  <c r="B3720" i="2"/>
  <c r="F2737" i="2"/>
  <c r="B2446" i="2"/>
  <c r="B4394" i="2"/>
  <c r="F1058" i="2"/>
  <c r="B498" i="2"/>
  <c r="B78" i="2"/>
  <c r="F4344" i="2"/>
  <c r="F1927" i="2"/>
  <c r="B4111" i="2"/>
  <c r="B734" i="2"/>
  <c r="B1510" i="2"/>
  <c r="F687" i="2"/>
  <c r="B4223" i="2"/>
  <c r="B212" i="2"/>
  <c r="B133" i="2"/>
  <c r="B3659" i="2"/>
  <c r="B722" i="2"/>
  <c r="F2283" i="2"/>
  <c r="F4505" i="2"/>
  <c r="F1517" i="2"/>
  <c r="B3759" i="2"/>
  <c r="F481" i="2"/>
  <c r="B296" i="2"/>
  <c r="B1667" i="2"/>
  <c r="B4492" i="2"/>
  <c r="F117" i="2"/>
  <c r="B1330" i="2"/>
  <c r="B915" i="2"/>
  <c r="B3610" i="2"/>
  <c r="B4497" i="2"/>
  <c r="F470" i="2"/>
  <c r="B1736" i="2"/>
  <c r="F4092" i="2"/>
  <c r="F3772" i="2"/>
  <c r="F4201" i="2"/>
  <c r="B4087" i="2"/>
  <c r="B3660" i="2"/>
  <c r="B129" i="2"/>
  <c r="B3318" i="2"/>
  <c r="F3620" i="2"/>
  <c r="F301" i="2"/>
  <c r="F539" i="2"/>
  <c r="B4519" i="2"/>
  <c r="F1669" i="2"/>
  <c r="F4339" i="2"/>
  <c r="B1815" i="2"/>
  <c r="B4227" i="2"/>
  <c r="F854" i="2"/>
  <c r="B1470" i="2"/>
  <c r="B508" i="2"/>
  <c r="B2995" i="2"/>
  <c r="F480" i="2"/>
  <c r="F3169" i="2"/>
  <c r="F1478" i="2"/>
  <c r="F503" i="2"/>
  <c r="B4530" i="2"/>
  <c r="B1173" i="2"/>
  <c r="B568" i="2"/>
  <c r="B1933" i="2"/>
  <c r="F4497" i="2"/>
  <c r="F369" i="2"/>
  <c r="B56" i="2"/>
  <c r="B204" i="2"/>
  <c r="B3924" i="2"/>
  <c r="B2701" i="2"/>
  <c r="B1709" i="2"/>
  <c r="F4426" i="2"/>
  <c r="B4293" i="2"/>
  <c r="B3651" i="2"/>
  <c r="B3656" i="2"/>
  <c r="B4502" i="2"/>
  <c r="B3646" i="2"/>
  <c r="F3721" i="2"/>
  <c r="F2174" i="2"/>
  <c r="B3833" i="2"/>
  <c r="F82" i="2"/>
  <c r="B1822" i="2"/>
  <c r="B931" i="2"/>
  <c r="B2605" i="2"/>
  <c r="B807" i="2"/>
  <c r="B3961" i="2"/>
  <c r="B4292" i="2"/>
  <c r="B460" i="2"/>
  <c r="B480" i="2"/>
  <c r="F1302" i="2"/>
  <c r="B753" i="2"/>
  <c r="F3921" i="2"/>
  <c r="B1867" i="2"/>
  <c r="F1926" i="2"/>
  <c r="B4396" i="2"/>
  <c r="B3466" i="2"/>
  <c r="B3340" i="2"/>
  <c r="B2645" i="2"/>
  <c r="B3978" i="2"/>
  <c r="B4051" i="2"/>
  <c r="B810" i="2"/>
  <c r="B239" i="2"/>
  <c r="B3604" i="2"/>
  <c r="B659" i="2"/>
  <c r="F3960" i="2"/>
  <c r="B3741" i="2"/>
  <c r="B775" i="2"/>
  <c r="F1245" i="2"/>
  <c r="B2305" i="2"/>
  <c r="B1956" i="2"/>
  <c r="F3832" i="2"/>
  <c r="B140" i="2"/>
  <c r="F450" i="2"/>
  <c r="B761" i="2"/>
  <c r="F1879" i="2"/>
  <c r="F751" i="2"/>
  <c r="B1718" i="2"/>
  <c r="F3838" i="2"/>
  <c r="B1713" i="2"/>
  <c r="F809" i="2"/>
  <c r="B448" i="2"/>
  <c r="F2672" i="2"/>
  <c r="B2493" i="2"/>
  <c r="B1257" i="2"/>
  <c r="B4255" i="2"/>
  <c r="B3725" i="2"/>
  <c r="B4072" i="2"/>
  <c r="B4050" i="2"/>
  <c r="F3771" i="2"/>
  <c r="F1584" i="2"/>
  <c r="B1841" i="2"/>
  <c r="F646" i="2"/>
  <c r="B4483" i="2"/>
  <c r="F4424" i="2"/>
  <c r="F2947" i="2"/>
  <c r="B3973" i="2"/>
  <c r="B3904" i="2"/>
  <c r="F2992" i="2"/>
  <c r="F2664" i="2"/>
  <c r="F196" i="2"/>
  <c r="B4327" i="2"/>
  <c r="F1513" i="2"/>
  <c r="B3329" i="2"/>
  <c r="B3906" i="2"/>
  <c r="F3934" i="2"/>
  <c r="F1737" i="2"/>
  <c r="F86" i="2"/>
  <c r="F4172" i="2"/>
  <c r="F4476" i="2"/>
  <c r="B485" i="2"/>
  <c r="F1267" i="2"/>
  <c r="F1752" i="2"/>
  <c r="B4022" i="2"/>
  <c r="B4354" i="2"/>
  <c r="B692" i="2"/>
  <c r="F3913" i="2"/>
  <c r="F544" i="2"/>
  <c r="B561" i="2"/>
  <c r="F1064" i="2"/>
  <c r="F816" i="2"/>
  <c r="F3453" i="2"/>
  <c r="F4448" i="2"/>
  <c r="B4140" i="2"/>
  <c r="F1891" i="2"/>
  <c r="B4353" i="2"/>
  <c r="F4413" i="2"/>
  <c r="B1261" i="2"/>
  <c r="B1034" i="2"/>
  <c r="B506" i="2"/>
  <c r="B501" i="2"/>
  <c r="F2677" i="2"/>
  <c r="F1445" i="2"/>
  <c r="B4426" i="2"/>
  <c r="F3745" i="2"/>
  <c r="B205" i="2"/>
  <c r="F938" i="2"/>
  <c r="B2969" i="2"/>
  <c r="B1504" i="2"/>
  <c r="F3263" i="2"/>
  <c r="B3805" i="2"/>
  <c r="B1728" i="2"/>
  <c r="F3753" i="2"/>
  <c r="F406" i="2"/>
  <c r="B233" i="2"/>
  <c r="B2177" i="2"/>
  <c r="B1903" i="2"/>
  <c r="B3907" i="2"/>
  <c r="F2460" i="2"/>
  <c r="B547" i="2"/>
  <c r="F742" i="2"/>
  <c r="F1984" i="2"/>
  <c r="F2751" i="2"/>
  <c r="B1785" i="2"/>
  <c r="F2859" i="2"/>
  <c r="B4178" i="2"/>
  <c r="F4356" i="2"/>
  <c r="B2440" i="2"/>
  <c r="F4022" i="2"/>
  <c r="B1794" i="2"/>
  <c r="F3621" i="2"/>
  <c r="F4070" i="2"/>
  <c r="F4445" i="2"/>
  <c r="F2749" i="2"/>
  <c r="F4461" i="2"/>
  <c r="B1947" i="2"/>
  <c r="F1121" i="2"/>
  <c r="F169" i="2"/>
  <c r="B101" i="2"/>
  <c r="B3964" i="2"/>
  <c r="B479" i="2"/>
  <c r="F2651" i="2"/>
  <c r="F1516" i="2"/>
  <c r="B3903" i="2"/>
  <c r="B134" i="2"/>
  <c r="F3628" i="2"/>
  <c r="F456" i="2"/>
  <c r="F1519" i="2"/>
  <c r="F3606" i="2"/>
  <c r="B1929" i="2"/>
  <c r="F3581" i="2"/>
  <c r="B1459" i="2"/>
  <c r="F4401" i="2"/>
  <c r="B4302" i="2"/>
  <c r="F2892" i="2"/>
  <c r="B1071" i="2"/>
  <c r="F4337" i="2"/>
  <c r="B836" i="2"/>
  <c r="F4504" i="2"/>
  <c r="B3055" i="2"/>
  <c r="B334" i="2"/>
  <c r="F4242" i="2"/>
  <c r="B3624" i="2"/>
  <c r="B458" i="2"/>
  <c r="F4193" i="2"/>
  <c r="B3928" i="2"/>
  <c r="B299" i="2"/>
  <c r="B2309" i="2"/>
  <c r="B930" i="2"/>
  <c r="F1741" i="2"/>
  <c r="B293" i="2"/>
  <c r="F129" i="2"/>
  <c r="B4341" i="2"/>
  <c r="F4334" i="2"/>
  <c r="F2771" i="2"/>
  <c r="F1582" i="2"/>
  <c r="B804" i="2"/>
  <c r="F2682" i="2"/>
  <c r="F4289" i="2"/>
  <c r="B928" i="2"/>
  <c r="B1037" i="2"/>
  <c r="F3735" i="2"/>
  <c r="B4481" i="2"/>
  <c r="B4026" i="2"/>
  <c r="B1793" i="2"/>
  <c r="F2765" i="2"/>
  <c r="F512" i="2"/>
  <c r="F4366" i="2"/>
  <c r="F4068" i="2"/>
  <c r="F215" i="2"/>
  <c r="B4309" i="2"/>
  <c r="B1447" i="2"/>
  <c r="F3142" i="2"/>
  <c r="B3658" i="2"/>
  <c r="B796" i="2"/>
  <c r="F83" i="2"/>
  <c r="B570" i="2"/>
  <c r="F238" i="2"/>
  <c r="F2041" i="2"/>
  <c r="F3670" i="2"/>
  <c r="B4418" i="2"/>
  <c r="F1675" i="2"/>
  <c r="F3949" i="2"/>
  <c r="B818" i="2"/>
  <c r="F723" i="2"/>
  <c r="F1023" i="2"/>
  <c r="F3189" i="2"/>
  <c r="B4141" i="2"/>
  <c r="B4493" i="2"/>
  <c r="F359" i="2"/>
  <c r="B335" i="2"/>
  <c r="B491" i="2"/>
  <c r="B2904" i="2"/>
  <c r="F1835" i="2"/>
  <c r="F1839" i="2"/>
  <c r="B4414" i="2"/>
  <c r="B3952" i="2"/>
  <c r="B1160" i="2"/>
  <c r="F1059" i="2"/>
  <c r="F2313" i="2"/>
  <c r="B3735" i="2"/>
  <c r="F2625" i="2"/>
  <c r="F4237" i="2"/>
  <c r="B1653" i="2"/>
  <c r="B3678" i="2"/>
  <c r="B502" i="2"/>
  <c r="F447" i="2"/>
  <c r="B1838" i="2"/>
  <c r="F1055" i="2"/>
  <c r="B2906" i="2"/>
  <c r="F953" i="2"/>
  <c r="F853" i="2"/>
  <c r="F1084" i="2"/>
  <c r="B3657" i="2"/>
  <c r="F2750" i="2"/>
  <c r="B2602" i="2"/>
  <c r="F594" i="2"/>
  <c r="F217" i="2"/>
  <c r="F231" i="2"/>
  <c r="B2970" i="2"/>
  <c r="F4016" i="2"/>
  <c r="B4405" i="2"/>
  <c r="F243" i="2"/>
  <c r="B851" i="2"/>
  <c r="B3198" i="2"/>
  <c r="B839" i="2"/>
  <c r="F225" i="2"/>
  <c r="F4295" i="2"/>
  <c r="F1301" i="2"/>
  <c r="B413" i="2"/>
  <c r="F2821" i="2"/>
  <c r="B4251" i="2"/>
  <c r="F2448" i="2"/>
  <c r="F1792" i="2"/>
  <c r="B1948" i="2"/>
  <c r="F3723" i="2"/>
  <c r="B3957" i="2"/>
  <c r="B630" i="2"/>
  <c r="B2924" i="2"/>
  <c r="F164" i="2"/>
  <c r="F674" i="2"/>
  <c r="F206" i="2"/>
  <c r="F1038" i="2"/>
  <c r="F4464" i="2"/>
  <c r="F4245" i="2"/>
  <c r="F939" i="2"/>
  <c r="F930" i="2"/>
  <c r="F4414" i="2"/>
  <c r="F631" i="2"/>
  <c r="F4020" i="2"/>
  <c r="B3643" i="2"/>
  <c r="F3261" i="2"/>
  <c r="F3706" i="2"/>
  <c r="B3196" i="2"/>
  <c r="B1066" i="2"/>
  <c r="B2188" i="2"/>
  <c r="F2326" i="2"/>
  <c r="B3465" i="2"/>
  <c r="F3049" i="2"/>
  <c r="B1500" i="2"/>
  <c r="F4287" i="2"/>
  <c r="B2873" i="2"/>
  <c r="F927" i="2"/>
  <c r="F1268" i="2"/>
  <c r="F1970" i="2"/>
  <c r="F4329" i="2"/>
  <c r="B3609" i="2"/>
  <c r="F137" i="2"/>
  <c r="F1507" i="2"/>
  <c r="B4179" i="2"/>
  <c r="F1699" i="2"/>
  <c r="B1269" i="2"/>
  <c r="B2052" i="2"/>
  <c r="B933" i="2"/>
  <c r="B2660" i="2"/>
  <c r="B3189" i="2"/>
  <c r="F2754" i="2"/>
  <c r="F2890" i="2"/>
  <c r="B1574" i="2"/>
  <c r="F4101" i="2"/>
  <c r="F2621" i="2"/>
  <c r="F550" i="2"/>
  <c r="F1534" i="2"/>
  <c r="B3620" i="2"/>
  <c r="F3631" i="2"/>
  <c r="F304" i="2"/>
  <c r="F2907" i="2"/>
  <c r="F458" i="2"/>
  <c r="B3230" i="2"/>
  <c r="B332" i="2"/>
  <c r="F1852" i="2"/>
  <c r="F4251" i="2"/>
  <c r="F4183" i="2"/>
  <c r="B1775" i="2"/>
  <c r="F498" i="2"/>
  <c r="F4307" i="2"/>
  <c r="B4113" i="2"/>
  <c r="B2978" i="2"/>
  <c r="B756" i="2"/>
  <c r="F1477" i="2"/>
  <c r="F510" i="2"/>
  <c r="B484" i="2"/>
  <c r="B1238" i="2"/>
  <c r="B2934" i="2"/>
  <c r="B3384" i="2"/>
  <c r="F3384" i="2"/>
  <c r="B4233" i="2"/>
  <c r="B1823" i="2"/>
  <c r="B4102" i="2"/>
  <c r="F593" i="2"/>
  <c r="F337" i="2"/>
  <c r="F2315" i="2"/>
  <c r="B2671" i="2"/>
  <c r="F1551" i="2"/>
  <c r="F2294" i="2"/>
  <c r="B3228" i="2"/>
  <c r="B1722" i="2"/>
  <c r="F753" i="2"/>
  <c r="F1667" i="2"/>
  <c r="B1600" i="2"/>
  <c r="F2687" i="2"/>
  <c r="F3119" i="2"/>
  <c r="B2891" i="2"/>
  <c r="B3846" i="2"/>
  <c r="F1282" i="2"/>
  <c r="F1698" i="2"/>
  <c r="F407" i="2"/>
  <c r="F792" i="2"/>
  <c r="F3454" i="2"/>
  <c r="F1954" i="2"/>
  <c r="B1501" i="2"/>
  <c r="F561" i="2"/>
  <c r="F599" i="2"/>
  <c r="F1745" i="2"/>
  <c r="F2403" i="2"/>
  <c r="B2175" i="2"/>
  <c r="F1174" i="2"/>
  <c r="B3838" i="2"/>
  <c r="F2598" i="2"/>
  <c r="F4314" i="2"/>
  <c r="F3720" i="2"/>
  <c r="B338" i="2"/>
  <c r="B2118" i="2"/>
  <c r="F2878" i="2"/>
  <c r="F3966" i="2"/>
  <c r="B2893" i="2"/>
  <c r="B2962" i="2"/>
  <c r="B940" i="2"/>
  <c r="F3259" i="2"/>
  <c r="B3130" i="2"/>
  <c r="F1160" i="2"/>
  <c r="B1365" i="2"/>
  <c r="B4433" i="2"/>
  <c r="B1957" i="2"/>
  <c r="B2675" i="2"/>
  <c r="B4430" i="2"/>
  <c r="B3177" i="2"/>
  <c r="B1968" i="2"/>
  <c r="B1148" i="2"/>
  <c r="F719" i="2"/>
  <c r="F2159" i="2"/>
  <c r="B3431" i="2"/>
  <c r="B3633" i="2"/>
  <c r="F4207" i="2"/>
  <c r="B2642" i="2"/>
  <c r="F297" i="2"/>
  <c r="B1122" i="2"/>
  <c r="B3582" i="2"/>
  <c r="F2074" i="2"/>
  <c r="F3163" i="2"/>
  <c r="B614" i="2"/>
  <c r="F2805" i="2"/>
  <c r="F2551" i="2"/>
  <c r="B2965" i="2"/>
  <c r="B2443" i="2"/>
  <c r="F1671" i="2"/>
  <c r="B3104" i="2"/>
  <c r="B744" i="2"/>
  <c r="F4357" i="2"/>
  <c r="F913" i="2"/>
  <c r="F4120" i="2"/>
  <c r="F1444" i="2"/>
  <c r="B114" i="2"/>
  <c r="F3926" i="2"/>
  <c r="B571" i="2"/>
  <c r="B3932" i="2"/>
  <c r="F3922" i="2"/>
  <c r="F4278" i="2"/>
  <c r="B2954" i="2"/>
  <c r="F2767" i="2"/>
  <c r="B4437" i="2"/>
  <c r="F3974" i="2"/>
  <c r="F1054" i="2"/>
  <c r="B2562" i="2"/>
  <c r="F1837" i="2"/>
  <c r="B1249" i="2"/>
  <c r="F1730" i="2"/>
  <c r="B428" i="2"/>
  <c r="B4185" i="2"/>
  <c r="F3991" i="2"/>
  <c r="B4124" i="2"/>
  <c r="B4018" i="2"/>
  <c r="F757" i="2"/>
  <c r="F2575" i="2"/>
  <c r="F2700" i="2"/>
  <c r="F1083" i="2"/>
  <c r="F2628" i="2"/>
  <c r="F4093" i="2"/>
  <c r="B464" i="2"/>
  <c r="B4345" i="2"/>
  <c r="B2306" i="2"/>
  <c r="F889" i="2"/>
  <c r="B814" i="2"/>
  <c r="B4112" i="2"/>
  <c r="F4301" i="2"/>
  <c r="B2362" i="2"/>
  <c r="B746" i="2"/>
  <c r="F2663" i="2"/>
  <c r="B643" i="2"/>
  <c r="F2186" i="2"/>
  <c r="B3102" i="2"/>
  <c r="B748" i="2"/>
  <c r="B778" i="2"/>
  <c r="B1189" i="2"/>
  <c r="F2630" i="2"/>
  <c r="B3937" i="2"/>
  <c r="F4399" i="2"/>
  <c r="F4164" i="2"/>
  <c r="B4506" i="2"/>
  <c r="F2161" i="2"/>
  <c r="F932" i="2"/>
  <c r="F1249" i="2"/>
  <c r="B2159" i="2"/>
  <c r="B3202" i="2"/>
  <c r="F3737" i="2"/>
  <c r="B113" i="2"/>
  <c r="B4283" i="2"/>
  <c r="B2950" i="2"/>
  <c r="B941" i="2"/>
  <c r="F2952" i="2"/>
  <c r="F3180" i="2"/>
  <c r="B67" i="2"/>
  <c r="B4123" i="2"/>
  <c r="B702" i="2"/>
  <c r="B1231" i="2"/>
  <c r="B3258" i="2"/>
  <c r="B650" i="2"/>
  <c r="B3642" i="2"/>
  <c r="B2976" i="2"/>
  <c r="B1662" i="2"/>
  <c r="B2285" i="2"/>
  <c r="B1194" i="2"/>
  <c r="F3844" i="2"/>
  <c r="B3585" i="2"/>
  <c r="F776" i="2"/>
  <c r="B86" i="2"/>
  <c r="B419" i="2"/>
  <c r="F368" i="2"/>
  <c r="F1750" i="2"/>
  <c r="F4292" i="2"/>
  <c r="F4280" i="2"/>
  <c r="B1789" i="2"/>
  <c r="F4050" i="2"/>
  <c r="F3973" i="2"/>
  <c r="B3182" i="2"/>
  <c r="B1094" i="2"/>
  <c r="B3738" i="2"/>
  <c r="B1119" i="2"/>
  <c r="B2757" i="2"/>
  <c r="B4204" i="2"/>
  <c r="F1070" i="2"/>
  <c r="B361" i="2"/>
  <c r="F2652" i="2"/>
  <c r="F1289" i="2"/>
  <c r="F118" i="2"/>
  <c r="F901" i="2"/>
  <c r="B701" i="2"/>
  <c r="F1353" i="2"/>
  <c r="B3731" i="2"/>
  <c r="F3532" i="2"/>
  <c r="F3643" i="2"/>
  <c r="F560" i="2"/>
  <c r="B3591" i="2"/>
  <c r="F1500" i="2"/>
  <c r="B1617" i="2"/>
  <c r="B1686" i="2"/>
  <c r="B2700" i="2"/>
  <c r="F2997" i="2"/>
  <c r="B2748" i="2"/>
  <c r="F4073" i="2"/>
  <c r="B4446" i="2"/>
  <c r="B3649" i="2"/>
  <c r="B3975" i="2"/>
  <c r="F4187" i="2"/>
  <c r="B3599" i="2"/>
  <c r="B3581" i="2"/>
  <c r="F597" i="2"/>
  <c r="B3180" i="2"/>
  <c r="F4272" i="2"/>
  <c r="B1282" i="2"/>
  <c r="F655" i="2"/>
  <c r="B2922" i="2"/>
  <c r="F1280" i="2"/>
  <c r="F707" i="2"/>
  <c r="F3835" i="2"/>
  <c r="B645" i="2"/>
  <c r="B1641" i="2"/>
  <c r="F183" i="2"/>
  <c r="B2868" i="2"/>
  <c r="F1110" i="2"/>
  <c r="B4027" i="2"/>
  <c r="B2445" i="2"/>
  <c r="B2426" i="2"/>
  <c r="F1288" i="2"/>
  <c r="F2502" i="2"/>
  <c r="B2996" i="2"/>
  <c r="F1172" i="2"/>
  <c r="F3876" i="2"/>
  <c r="B45" i="2"/>
  <c r="F2160" i="2"/>
  <c r="B4182" i="2"/>
  <c r="B1717" i="2"/>
  <c r="B3669" i="2"/>
  <c r="B474" i="2"/>
  <c r="F4107" i="2"/>
  <c r="B2858" i="2"/>
  <c r="F4502" i="2"/>
  <c r="F4086" i="2"/>
  <c r="B4482" i="2"/>
  <c r="B1475" i="2"/>
  <c r="B2687" i="2"/>
  <c r="F4358" i="2"/>
  <c r="F4062" i="2"/>
  <c r="F3047" i="2"/>
  <c r="F595" i="2"/>
  <c r="B3167" i="2"/>
  <c r="F4351" i="2"/>
  <c r="F813" i="2"/>
  <c r="B1507" i="2"/>
  <c r="B1239" i="2"/>
  <c r="F1509" i="2"/>
  <c r="F3307" i="2"/>
  <c r="F353" i="2"/>
  <c r="F1476" i="2"/>
  <c r="F1448" i="2"/>
  <c r="F3638" i="2"/>
  <c r="F1581" i="2"/>
  <c r="B4295" i="2"/>
  <c r="F3593" i="2"/>
  <c r="F2673" i="2"/>
  <c r="B1729" i="2"/>
  <c r="F4507" i="2"/>
  <c r="F3920" i="2"/>
  <c r="B1208" i="2"/>
  <c r="F695" i="2"/>
  <c r="F348" i="2"/>
  <c r="B504" i="2"/>
  <c r="B760" i="2"/>
  <c r="F486" i="2"/>
  <c r="F1398" i="2"/>
  <c r="B3172" i="2"/>
  <c r="B829" i="2"/>
  <c r="B3655" i="2"/>
  <c r="B1061" i="2"/>
  <c r="B486" i="2"/>
  <c r="B644" i="2"/>
  <c r="B88" i="2"/>
  <c r="F2955" i="2"/>
  <c r="B2161" i="2"/>
  <c r="B2291" i="2"/>
  <c r="F2310" i="2"/>
  <c r="F2307" i="2"/>
  <c r="F1865" i="2"/>
  <c r="B1818" i="2"/>
  <c r="F3568" i="2"/>
  <c r="F1736" i="2"/>
  <c r="B2952" i="2"/>
  <c r="F4112" i="2"/>
  <c r="B1663" i="2"/>
  <c r="F3178" i="2"/>
  <c r="B2665" i="2"/>
  <c r="B470" i="2"/>
  <c r="B2866" i="2"/>
  <c r="F1118" i="2"/>
  <c r="B1892" i="2"/>
  <c r="F343" i="2"/>
  <c r="F747" i="2"/>
  <c r="B4439" i="2"/>
  <c r="F2129" i="2"/>
  <c r="F3600" i="2"/>
  <c r="B478" i="2"/>
  <c r="F3916" i="2"/>
  <c r="B3836" i="2"/>
  <c r="B4067" i="2"/>
  <c r="B4218" i="2"/>
  <c r="F3318" i="2"/>
  <c r="B1251" i="2"/>
  <c r="B4366" i="2"/>
  <c r="F4186" i="2"/>
  <c r="F567" i="2"/>
  <c r="B2447" i="2"/>
  <c r="B1812" i="2"/>
  <c r="B4206" i="2"/>
  <c r="B4325" i="2"/>
  <c r="B697" i="2"/>
  <c r="F3419" i="2"/>
  <c r="F393" i="2"/>
  <c r="B2437" i="2"/>
  <c r="F4346" i="2"/>
  <c r="B696" i="2"/>
  <c r="F598" i="2"/>
  <c r="F518" i="2"/>
  <c r="F2599" i="2"/>
  <c r="B4503" i="2"/>
  <c r="F1662" i="2"/>
  <c r="B318" i="2"/>
  <c r="F3908" i="2"/>
  <c r="F3718" i="2"/>
  <c r="B1090" i="2"/>
  <c r="F3175" i="2"/>
  <c r="F2155" i="2"/>
  <c r="B188" i="2"/>
  <c r="F1148" i="2"/>
  <c r="B3201" i="2"/>
  <c r="B2677" i="2"/>
  <c r="B3260" i="2"/>
  <c r="F2189" i="2"/>
  <c r="B300" i="2"/>
  <c r="B544" i="2"/>
  <c r="B3742" i="2"/>
  <c r="F3651" i="2"/>
  <c r="B2618" i="2"/>
  <c r="B660" i="2"/>
  <c r="B305" i="2"/>
  <c r="B2360" i="2"/>
  <c r="B447" i="2"/>
  <c r="B1109" i="2"/>
  <c r="B139" i="2"/>
  <c r="F1232" i="2"/>
  <c r="F1739" i="2"/>
  <c r="F825" i="2"/>
  <c r="B3101" i="2"/>
  <c r="F1733" i="2"/>
  <c r="B137" i="2"/>
  <c r="B3959" i="2"/>
  <c r="B4301" i="2"/>
  <c r="B750" i="2"/>
  <c r="F4142" i="2"/>
  <c r="F2308" i="2"/>
  <c r="F760" i="2"/>
  <c r="B595" i="2"/>
  <c r="B3174" i="2"/>
  <c r="B304" i="2"/>
  <c r="F1053" i="2"/>
  <c r="F1655" i="2"/>
  <c r="B224" i="2"/>
  <c r="B2427" i="2"/>
  <c r="B372" i="2"/>
  <c r="B1237" i="2"/>
  <c r="F1062" i="2"/>
  <c r="B2575" i="2"/>
  <c r="B4222" i="2"/>
  <c r="F2402" i="2"/>
  <c r="B1115" i="2"/>
  <c r="B647" i="2"/>
  <c r="B754" i="2"/>
  <c r="F4206" i="2"/>
  <c r="F1242" i="2"/>
  <c r="F478" i="2"/>
  <c r="F1089" i="2"/>
  <c r="B4057" i="2"/>
  <c r="B3637" i="2"/>
  <c r="B3967" i="2"/>
  <c r="F3585" i="2"/>
  <c r="F468" i="2"/>
  <c r="B3946" i="2"/>
  <c r="B1984" i="2"/>
  <c r="B1811" i="2"/>
  <c r="F2679" i="2"/>
  <c r="F2674" i="2"/>
  <c r="B3736" i="2"/>
  <c r="B345" i="2"/>
  <c r="F350" i="2"/>
  <c r="F3108" i="2"/>
  <c r="B2832" i="2"/>
  <c r="F1312" i="2"/>
  <c r="F837" i="2"/>
  <c r="F4024" i="2"/>
  <c r="F4465" i="2"/>
  <c r="F2978" i="2"/>
  <c r="B3119" i="2"/>
  <c r="B2884" i="2"/>
  <c r="F1243" i="2"/>
  <c r="F318" i="2"/>
  <c r="B2160" i="2"/>
  <c r="B3668" i="2"/>
  <c r="F2880" i="2"/>
  <c r="F642" i="2"/>
  <c r="F4348" i="2"/>
  <c r="B4361" i="2"/>
  <c r="B1077" i="2"/>
  <c r="B3036" i="2"/>
  <c r="F533" i="2"/>
  <c r="F1672" i="2"/>
  <c r="B1776" i="2"/>
  <c r="B1534" i="2"/>
  <c r="B4084" i="2"/>
  <c r="B503" i="2"/>
  <c r="B2771" i="2"/>
  <c r="F136" i="2"/>
  <c r="F237" i="2"/>
  <c r="F3682" i="2" l="1"/>
  <c r="F3396" i="2"/>
  <c r="F2416" i="2"/>
  <c r="F724" i="2"/>
  <c r="F2380" i="2"/>
  <c r="F1915" i="2"/>
  <c r="F3231" i="2"/>
  <c r="F2565" i="2"/>
  <c r="F1399" i="2"/>
  <c r="F1039" i="2"/>
  <c r="F522" i="2"/>
  <c r="F903" i="2"/>
  <c r="F1842" i="2"/>
  <c r="F3455" i="2"/>
  <c r="F979" i="2"/>
  <c r="F4315" i="2"/>
  <c r="F856" i="2"/>
  <c r="F2339" i="2"/>
  <c r="F374" i="2"/>
  <c r="F3330" i="2"/>
  <c r="F152" i="2"/>
  <c r="F3319" i="2"/>
  <c r="F2391" i="2"/>
  <c r="F1161" i="2"/>
  <c r="F3063" i="2"/>
  <c r="F709" i="2"/>
  <c r="F3286" i="2"/>
  <c r="F2822" i="2"/>
  <c r="F3818" i="2"/>
  <c r="F256" i="2"/>
  <c r="F943" i="2"/>
  <c r="F1176" i="2"/>
  <c r="F1024" i="2"/>
  <c r="F2937" i="2"/>
  <c r="F2519" i="2"/>
  <c r="F3025" i="2"/>
  <c r="F1854" i="2"/>
  <c r="F4074" i="2"/>
  <c r="F916" i="2"/>
  <c r="F435" i="2"/>
  <c r="F3694" i="2"/>
  <c r="F2075" i="2"/>
  <c r="F3500" i="2"/>
  <c r="F4509" i="2"/>
  <c r="F1355" i="2"/>
  <c r="F2192" i="2"/>
  <c r="F10" i="5"/>
  <c r="F2703" i="2"/>
  <c r="F2588" i="2"/>
  <c r="F3037" i="2"/>
  <c r="F2042" i="2"/>
  <c r="F308" i="2"/>
  <c r="F2350" i="2"/>
  <c r="F1631" i="2"/>
  <c r="F3545" i="2"/>
  <c r="F3556" i="2"/>
  <c r="F1331" i="2"/>
  <c r="F1013" i="2"/>
  <c r="F2608" i="2"/>
  <c r="F1936" i="2"/>
  <c r="F1410" i="2"/>
  <c r="F2576" i="2"/>
  <c r="F2783" i="2"/>
  <c r="F4466" i="2"/>
  <c r="F319" i="2"/>
  <c r="F46" i="2"/>
  <c r="F3297" i="2"/>
  <c r="F394" i="2"/>
  <c r="F1606" i="2"/>
  <c r="F1869" i="2"/>
  <c r="F2214" i="2"/>
  <c r="F2369" i="2"/>
  <c r="F4369" i="2"/>
  <c r="F3994" i="2"/>
  <c r="F3145" i="2"/>
  <c r="F1123" i="2"/>
  <c r="F3408" i="2"/>
  <c r="F1479" i="2"/>
  <c r="F1537" i="2"/>
  <c r="F3014" i="2"/>
  <c r="F2981" i="2"/>
  <c r="F3489" i="2"/>
  <c r="F119" i="2"/>
  <c r="F1676" i="2"/>
  <c r="F1799" i="2"/>
  <c r="F4262" i="2"/>
  <c r="F1825" i="2"/>
  <c r="F604" i="2"/>
  <c r="F2259" i="2"/>
  <c r="F1563" i="2"/>
  <c r="F1520" i="2"/>
  <c r="F2738" i="2"/>
  <c r="F1460" i="2"/>
  <c r="F57" i="2"/>
  <c r="F2203" i="2"/>
  <c r="F1687" i="2"/>
  <c r="F664" i="2"/>
  <c r="F3522" i="2"/>
  <c r="F1985" i="2"/>
  <c r="F3420" i="2"/>
  <c r="F2295" i="2"/>
  <c r="F2794" i="2"/>
  <c r="F3478" i="2"/>
  <c r="F3352" i="2"/>
  <c r="F1756" i="2"/>
  <c r="F3773" i="2"/>
  <c r="F879" i="2"/>
  <c r="F3090" i="2"/>
  <c r="F2461" i="2"/>
  <c r="F2108" i="2"/>
  <c r="F3120" i="2"/>
  <c r="F3708" i="2"/>
  <c r="F1315" i="2"/>
  <c r="F4154" i="2"/>
  <c r="F1198" i="2"/>
  <c r="F2772" i="2"/>
  <c r="F954" i="2"/>
  <c r="F2130" i="2"/>
  <c r="F2690" i="2"/>
  <c r="F1366" i="2"/>
  <c r="F3109" i="2"/>
  <c r="F780" i="2"/>
  <c r="F2141" i="2"/>
  <c r="F2530" i="2"/>
  <c r="F2053" i="2"/>
  <c r="F2727" i="2"/>
  <c r="F1220" i="2"/>
  <c r="F102" i="2"/>
  <c r="F1290" i="2"/>
  <c r="F4143" i="2"/>
  <c r="F3218" i="2"/>
  <c r="F3264" i="2"/>
  <c r="F1620" i="2"/>
  <c r="F3002" i="2"/>
  <c r="F1587" i="2"/>
  <c r="F1097" i="2"/>
  <c r="F3848" i="2"/>
  <c r="F3859" i="2"/>
  <c r="F2097" i="2"/>
  <c r="F4450" i="2"/>
  <c r="F1904" i="2"/>
  <c r="F3467" i="2"/>
  <c r="F1958" i="2"/>
  <c r="F2031" i="2"/>
  <c r="F172" i="2"/>
  <c r="F4029" i="2"/>
  <c r="F35" i="2"/>
  <c r="F840" i="2"/>
  <c r="F68" i="2"/>
  <c r="F615" i="2"/>
  <c r="F2086" i="2"/>
  <c r="F891" i="2"/>
  <c r="F1377" i="2"/>
  <c r="F1996" i="2"/>
  <c r="F2119" i="2"/>
  <c r="F762" i="2"/>
  <c r="F3511" i="2"/>
  <c r="F1974" i="2"/>
  <c r="F1893" i="2"/>
  <c r="F141" i="2"/>
  <c r="F2450" i="2"/>
  <c r="F2020" i="2"/>
  <c r="F4128" i="2"/>
  <c r="F2552" i="2"/>
  <c r="F4531" i="2"/>
  <c r="F3242" i="2"/>
  <c r="F1490" i="2"/>
  <c r="F3784" i="2"/>
  <c r="F4520" i="2"/>
  <c r="F1449" i="2"/>
  <c r="F2328" i="2"/>
  <c r="F3206" i="2"/>
  <c r="F1642" i="2"/>
  <c r="F575" i="2"/>
  <c r="F3443" i="2"/>
  <c r="F2064" i="2"/>
  <c r="F4208" i="2"/>
  <c r="F2270" i="2"/>
  <c r="F3980" i="2"/>
  <c r="F4040" i="2"/>
  <c r="F2248" i="2"/>
  <c r="F267" i="2"/>
  <c r="F1150" i="2"/>
  <c r="F2472" i="2"/>
  <c r="F3807" i="2"/>
  <c r="F2716" i="2"/>
  <c r="F1880" i="2"/>
  <c r="F1388" i="2"/>
  <c r="F2316" i="2"/>
  <c r="F3363" i="2"/>
  <c r="F3534" i="2"/>
  <c r="F1002" i="2"/>
  <c r="F2009" i="2"/>
  <c r="F2225" i="2"/>
  <c r="F4383" i="2"/>
  <c r="F2483" i="2"/>
  <c r="F2237" i="2"/>
  <c r="F2541" i="2"/>
  <c r="F2506" i="2"/>
  <c r="F245" i="2"/>
  <c r="F1552" i="2"/>
  <c r="F867" i="2"/>
  <c r="F2806" i="2"/>
  <c r="F3341" i="2"/>
  <c r="F2833" i="2"/>
  <c r="F3888" i="2"/>
  <c r="F1209" i="2"/>
  <c r="F3308" i="2"/>
  <c r="F2846" i="2"/>
  <c r="F3079" i="2"/>
  <c r="F3795" i="2"/>
  <c r="F4005" i="2"/>
  <c r="F3761" i="2"/>
  <c r="F965" i="2"/>
  <c r="F2911" i="2"/>
  <c r="F990" i="2"/>
  <c r="F1421" i="2"/>
  <c r="F2405" i="2"/>
  <c r="F3131" i="2"/>
  <c r="F3275" i="2"/>
  <c r="F278" i="2"/>
  <c r="F3877" i="2"/>
  <c r="F3374" i="2"/>
  <c r="F1270" i="2"/>
  <c r="F3385" i="2"/>
  <c r="F1432" i="2"/>
  <c r="F24" i="2"/>
  <c r="F1342" i="2"/>
  <c r="F1135" i="2"/>
  <c r="F3432" i="2"/>
  <c r="B9" i="2" l="1"/>
  <c r="B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1" shapeId="0" xr:uid="{00000000-0006-0000-0100-000015000000}">
      <text>
        <r>
          <rPr>
            <sz val="11"/>
            <color theme="1"/>
            <rFont val="Calibri"/>
            <family val="2"/>
            <scheme val="minor"/>
          </rPr>
          <t>Introducir un texto con el nombre o referencia de la contratación</t>
        </r>
      </text>
    </comment>
    <comment ref="B27" authorId="1" shapeId="0" xr:uid="{00000000-0006-0000-0100-000016000000}">
      <text>
        <r>
          <rPr>
            <sz val="11"/>
            <color theme="1"/>
            <rFont val="Calibri"/>
            <family val="2"/>
            <scheme val="minor"/>
          </rPr>
          <t>Introduzca un texto con la finalidad de la contratación</t>
        </r>
      </text>
    </comment>
    <comment ref="C27" authorId="1" shapeId="0" xr:uid="{00000000-0006-0000-0100-000017000000}">
      <text>
        <r>
          <rPr>
            <sz val="11"/>
            <color theme="1"/>
            <rFont val="Calibri"/>
            <family val="2"/>
            <scheme val="minor"/>
          </rPr>
          <t>Seleccionar un valor del listado</t>
        </r>
      </text>
    </comment>
    <comment ref="D27" authorId="1" shapeId="0" xr:uid="{00000000-0006-0000-0100-000018000000}">
      <text>
        <r>
          <rPr>
            <sz val="11"/>
            <color theme="1"/>
            <rFont val="Calibri"/>
            <family val="2"/>
            <scheme val="minor"/>
          </rPr>
          <t>Seleccione el tipo de procedimiento</t>
        </r>
      </text>
    </comment>
    <comment ref="E27" authorId="1" shapeId="0" xr:uid="{00000000-0006-0000-0100-000019000000}">
      <text>
        <r>
          <rPr>
            <sz val="11"/>
            <color theme="1"/>
            <rFont val="Calibri"/>
            <family val="2"/>
            <scheme val="minor"/>
          </rPr>
          <t>Seleccione un valor de la lista</t>
        </r>
      </text>
    </comment>
    <comment ref="F27" authorId="1" shapeId="0" xr:uid="{00000000-0006-0000-0100-00001A000000}">
      <text>
        <r>
          <rPr>
            <sz val="11"/>
            <color theme="1"/>
            <rFont val="Calibri"/>
            <family val="2"/>
            <scheme val="minor"/>
          </rPr>
          <t>Introduzca el código SNIP</t>
        </r>
      </text>
    </comment>
    <comment ref="C28" authorId="1" shapeId="0" xr:uid="{00000000-0006-0000-0100-00001B000000}">
      <text>
        <r>
          <rPr>
            <sz val="11"/>
            <color theme="1"/>
            <rFont val="Calibri"/>
            <family val="2"/>
            <scheme val="minor"/>
          </rPr>
          <t>Introduzca la fecha de inicio del proceso, en formato dd-mm-aaaa</t>
        </r>
      </text>
    </comment>
    <comment ref="F28"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family val="2"/>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family val="2"/>
            <scheme val="minor"/>
          </rPr>
          <t>Introduzca un codigo UNSPSC</t>
        </r>
      </text>
    </comment>
    <comment ref="B33" authorId="1" shapeId="0" xr:uid="{00000000-0006-0000-0100-000022000000}">
      <text>
        <r>
          <rPr>
            <sz val="11"/>
            <color theme="1"/>
            <rFont val="Calibri"/>
            <family val="2"/>
            <scheme val="minor"/>
          </rPr>
          <t>Descripción calculada automáticamente a partir de código del artículo</t>
        </r>
      </text>
    </comment>
    <comment ref="C33" authorId="1" shapeId="0" xr:uid="{00000000-0006-0000-0100-000023000000}">
      <text>
        <r>
          <rPr>
            <sz val="11"/>
            <color theme="1"/>
            <rFont val="Calibri"/>
            <family val="2"/>
            <scheme val="minor"/>
          </rPr>
          <t>Seleccione un valor de la lista</t>
        </r>
      </text>
    </comment>
    <comment ref="D33" authorId="1" shapeId="0" xr:uid="{00000000-0006-0000-0100-000024000000}">
      <text>
        <r>
          <rPr>
            <sz val="11"/>
            <color theme="1"/>
            <rFont val="Calibri"/>
            <family val="2"/>
            <scheme val="minor"/>
          </rPr>
          <t>Introduzca un número con dos decimales como máximo. Debe ser igual o mayor a la "Cantidad Real Consumida"</t>
        </r>
      </text>
    </comment>
    <comment ref="E33" authorId="1" shapeId="0" xr:uid="{00000000-0006-0000-0100-000025000000}">
      <text>
        <r>
          <rPr>
            <sz val="11"/>
            <color theme="1"/>
            <rFont val="Calibri"/>
            <family val="2"/>
            <scheme val="minor"/>
          </rPr>
          <t>Introduzca un número con dos decimales como máximo</t>
        </r>
      </text>
    </comment>
    <comment ref="F33" authorId="1" shapeId="0" xr:uid="{00000000-0006-0000-0100-000026000000}">
      <text>
        <r>
          <rPr>
            <sz val="11"/>
            <color theme="1"/>
            <rFont val="Calibri"/>
            <family val="2"/>
            <scheme val="minor"/>
          </rPr>
          <t>Monto calculado automáticamente por el sistema</t>
        </r>
      </text>
    </comment>
    <comment ref="A38" authorId="1" shapeId="0" xr:uid="{00000000-0006-0000-0100-000027000000}">
      <text>
        <r>
          <rPr>
            <sz val="11"/>
            <color theme="1"/>
            <rFont val="Calibri"/>
            <family val="2"/>
            <scheme val="minor"/>
          </rPr>
          <t>Introducir un texto con el nombre o referencia de la contratación</t>
        </r>
      </text>
    </comment>
    <comment ref="B38" authorId="1" shapeId="0" xr:uid="{00000000-0006-0000-0100-000028000000}">
      <text>
        <r>
          <rPr>
            <sz val="11"/>
            <color theme="1"/>
            <rFont val="Calibri"/>
            <family val="2"/>
            <scheme val="minor"/>
          </rPr>
          <t>Introduzca un texto con la finalidad de la contratación</t>
        </r>
      </text>
    </comment>
    <comment ref="C38" authorId="1" shapeId="0" xr:uid="{00000000-0006-0000-0100-000029000000}">
      <text>
        <r>
          <rPr>
            <sz val="11"/>
            <color theme="1"/>
            <rFont val="Calibri"/>
            <family val="2"/>
            <scheme val="minor"/>
          </rPr>
          <t>Seleccionar un valor del listado</t>
        </r>
      </text>
    </comment>
    <comment ref="D38" authorId="1" shapeId="0" xr:uid="{00000000-0006-0000-0100-00002A000000}">
      <text>
        <r>
          <rPr>
            <sz val="11"/>
            <color theme="1"/>
            <rFont val="Calibri"/>
            <family val="2"/>
            <scheme val="minor"/>
          </rPr>
          <t>Seleccione el tipo de procedimiento</t>
        </r>
      </text>
    </comment>
    <comment ref="E38" authorId="1" shapeId="0" xr:uid="{00000000-0006-0000-0100-00002B000000}">
      <text>
        <r>
          <rPr>
            <sz val="11"/>
            <color theme="1"/>
            <rFont val="Calibri"/>
            <family val="2"/>
            <scheme val="minor"/>
          </rPr>
          <t>Seleccione un valor de la lista</t>
        </r>
      </text>
    </comment>
    <comment ref="F38" authorId="1" shapeId="0" xr:uid="{00000000-0006-0000-0100-00002C000000}">
      <text>
        <r>
          <rPr>
            <sz val="11"/>
            <color theme="1"/>
            <rFont val="Calibri"/>
            <family val="2"/>
            <scheme val="minor"/>
          </rPr>
          <t>Introduzca el código SNIP</t>
        </r>
      </text>
    </comment>
    <comment ref="C39" authorId="1" shapeId="0" xr:uid="{00000000-0006-0000-0100-00002D000000}">
      <text>
        <r>
          <rPr>
            <sz val="11"/>
            <color theme="1"/>
            <rFont val="Calibri"/>
            <family val="2"/>
            <scheme val="minor"/>
          </rPr>
          <t>Introduzca la fecha de inicio del proceso, en formato dd-mm-aaaa</t>
        </r>
      </text>
    </comment>
    <comment ref="F39"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1" shapeId="0" xr:uid="{00000000-0006-0000-0100-000030000000}">
      <text/>
    </comment>
    <comment ref="C41" authorId="1" shapeId="0" xr:uid="{00000000-0006-0000-0100-00002E000000}">
      <text>
        <r>
          <rPr>
            <sz val="11"/>
            <color theme="1"/>
            <rFont val="Calibri"/>
            <family val="2"/>
            <scheme val="minor"/>
          </rPr>
          <t>Introduzca la fecha prevista de adjudicación, en formato dd-mm-aaaa</t>
        </r>
      </text>
    </comment>
    <comment ref="F41" authorId="1" shapeId="0" xr:uid="{00000000-0006-0000-0100-000031000000}">
      <text/>
    </comment>
    <comment ref="F42" authorId="1" shapeId="0" xr:uid="{00000000-0006-0000-0100-000032000000}">
      <text/>
    </comment>
    <comment ref="A44" authorId="1" shapeId="0" xr:uid="{00000000-0006-0000-0100-000033000000}">
      <text>
        <r>
          <rPr>
            <sz val="11"/>
            <color theme="1"/>
            <rFont val="Calibri"/>
            <family val="2"/>
            <scheme val="minor"/>
          </rPr>
          <t>Introduzca un codigo UNSPSC</t>
        </r>
      </text>
    </comment>
    <comment ref="B44" authorId="1" shapeId="0" xr:uid="{00000000-0006-0000-0100-000034000000}">
      <text>
        <r>
          <rPr>
            <sz val="11"/>
            <color theme="1"/>
            <rFont val="Calibri"/>
            <family val="2"/>
            <scheme val="minor"/>
          </rPr>
          <t>Descripción calculada automáticamente a partir de código del artículo</t>
        </r>
      </text>
    </comment>
    <comment ref="C44" authorId="1" shapeId="0" xr:uid="{00000000-0006-0000-0100-000035000000}">
      <text>
        <r>
          <rPr>
            <sz val="11"/>
            <color theme="1"/>
            <rFont val="Calibri"/>
            <family val="2"/>
            <scheme val="minor"/>
          </rPr>
          <t>Seleccione un valor de la lista</t>
        </r>
      </text>
    </comment>
    <comment ref="D44" authorId="1" shapeId="0" xr:uid="{00000000-0006-0000-0100-000036000000}">
      <text>
        <r>
          <rPr>
            <sz val="11"/>
            <color theme="1"/>
            <rFont val="Calibri"/>
            <family val="2"/>
            <scheme val="minor"/>
          </rPr>
          <t>Introduzca un número con dos decimales como máximo. Debe ser igual o mayor a la "Cantidad Real Consumida"</t>
        </r>
      </text>
    </comment>
    <comment ref="E44" authorId="1" shapeId="0" xr:uid="{00000000-0006-0000-0100-000037000000}">
      <text>
        <r>
          <rPr>
            <sz val="11"/>
            <color theme="1"/>
            <rFont val="Calibri"/>
            <family val="2"/>
            <scheme val="minor"/>
          </rPr>
          <t>Introduzca un número con dos decimales como máximo</t>
        </r>
      </text>
    </comment>
    <comment ref="F44" authorId="1" shapeId="0" xr:uid="{00000000-0006-0000-0100-000038000000}">
      <text>
        <r>
          <rPr>
            <sz val="11"/>
            <color theme="1"/>
            <rFont val="Calibri"/>
            <family val="2"/>
            <scheme val="minor"/>
          </rPr>
          <t>Monto calculado automáticamente por el sistema</t>
        </r>
      </text>
    </comment>
    <comment ref="A49" authorId="1" shapeId="0" xr:uid="{00000000-0006-0000-0100-000039000000}">
      <text>
        <r>
          <rPr>
            <sz val="11"/>
            <color theme="1"/>
            <rFont val="Calibri"/>
            <family val="2"/>
            <scheme val="minor"/>
          </rPr>
          <t>Introducir un texto con el nombre o referencia de la contratación</t>
        </r>
      </text>
    </comment>
    <comment ref="B49" authorId="1" shapeId="0" xr:uid="{00000000-0006-0000-0100-00003A000000}">
      <text>
        <r>
          <rPr>
            <sz val="11"/>
            <color theme="1"/>
            <rFont val="Calibri"/>
            <family val="2"/>
            <scheme val="minor"/>
          </rPr>
          <t>Introduzca un texto con la finalidad de la contratación</t>
        </r>
      </text>
    </comment>
    <comment ref="C49" authorId="1" shapeId="0" xr:uid="{00000000-0006-0000-0100-00003B000000}">
      <text>
        <r>
          <rPr>
            <sz val="11"/>
            <color theme="1"/>
            <rFont val="Calibri"/>
            <family val="2"/>
            <scheme val="minor"/>
          </rPr>
          <t>Seleccionar un valor del listado</t>
        </r>
      </text>
    </comment>
    <comment ref="D49" authorId="1" shapeId="0" xr:uid="{00000000-0006-0000-0100-00003C000000}">
      <text>
        <r>
          <rPr>
            <sz val="11"/>
            <color theme="1"/>
            <rFont val="Calibri"/>
            <family val="2"/>
            <scheme val="minor"/>
          </rPr>
          <t>Seleccione el tipo de procedimiento</t>
        </r>
      </text>
    </comment>
    <comment ref="E49" authorId="1" shapeId="0" xr:uid="{00000000-0006-0000-0100-00003D000000}">
      <text>
        <r>
          <rPr>
            <sz val="11"/>
            <color theme="1"/>
            <rFont val="Calibri"/>
            <family val="2"/>
            <scheme val="minor"/>
          </rPr>
          <t>Seleccione un valor de la lista</t>
        </r>
      </text>
    </comment>
    <comment ref="F49" authorId="1" shapeId="0" xr:uid="{00000000-0006-0000-0100-00003E000000}">
      <text>
        <r>
          <rPr>
            <sz val="11"/>
            <color theme="1"/>
            <rFont val="Calibri"/>
            <family val="2"/>
            <scheme val="minor"/>
          </rPr>
          <t>Introduzca el código SNIP</t>
        </r>
      </text>
    </comment>
    <comment ref="C50" authorId="1" shapeId="0" xr:uid="{00000000-0006-0000-0100-00003F000000}">
      <text>
        <r>
          <rPr>
            <sz val="11"/>
            <color theme="1"/>
            <rFont val="Calibri"/>
            <family val="2"/>
            <scheme val="minor"/>
          </rPr>
          <t>Introduzca la fecha de inicio del proceso, en formato dd-mm-aaaa</t>
        </r>
      </text>
    </comment>
    <comment ref="F50"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1" shapeId="0" xr:uid="{00000000-0006-0000-0100-000042000000}">
      <text/>
    </comment>
    <comment ref="C52" authorId="1" shapeId="0" xr:uid="{00000000-0006-0000-0100-000040000000}">
      <text>
        <r>
          <rPr>
            <sz val="11"/>
            <color theme="1"/>
            <rFont val="Calibri"/>
            <family val="2"/>
            <scheme val="minor"/>
          </rPr>
          <t>Introduzca la fecha prevista de adjudicación, en formato dd-mm-aaaa</t>
        </r>
      </text>
    </comment>
    <comment ref="F52" authorId="1" shapeId="0" xr:uid="{00000000-0006-0000-0100-000043000000}">
      <text/>
    </comment>
    <comment ref="F53" authorId="1" shapeId="0" xr:uid="{00000000-0006-0000-0100-000044000000}">
      <text/>
    </comment>
    <comment ref="A55" authorId="1" shapeId="0" xr:uid="{00000000-0006-0000-0100-000045000000}">
      <text>
        <r>
          <rPr>
            <sz val="11"/>
            <color theme="1"/>
            <rFont val="Calibri"/>
            <family val="2"/>
            <scheme val="minor"/>
          </rPr>
          <t>Introduzca un codigo UNSPSC</t>
        </r>
      </text>
    </comment>
    <comment ref="B55" authorId="1" shapeId="0" xr:uid="{00000000-0006-0000-0100-000046000000}">
      <text>
        <r>
          <rPr>
            <sz val="11"/>
            <color theme="1"/>
            <rFont val="Calibri"/>
            <family val="2"/>
            <scheme val="minor"/>
          </rPr>
          <t>Descripción calculada automáticamente a partir de código del artículo</t>
        </r>
      </text>
    </comment>
    <comment ref="C55" authorId="1" shapeId="0" xr:uid="{00000000-0006-0000-0100-000047000000}">
      <text>
        <r>
          <rPr>
            <sz val="11"/>
            <color theme="1"/>
            <rFont val="Calibri"/>
            <family val="2"/>
            <scheme val="minor"/>
          </rPr>
          <t>Seleccione un valor de la lista</t>
        </r>
      </text>
    </comment>
    <comment ref="D55" authorId="1" shapeId="0" xr:uid="{00000000-0006-0000-0100-000048000000}">
      <text>
        <r>
          <rPr>
            <sz val="11"/>
            <color theme="1"/>
            <rFont val="Calibri"/>
            <family val="2"/>
            <scheme val="minor"/>
          </rPr>
          <t>Introduzca un número con dos decimales como máximo. Debe ser igual o mayor a la "Cantidad Real Consumida"</t>
        </r>
      </text>
    </comment>
    <comment ref="E55" authorId="1" shapeId="0" xr:uid="{00000000-0006-0000-0100-000049000000}">
      <text>
        <r>
          <rPr>
            <sz val="11"/>
            <color theme="1"/>
            <rFont val="Calibri"/>
            <family val="2"/>
            <scheme val="minor"/>
          </rPr>
          <t>Introduzca un número con dos decimales como máximo</t>
        </r>
      </text>
    </comment>
    <comment ref="F55" authorId="1" shapeId="0" xr:uid="{00000000-0006-0000-0100-00004A000000}">
      <text>
        <r>
          <rPr>
            <sz val="11"/>
            <color theme="1"/>
            <rFont val="Calibri"/>
            <family val="2"/>
            <scheme val="minor"/>
          </rPr>
          <t>Monto calculado automáticamente por el sistema</t>
        </r>
      </text>
    </comment>
    <comment ref="A60" authorId="1" shapeId="0" xr:uid="{00000000-0006-0000-0100-00004B000000}">
      <text>
        <r>
          <rPr>
            <sz val="11"/>
            <color theme="1"/>
            <rFont val="Calibri"/>
            <family val="2"/>
            <scheme val="minor"/>
          </rPr>
          <t>Introducir un texto con el nombre o referencia de la contratación</t>
        </r>
      </text>
    </comment>
    <comment ref="B60" authorId="1" shapeId="0" xr:uid="{00000000-0006-0000-0100-00004C000000}">
      <text>
        <r>
          <rPr>
            <sz val="11"/>
            <color theme="1"/>
            <rFont val="Calibri"/>
            <family val="2"/>
            <scheme val="minor"/>
          </rPr>
          <t>Introduzca un texto con la finalidad de la contratación</t>
        </r>
      </text>
    </comment>
    <comment ref="C60" authorId="1" shapeId="0" xr:uid="{00000000-0006-0000-0100-00004D000000}">
      <text>
        <r>
          <rPr>
            <sz val="11"/>
            <color theme="1"/>
            <rFont val="Calibri"/>
            <family val="2"/>
            <scheme val="minor"/>
          </rPr>
          <t>Seleccionar un valor del listado</t>
        </r>
      </text>
    </comment>
    <comment ref="D60" authorId="1" shapeId="0" xr:uid="{00000000-0006-0000-0100-00004E000000}">
      <text>
        <r>
          <rPr>
            <sz val="11"/>
            <color theme="1"/>
            <rFont val="Calibri"/>
            <family val="2"/>
            <scheme val="minor"/>
          </rPr>
          <t>Seleccione el tipo de procedimiento</t>
        </r>
      </text>
    </comment>
    <comment ref="E60" authorId="1" shapeId="0" xr:uid="{00000000-0006-0000-0100-00004F000000}">
      <text>
        <r>
          <rPr>
            <sz val="11"/>
            <color theme="1"/>
            <rFont val="Calibri"/>
            <family val="2"/>
            <scheme val="minor"/>
          </rPr>
          <t>Seleccione un valor de la lista</t>
        </r>
      </text>
    </comment>
    <comment ref="F60" authorId="1" shapeId="0" xr:uid="{00000000-0006-0000-0100-000050000000}">
      <text>
        <r>
          <rPr>
            <sz val="11"/>
            <color theme="1"/>
            <rFont val="Calibri"/>
            <family val="2"/>
            <scheme val="minor"/>
          </rPr>
          <t>Introduzca el código SNIP</t>
        </r>
      </text>
    </comment>
    <comment ref="C61" authorId="1" shapeId="0" xr:uid="{00000000-0006-0000-0100-000051000000}">
      <text>
        <r>
          <rPr>
            <sz val="11"/>
            <color theme="1"/>
            <rFont val="Calibri"/>
            <family val="2"/>
            <scheme val="minor"/>
          </rPr>
          <t>Introduzca la fecha de inicio del proceso, en formato dd-mm-aaaa</t>
        </r>
      </text>
    </comment>
    <comment ref="F61"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shapeId="0" xr:uid="{00000000-0006-0000-0100-000054000000}">
      <text/>
    </comment>
    <comment ref="C63" authorId="1" shapeId="0" xr:uid="{00000000-0006-0000-0100-000052000000}">
      <text>
        <r>
          <rPr>
            <sz val="11"/>
            <color theme="1"/>
            <rFont val="Calibri"/>
            <family val="2"/>
            <scheme val="minor"/>
          </rPr>
          <t>Introduzca la fecha prevista de adjudicación, en formato dd-mm-aaaa</t>
        </r>
      </text>
    </comment>
    <comment ref="F63" authorId="1" shapeId="0" xr:uid="{00000000-0006-0000-0100-000055000000}">
      <text/>
    </comment>
    <comment ref="F64" authorId="1" shapeId="0" xr:uid="{00000000-0006-0000-0100-000056000000}">
      <text/>
    </comment>
    <comment ref="A66" authorId="1" shapeId="0" xr:uid="{00000000-0006-0000-0100-000057000000}">
      <text>
        <r>
          <rPr>
            <sz val="11"/>
            <color theme="1"/>
            <rFont val="Calibri"/>
            <family val="2"/>
            <scheme val="minor"/>
          </rPr>
          <t>Introduzca un codigo UNSPSC</t>
        </r>
      </text>
    </comment>
    <comment ref="B66" authorId="1" shapeId="0" xr:uid="{00000000-0006-0000-0100-000058000000}">
      <text>
        <r>
          <rPr>
            <sz val="11"/>
            <color theme="1"/>
            <rFont val="Calibri"/>
            <family val="2"/>
            <scheme val="minor"/>
          </rPr>
          <t>Descripción calculada automáticamente a partir de código del artículo</t>
        </r>
      </text>
    </comment>
    <comment ref="C66" authorId="1" shapeId="0" xr:uid="{00000000-0006-0000-0100-000059000000}">
      <text>
        <r>
          <rPr>
            <sz val="11"/>
            <color theme="1"/>
            <rFont val="Calibri"/>
            <family val="2"/>
            <scheme val="minor"/>
          </rPr>
          <t>Seleccione un valor de la lista</t>
        </r>
      </text>
    </comment>
    <comment ref="D66" authorId="1" shapeId="0" xr:uid="{00000000-0006-0000-0100-00005A000000}">
      <text>
        <r>
          <rPr>
            <sz val="11"/>
            <color theme="1"/>
            <rFont val="Calibri"/>
            <family val="2"/>
            <scheme val="minor"/>
          </rPr>
          <t>Introduzca un número con dos decimales como máximo. Debe ser igual o mayor a la "Cantidad Real Consumida"</t>
        </r>
      </text>
    </comment>
    <comment ref="E66" authorId="1" shapeId="0" xr:uid="{00000000-0006-0000-0100-00005B000000}">
      <text>
        <r>
          <rPr>
            <sz val="11"/>
            <color theme="1"/>
            <rFont val="Calibri"/>
            <family val="2"/>
            <scheme val="minor"/>
          </rPr>
          <t>Introduzca un número con dos decimales como máximo</t>
        </r>
      </text>
    </comment>
    <comment ref="F66" authorId="1" shapeId="0" xr:uid="{00000000-0006-0000-0100-00005C000000}">
      <text>
        <r>
          <rPr>
            <sz val="11"/>
            <color theme="1"/>
            <rFont val="Calibri"/>
            <family val="2"/>
            <scheme val="minor"/>
          </rPr>
          <t>Monto calculado automáticamente por el sistema</t>
        </r>
      </text>
    </comment>
    <comment ref="A71" authorId="1" shapeId="0" xr:uid="{00000000-0006-0000-0100-00005D000000}">
      <text>
        <r>
          <rPr>
            <sz val="11"/>
            <color theme="1"/>
            <rFont val="Calibri"/>
            <family val="2"/>
            <scheme val="minor"/>
          </rPr>
          <t>Introducir un texto con el nombre o referencia de la contratación</t>
        </r>
      </text>
    </comment>
    <comment ref="B71" authorId="1" shapeId="0" xr:uid="{00000000-0006-0000-0100-00005E000000}">
      <text>
        <r>
          <rPr>
            <sz val="11"/>
            <color theme="1"/>
            <rFont val="Calibri"/>
            <family val="2"/>
            <scheme val="minor"/>
          </rPr>
          <t>Introduzca un texto con la finalidad de la contratación</t>
        </r>
      </text>
    </comment>
    <comment ref="C71" authorId="1" shapeId="0" xr:uid="{00000000-0006-0000-0100-00005F000000}">
      <text>
        <r>
          <rPr>
            <sz val="11"/>
            <color theme="1"/>
            <rFont val="Calibri"/>
            <family val="2"/>
            <scheme val="minor"/>
          </rPr>
          <t>Seleccionar un valor del listado</t>
        </r>
      </text>
    </comment>
    <comment ref="D71" authorId="1" shapeId="0" xr:uid="{00000000-0006-0000-0100-000060000000}">
      <text>
        <r>
          <rPr>
            <sz val="11"/>
            <color theme="1"/>
            <rFont val="Calibri"/>
            <family val="2"/>
            <scheme val="minor"/>
          </rPr>
          <t>Seleccione el tipo de procedimiento</t>
        </r>
      </text>
    </comment>
    <comment ref="E71" authorId="1" shapeId="0" xr:uid="{00000000-0006-0000-0100-000061000000}">
      <text>
        <r>
          <rPr>
            <sz val="11"/>
            <color theme="1"/>
            <rFont val="Calibri"/>
            <family val="2"/>
            <scheme val="minor"/>
          </rPr>
          <t>Seleccione un valor de la lista</t>
        </r>
      </text>
    </comment>
    <comment ref="F71" authorId="1" shapeId="0" xr:uid="{00000000-0006-0000-0100-000062000000}">
      <text>
        <r>
          <rPr>
            <sz val="11"/>
            <color theme="1"/>
            <rFont val="Calibri"/>
            <family val="2"/>
            <scheme val="minor"/>
          </rPr>
          <t>Introduzca el código SNIP</t>
        </r>
      </text>
    </comment>
    <comment ref="C72" authorId="1" shapeId="0" xr:uid="{00000000-0006-0000-0100-000063000000}">
      <text>
        <r>
          <rPr>
            <sz val="11"/>
            <color theme="1"/>
            <rFont val="Calibri"/>
            <family val="2"/>
            <scheme val="minor"/>
          </rPr>
          <t>Introduzca la fecha de inicio del proceso, en formato dd-mm-aaaa</t>
        </r>
      </text>
    </comment>
    <comment ref="F72"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1" shapeId="0" xr:uid="{00000000-0006-0000-0100-000066000000}">
      <text/>
    </comment>
    <comment ref="C74" authorId="1" shapeId="0" xr:uid="{00000000-0006-0000-0100-000064000000}">
      <text>
        <r>
          <rPr>
            <sz val="11"/>
            <color theme="1"/>
            <rFont val="Calibri"/>
            <family val="2"/>
            <scheme val="minor"/>
          </rPr>
          <t>Introduzca la fecha prevista de adjudicación, en formato dd-mm-aaaa</t>
        </r>
      </text>
    </comment>
    <comment ref="F74" authorId="1" shapeId="0" xr:uid="{00000000-0006-0000-0100-000067000000}">
      <text/>
    </comment>
    <comment ref="F75" authorId="1" shapeId="0" xr:uid="{00000000-0006-0000-0100-000068000000}">
      <text/>
    </comment>
    <comment ref="A77" authorId="1" shapeId="0" xr:uid="{00000000-0006-0000-0100-000069000000}">
      <text>
        <r>
          <rPr>
            <sz val="11"/>
            <color theme="1"/>
            <rFont val="Calibri"/>
            <family val="2"/>
            <scheme val="minor"/>
          </rPr>
          <t>Introduzca un codigo UNSPSC</t>
        </r>
      </text>
    </comment>
    <comment ref="B77" authorId="1" shapeId="0" xr:uid="{00000000-0006-0000-0100-00006A000000}">
      <text>
        <r>
          <rPr>
            <sz val="11"/>
            <color theme="1"/>
            <rFont val="Calibri"/>
            <family val="2"/>
            <scheme val="minor"/>
          </rPr>
          <t>Descripción calculada automáticamente a partir de código del artículo</t>
        </r>
      </text>
    </comment>
    <comment ref="C77" authorId="1" shapeId="0" xr:uid="{00000000-0006-0000-0100-00006B000000}">
      <text>
        <r>
          <rPr>
            <sz val="11"/>
            <color theme="1"/>
            <rFont val="Calibri"/>
            <family val="2"/>
            <scheme val="minor"/>
          </rPr>
          <t>Seleccione un valor de la lista</t>
        </r>
      </text>
    </comment>
    <comment ref="D77" authorId="1" shapeId="0" xr:uid="{00000000-0006-0000-0100-00006C000000}">
      <text>
        <r>
          <rPr>
            <sz val="11"/>
            <color theme="1"/>
            <rFont val="Calibri"/>
            <family val="2"/>
            <scheme val="minor"/>
          </rPr>
          <t>Introduzca un número con dos decimales como máximo. Debe ser igual o mayor a la "Cantidad Real Consumida"</t>
        </r>
      </text>
    </comment>
    <comment ref="E77" authorId="1" shapeId="0" xr:uid="{00000000-0006-0000-0100-00006D000000}">
      <text>
        <r>
          <rPr>
            <sz val="11"/>
            <color theme="1"/>
            <rFont val="Calibri"/>
            <family val="2"/>
            <scheme val="minor"/>
          </rPr>
          <t>Introduzca un número con dos decimales como máximo</t>
        </r>
      </text>
    </comment>
    <comment ref="F77" authorId="1" shapeId="0" xr:uid="{00000000-0006-0000-0100-00006E000000}">
      <text>
        <r>
          <rPr>
            <sz val="11"/>
            <color theme="1"/>
            <rFont val="Calibri"/>
            <family val="2"/>
            <scheme val="minor"/>
          </rPr>
          <t>Monto calculado automáticamente por el sistema</t>
        </r>
      </text>
    </comment>
    <comment ref="A105" authorId="1" shapeId="0" xr:uid="{00000000-0006-0000-0100-00006F000000}">
      <text>
        <r>
          <rPr>
            <sz val="11"/>
            <color theme="1"/>
            <rFont val="Calibri"/>
            <family val="2"/>
            <scheme val="minor"/>
          </rPr>
          <t>Introducir un texto con el nombre o referencia de la contratación</t>
        </r>
      </text>
    </comment>
    <comment ref="B105" authorId="1" shapeId="0" xr:uid="{00000000-0006-0000-0100-000070000000}">
      <text>
        <r>
          <rPr>
            <sz val="11"/>
            <color theme="1"/>
            <rFont val="Calibri"/>
            <family val="2"/>
            <scheme val="minor"/>
          </rPr>
          <t>Introduzca un texto con la finalidad de la contratación</t>
        </r>
      </text>
    </comment>
    <comment ref="C105" authorId="1" shapeId="0" xr:uid="{00000000-0006-0000-0100-000071000000}">
      <text>
        <r>
          <rPr>
            <sz val="11"/>
            <color theme="1"/>
            <rFont val="Calibri"/>
            <family val="2"/>
            <scheme val="minor"/>
          </rPr>
          <t>Seleccionar un valor del listado</t>
        </r>
      </text>
    </comment>
    <comment ref="D105" authorId="1" shapeId="0" xr:uid="{00000000-0006-0000-0100-000072000000}">
      <text>
        <r>
          <rPr>
            <sz val="11"/>
            <color theme="1"/>
            <rFont val="Calibri"/>
            <family val="2"/>
            <scheme val="minor"/>
          </rPr>
          <t>Seleccione el tipo de procedimiento</t>
        </r>
      </text>
    </comment>
    <comment ref="E105" authorId="1" shapeId="0" xr:uid="{00000000-0006-0000-0100-000073000000}">
      <text>
        <r>
          <rPr>
            <sz val="11"/>
            <color theme="1"/>
            <rFont val="Calibri"/>
            <family val="2"/>
            <scheme val="minor"/>
          </rPr>
          <t>Seleccione un valor de la lista</t>
        </r>
      </text>
    </comment>
    <comment ref="F105" authorId="1" shapeId="0" xr:uid="{00000000-0006-0000-0100-000074000000}">
      <text>
        <r>
          <rPr>
            <sz val="11"/>
            <color theme="1"/>
            <rFont val="Calibri"/>
            <family val="2"/>
            <scheme val="minor"/>
          </rPr>
          <t>Introduzca el código SNIP</t>
        </r>
      </text>
    </comment>
    <comment ref="C106" authorId="1" shapeId="0" xr:uid="{00000000-0006-0000-0100-000075000000}">
      <text>
        <r>
          <rPr>
            <sz val="11"/>
            <color theme="1"/>
            <rFont val="Calibri"/>
            <family val="2"/>
            <scheme val="minor"/>
          </rPr>
          <t>Introduzca la fecha de inicio del proceso, en formato dd-mm-aaaa</t>
        </r>
      </text>
    </comment>
    <comment ref="F106"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 authorId="1" shapeId="0" xr:uid="{00000000-0006-0000-0100-000078000000}">
      <text/>
    </comment>
    <comment ref="C108" authorId="1" shapeId="0" xr:uid="{00000000-0006-0000-0100-000076000000}">
      <text>
        <r>
          <rPr>
            <sz val="11"/>
            <color theme="1"/>
            <rFont val="Calibri"/>
            <family val="2"/>
            <scheme val="minor"/>
          </rPr>
          <t>Introduzca la fecha prevista de adjudicación, en formato dd-mm-aaaa</t>
        </r>
      </text>
    </comment>
    <comment ref="F108" authorId="1" shapeId="0" xr:uid="{00000000-0006-0000-0100-000079000000}">
      <text/>
    </comment>
    <comment ref="F109" authorId="1" shapeId="0" xr:uid="{00000000-0006-0000-0100-00007A000000}">
      <text/>
    </comment>
    <comment ref="A111" authorId="1" shapeId="0" xr:uid="{00000000-0006-0000-0100-00007B000000}">
      <text>
        <r>
          <rPr>
            <sz val="11"/>
            <color theme="1"/>
            <rFont val="Calibri"/>
            <family val="2"/>
            <scheme val="minor"/>
          </rPr>
          <t>Introduzca un codigo UNSPSC</t>
        </r>
      </text>
    </comment>
    <comment ref="B111" authorId="1" shapeId="0" xr:uid="{00000000-0006-0000-0100-00007C000000}">
      <text>
        <r>
          <rPr>
            <sz val="11"/>
            <color theme="1"/>
            <rFont val="Calibri"/>
            <family val="2"/>
            <scheme val="minor"/>
          </rPr>
          <t>Descripción calculada automáticamente a partir de código del artículo</t>
        </r>
      </text>
    </comment>
    <comment ref="C111" authorId="1" shapeId="0" xr:uid="{00000000-0006-0000-0100-00007D000000}">
      <text>
        <r>
          <rPr>
            <sz val="11"/>
            <color theme="1"/>
            <rFont val="Calibri"/>
            <family val="2"/>
            <scheme val="minor"/>
          </rPr>
          <t>Seleccione un valor de la lista</t>
        </r>
      </text>
    </comment>
    <comment ref="D111" authorId="1" shapeId="0" xr:uid="{00000000-0006-0000-0100-00007E000000}">
      <text>
        <r>
          <rPr>
            <sz val="11"/>
            <color theme="1"/>
            <rFont val="Calibri"/>
            <family val="2"/>
            <scheme val="minor"/>
          </rPr>
          <t>Introduzca un número con dos decimales como máximo. Debe ser igual o mayor a la "Cantidad Real Consumida"</t>
        </r>
      </text>
    </comment>
    <comment ref="E111" authorId="1" shapeId="0" xr:uid="{00000000-0006-0000-0100-00007F000000}">
      <text>
        <r>
          <rPr>
            <sz val="11"/>
            <color theme="1"/>
            <rFont val="Calibri"/>
            <family val="2"/>
            <scheme val="minor"/>
          </rPr>
          <t>Introduzca un número con dos decimales como máximo</t>
        </r>
      </text>
    </comment>
    <comment ref="F111" authorId="1" shapeId="0" xr:uid="{00000000-0006-0000-0100-000080000000}">
      <text>
        <r>
          <rPr>
            <sz val="11"/>
            <color theme="1"/>
            <rFont val="Calibri"/>
            <family val="2"/>
            <scheme val="minor"/>
          </rPr>
          <t>Monto calculado automáticamente por el sistema</t>
        </r>
      </text>
    </comment>
    <comment ref="A122" authorId="1" shapeId="0" xr:uid="{00000000-0006-0000-0100-000081000000}">
      <text>
        <r>
          <rPr>
            <sz val="11"/>
            <color theme="1"/>
            <rFont val="Calibri"/>
            <family val="2"/>
            <scheme val="minor"/>
          </rPr>
          <t>Introducir un texto con el nombre o referencia de la contratación</t>
        </r>
      </text>
    </comment>
    <comment ref="B122" authorId="1" shapeId="0" xr:uid="{00000000-0006-0000-0100-000082000000}">
      <text>
        <r>
          <rPr>
            <sz val="11"/>
            <color theme="1"/>
            <rFont val="Calibri"/>
            <family val="2"/>
            <scheme val="minor"/>
          </rPr>
          <t>Introduzca un texto con la finalidad de la contratación</t>
        </r>
      </text>
    </comment>
    <comment ref="C122" authorId="1" shapeId="0" xr:uid="{00000000-0006-0000-0100-000083000000}">
      <text>
        <r>
          <rPr>
            <sz val="11"/>
            <color theme="1"/>
            <rFont val="Calibri"/>
            <family val="2"/>
            <scheme val="minor"/>
          </rPr>
          <t>Seleccionar un valor del listado</t>
        </r>
      </text>
    </comment>
    <comment ref="D122" authorId="1" shapeId="0" xr:uid="{00000000-0006-0000-0100-000084000000}">
      <text>
        <r>
          <rPr>
            <sz val="11"/>
            <color theme="1"/>
            <rFont val="Calibri"/>
            <family val="2"/>
            <scheme val="minor"/>
          </rPr>
          <t>Seleccione el tipo de procedimiento</t>
        </r>
      </text>
    </comment>
    <comment ref="E122" authorId="1" shapeId="0" xr:uid="{00000000-0006-0000-0100-000085000000}">
      <text>
        <r>
          <rPr>
            <sz val="11"/>
            <color theme="1"/>
            <rFont val="Calibri"/>
            <family val="2"/>
            <scheme val="minor"/>
          </rPr>
          <t>Seleccione un valor de la lista</t>
        </r>
      </text>
    </comment>
    <comment ref="F122" authorId="1" shapeId="0" xr:uid="{00000000-0006-0000-0100-000086000000}">
      <text>
        <r>
          <rPr>
            <sz val="11"/>
            <color theme="1"/>
            <rFont val="Calibri"/>
            <family val="2"/>
            <scheme val="minor"/>
          </rPr>
          <t>Introduzca el código SNIP</t>
        </r>
      </text>
    </comment>
    <comment ref="C123" authorId="1" shapeId="0" xr:uid="{00000000-0006-0000-0100-000087000000}">
      <text>
        <r>
          <rPr>
            <sz val="11"/>
            <color theme="1"/>
            <rFont val="Calibri"/>
            <family val="2"/>
            <scheme val="minor"/>
          </rPr>
          <t>Introduzca la fecha de inicio del proceso, en formato dd-mm-aaaa</t>
        </r>
      </text>
    </comment>
    <comment ref="F123"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 authorId="1" shapeId="0" xr:uid="{00000000-0006-0000-0100-00008A000000}">
      <text/>
    </comment>
    <comment ref="C125" authorId="1" shapeId="0" xr:uid="{00000000-0006-0000-0100-000088000000}">
      <text>
        <r>
          <rPr>
            <sz val="11"/>
            <color theme="1"/>
            <rFont val="Calibri"/>
            <family val="2"/>
            <scheme val="minor"/>
          </rPr>
          <t>Introduzca la fecha prevista de adjudicación, en formato dd-mm-aaaa</t>
        </r>
      </text>
    </comment>
    <comment ref="F125" authorId="1" shapeId="0" xr:uid="{00000000-0006-0000-0100-00008B000000}">
      <text/>
    </comment>
    <comment ref="F126" authorId="1" shapeId="0" xr:uid="{00000000-0006-0000-0100-00008C000000}">
      <text/>
    </comment>
    <comment ref="A128" authorId="1" shapeId="0" xr:uid="{00000000-0006-0000-0100-00008D000000}">
      <text>
        <r>
          <rPr>
            <sz val="11"/>
            <color theme="1"/>
            <rFont val="Calibri"/>
            <family val="2"/>
            <scheme val="minor"/>
          </rPr>
          <t>Introduzca un codigo UNSPSC</t>
        </r>
      </text>
    </comment>
    <comment ref="B128" authorId="1" shapeId="0" xr:uid="{00000000-0006-0000-0100-00008E000000}">
      <text>
        <r>
          <rPr>
            <sz val="11"/>
            <color theme="1"/>
            <rFont val="Calibri"/>
            <family val="2"/>
            <scheme val="minor"/>
          </rPr>
          <t>Descripción calculada automáticamente a partir de código del artículo</t>
        </r>
      </text>
    </comment>
    <comment ref="C128" authorId="1" shapeId="0" xr:uid="{00000000-0006-0000-0100-00008F000000}">
      <text>
        <r>
          <rPr>
            <sz val="11"/>
            <color theme="1"/>
            <rFont val="Calibri"/>
            <family val="2"/>
            <scheme val="minor"/>
          </rPr>
          <t>Seleccione un valor de la lista</t>
        </r>
      </text>
    </comment>
    <comment ref="D128" authorId="1" shapeId="0" xr:uid="{00000000-0006-0000-0100-000090000000}">
      <text>
        <r>
          <rPr>
            <sz val="11"/>
            <color theme="1"/>
            <rFont val="Calibri"/>
            <family val="2"/>
            <scheme val="minor"/>
          </rPr>
          <t>Introduzca un número con dos decimales como máximo. Debe ser igual o mayor a la "Cantidad Real Consumida"</t>
        </r>
      </text>
    </comment>
    <comment ref="E128" authorId="1" shapeId="0" xr:uid="{00000000-0006-0000-0100-000091000000}">
      <text>
        <r>
          <rPr>
            <sz val="11"/>
            <color theme="1"/>
            <rFont val="Calibri"/>
            <family val="2"/>
            <scheme val="minor"/>
          </rPr>
          <t>Introduzca un número con dos decimales como máximo</t>
        </r>
      </text>
    </comment>
    <comment ref="F128" authorId="1" shapeId="0" xr:uid="{00000000-0006-0000-0100-000092000000}">
      <text>
        <r>
          <rPr>
            <sz val="11"/>
            <color theme="1"/>
            <rFont val="Calibri"/>
            <family val="2"/>
            <scheme val="minor"/>
          </rPr>
          <t>Monto calculado automáticamente por el sistema</t>
        </r>
      </text>
    </comment>
    <comment ref="A144" authorId="1" shapeId="0" xr:uid="{00000000-0006-0000-0100-000093000000}">
      <text>
        <r>
          <rPr>
            <sz val="11"/>
            <color theme="1"/>
            <rFont val="Calibri"/>
            <family val="2"/>
            <scheme val="minor"/>
          </rPr>
          <t>Introducir un texto con el nombre o referencia de la contratación</t>
        </r>
      </text>
    </comment>
    <comment ref="B144" authorId="1" shapeId="0" xr:uid="{00000000-0006-0000-0100-000094000000}">
      <text>
        <r>
          <rPr>
            <sz val="11"/>
            <color theme="1"/>
            <rFont val="Calibri"/>
            <family val="2"/>
            <scheme val="minor"/>
          </rPr>
          <t>Introduzca un texto con la finalidad de la contratación</t>
        </r>
      </text>
    </comment>
    <comment ref="C144" authorId="1" shapeId="0" xr:uid="{00000000-0006-0000-0100-000095000000}">
      <text>
        <r>
          <rPr>
            <sz val="11"/>
            <color theme="1"/>
            <rFont val="Calibri"/>
            <family val="2"/>
            <scheme val="minor"/>
          </rPr>
          <t>Seleccionar un valor del listado</t>
        </r>
      </text>
    </comment>
    <comment ref="D144" authorId="1" shapeId="0" xr:uid="{00000000-0006-0000-0100-000096000000}">
      <text>
        <r>
          <rPr>
            <sz val="11"/>
            <color theme="1"/>
            <rFont val="Calibri"/>
            <family val="2"/>
            <scheme val="minor"/>
          </rPr>
          <t>Seleccione el tipo de procedimiento</t>
        </r>
      </text>
    </comment>
    <comment ref="E144" authorId="1" shapeId="0" xr:uid="{00000000-0006-0000-0100-000097000000}">
      <text>
        <r>
          <rPr>
            <sz val="11"/>
            <color theme="1"/>
            <rFont val="Calibri"/>
            <family val="2"/>
            <scheme val="minor"/>
          </rPr>
          <t>Seleccione un valor de la lista</t>
        </r>
      </text>
    </comment>
    <comment ref="F144" authorId="1" shapeId="0" xr:uid="{00000000-0006-0000-0100-000098000000}">
      <text>
        <r>
          <rPr>
            <sz val="11"/>
            <color theme="1"/>
            <rFont val="Calibri"/>
            <family val="2"/>
            <scheme val="minor"/>
          </rPr>
          <t>Introduzca el código SNIP</t>
        </r>
      </text>
    </comment>
    <comment ref="C145" authorId="1" shapeId="0" xr:uid="{00000000-0006-0000-0100-000099000000}">
      <text>
        <r>
          <rPr>
            <sz val="11"/>
            <color theme="1"/>
            <rFont val="Calibri"/>
            <family val="2"/>
            <scheme val="minor"/>
          </rPr>
          <t>Introduzca la fecha de inicio del proceso, en formato dd-mm-aaaa</t>
        </r>
      </text>
    </comment>
    <comment ref="F145"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 authorId="1" shapeId="0" xr:uid="{00000000-0006-0000-0100-00009C000000}">
      <text/>
    </comment>
    <comment ref="C147" authorId="1" shapeId="0" xr:uid="{00000000-0006-0000-0100-00009A000000}">
      <text>
        <r>
          <rPr>
            <sz val="11"/>
            <color theme="1"/>
            <rFont val="Calibri"/>
            <family val="2"/>
            <scheme val="minor"/>
          </rPr>
          <t>Introduzca la fecha prevista de adjudicación, en formato dd-mm-aaaa</t>
        </r>
      </text>
    </comment>
    <comment ref="F147" authorId="1" shapeId="0" xr:uid="{00000000-0006-0000-0100-00009D000000}">
      <text/>
    </comment>
    <comment ref="F148" authorId="1" shapeId="0" xr:uid="{00000000-0006-0000-0100-00009E000000}">
      <text/>
    </comment>
    <comment ref="A150" authorId="1" shapeId="0" xr:uid="{00000000-0006-0000-0100-00009F000000}">
      <text>
        <r>
          <rPr>
            <sz val="11"/>
            <color theme="1"/>
            <rFont val="Calibri"/>
            <family val="2"/>
            <scheme val="minor"/>
          </rPr>
          <t>Introduzca un codigo UNSPSC</t>
        </r>
      </text>
    </comment>
    <comment ref="B150" authorId="1" shapeId="0" xr:uid="{00000000-0006-0000-0100-0000A0000000}">
      <text>
        <r>
          <rPr>
            <sz val="11"/>
            <color theme="1"/>
            <rFont val="Calibri"/>
            <family val="2"/>
            <scheme val="minor"/>
          </rPr>
          <t>Descripción calculada automáticamente a partir de código del artículo</t>
        </r>
      </text>
    </comment>
    <comment ref="C150" authorId="1" shapeId="0" xr:uid="{00000000-0006-0000-0100-0000A1000000}">
      <text>
        <r>
          <rPr>
            <sz val="11"/>
            <color theme="1"/>
            <rFont val="Calibri"/>
            <family val="2"/>
            <scheme val="minor"/>
          </rPr>
          <t>Seleccione un valor de la lista</t>
        </r>
      </text>
    </comment>
    <comment ref="D150" authorId="1" shapeId="0" xr:uid="{00000000-0006-0000-0100-0000A2000000}">
      <text>
        <r>
          <rPr>
            <sz val="11"/>
            <color theme="1"/>
            <rFont val="Calibri"/>
            <family val="2"/>
            <scheme val="minor"/>
          </rPr>
          <t>Introduzca un número con dos decimales como máximo. Debe ser igual o mayor a la "Cantidad Real Consumida"</t>
        </r>
      </text>
    </comment>
    <comment ref="E150" authorId="1" shapeId="0" xr:uid="{00000000-0006-0000-0100-0000A3000000}">
      <text>
        <r>
          <rPr>
            <sz val="11"/>
            <color theme="1"/>
            <rFont val="Calibri"/>
            <family val="2"/>
            <scheme val="minor"/>
          </rPr>
          <t>Introduzca un número con dos decimales como máximo</t>
        </r>
      </text>
    </comment>
    <comment ref="F150" authorId="1" shapeId="0" xr:uid="{00000000-0006-0000-0100-0000A4000000}">
      <text>
        <r>
          <rPr>
            <sz val="11"/>
            <color theme="1"/>
            <rFont val="Calibri"/>
            <family val="2"/>
            <scheme val="minor"/>
          </rPr>
          <t>Monto calculado automáticamente por el sistema</t>
        </r>
      </text>
    </comment>
    <comment ref="A155" authorId="1" shapeId="0" xr:uid="{00000000-0006-0000-0100-0000A5000000}">
      <text>
        <r>
          <rPr>
            <sz val="11"/>
            <color theme="1"/>
            <rFont val="Calibri"/>
            <family val="2"/>
            <scheme val="minor"/>
          </rPr>
          <t>Introducir un texto con el nombre o referencia de la contratación</t>
        </r>
      </text>
    </comment>
    <comment ref="B155" authorId="1" shapeId="0" xr:uid="{00000000-0006-0000-0100-0000A6000000}">
      <text>
        <r>
          <rPr>
            <sz val="11"/>
            <color theme="1"/>
            <rFont val="Calibri"/>
            <family val="2"/>
            <scheme val="minor"/>
          </rPr>
          <t>Introduzca un texto con la finalidad de la contratación</t>
        </r>
      </text>
    </comment>
    <comment ref="C155" authorId="1" shapeId="0" xr:uid="{00000000-0006-0000-0100-0000A7000000}">
      <text>
        <r>
          <rPr>
            <sz val="11"/>
            <color theme="1"/>
            <rFont val="Calibri"/>
            <family val="2"/>
            <scheme val="minor"/>
          </rPr>
          <t>Seleccionar un valor del listado</t>
        </r>
      </text>
    </comment>
    <comment ref="D155" authorId="1" shapeId="0" xr:uid="{00000000-0006-0000-0100-0000A8000000}">
      <text>
        <r>
          <rPr>
            <sz val="11"/>
            <color theme="1"/>
            <rFont val="Calibri"/>
            <family val="2"/>
            <scheme val="minor"/>
          </rPr>
          <t>Seleccione el tipo de procedimiento</t>
        </r>
      </text>
    </comment>
    <comment ref="E155" authorId="1" shapeId="0" xr:uid="{00000000-0006-0000-0100-0000A9000000}">
      <text>
        <r>
          <rPr>
            <sz val="11"/>
            <color theme="1"/>
            <rFont val="Calibri"/>
            <family val="2"/>
            <scheme val="minor"/>
          </rPr>
          <t>Seleccione un valor de la lista</t>
        </r>
      </text>
    </comment>
    <comment ref="F155" authorId="1" shapeId="0" xr:uid="{00000000-0006-0000-0100-0000AA000000}">
      <text>
        <r>
          <rPr>
            <sz val="11"/>
            <color theme="1"/>
            <rFont val="Calibri"/>
            <family val="2"/>
            <scheme val="minor"/>
          </rPr>
          <t>Introduzca el código SNIP</t>
        </r>
      </text>
    </comment>
    <comment ref="C156" authorId="1" shapeId="0" xr:uid="{00000000-0006-0000-0100-0000AB000000}">
      <text>
        <r>
          <rPr>
            <sz val="11"/>
            <color theme="1"/>
            <rFont val="Calibri"/>
            <family val="2"/>
            <scheme val="minor"/>
          </rPr>
          <t>Introduzca la fecha de inicio del proceso, en formato dd-mm-aaaa</t>
        </r>
      </text>
    </comment>
    <comment ref="F156"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 authorId="1" shapeId="0" xr:uid="{00000000-0006-0000-0100-0000AE000000}">
      <text/>
    </comment>
    <comment ref="C158" authorId="1" shapeId="0" xr:uid="{00000000-0006-0000-0100-0000AC000000}">
      <text>
        <r>
          <rPr>
            <sz val="11"/>
            <color theme="1"/>
            <rFont val="Calibri"/>
            <family val="2"/>
            <scheme val="minor"/>
          </rPr>
          <t>Introduzca la fecha prevista de adjudicación, en formato dd-mm-aaaa</t>
        </r>
      </text>
    </comment>
    <comment ref="F158" authorId="1" shapeId="0" xr:uid="{00000000-0006-0000-0100-0000AF000000}">
      <text/>
    </comment>
    <comment ref="F159" authorId="1" shapeId="0" xr:uid="{00000000-0006-0000-0100-0000B0000000}">
      <text/>
    </comment>
    <comment ref="A161" authorId="1" shapeId="0" xr:uid="{00000000-0006-0000-0100-0000B1000000}">
      <text>
        <r>
          <rPr>
            <sz val="11"/>
            <color theme="1"/>
            <rFont val="Calibri"/>
            <family val="2"/>
            <scheme val="minor"/>
          </rPr>
          <t>Introduzca un codigo UNSPSC</t>
        </r>
      </text>
    </comment>
    <comment ref="B161" authorId="1" shapeId="0" xr:uid="{00000000-0006-0000-0100-0000B2000000}">
      <text>
        <r>
          <rPr>
            <sz val="11"/>
            <color theme="1"/>
            <rFont val="Calibri"/>
            <family val="2"/>
            <scheme val="minor"/>
          </rPr>
          <t>Descripción calculada automáticamente a partir de código del artículo</t>
        </r>
      </text>
    </comment>
    <comment ref="C161" authorId="1" shapeId="0" xr:uid="{00000000-0006-0000-0100-0000B3000000}">
      <text>
        <r>
          <rPr>
            <sz val="11"/>
            <color theme="1"/>
            <rFont val="Calibri"/>
            <family val="2"/>
            <scheme val="minor"/>
          </rPr>
          <t>Seleccione un valor de la lista</t>
        </r>
      </text>
    </comment>
    <comment ref="D161" authorId="1" shapeId="0" xr:uid="{00000000-0006-0000-0100-0000B4000000}">
      <text>
        <r>
          <rPr>
            <sz val="11"/>
            <color theme="1"/>
            <rFont val="Calibri"/>
            <family val="2"/>
            <scheme val="minor"/>
          </rPr>
          <t>Introduzca un número con dos decimales como máximo. Debe ser igual o mayor a la "Cantidad Real Consumida"</t>
        </r>
      </text>
    </comment>
    <comment ref="E161" authorId="1" shapeId="0" xr:uid="{00000000-0006-0000-0100-0000B5000000}">
      <text>
        <r>
          <rPr>
            <sz val="11"/>
            <color theme="1"/>
            <rFont val="Calibri"/>
            <family val="2"/>
            <scheme val="minor"/>
          </rPr>
          <t>Introduzca un número con dos decimales como máximo</t>
        </r>
      </text>
    </comment>
    <comment ref="F161" authorId="1" shapeId="0" xr:uid="{00000000-0006-0000-0100-0000B6000000}">
      <text>
        <r>
          <rPr>
            <sz val="11"/>
            <color theme="1"/>
            <rFont val="Calibri"/>
            <family val="2"/>
            <scheme val="minor"/>
          </rPr>
          <t>Monto calculado automáticamente por el sistema</t>
        </r>
      </text>
    </comment>
    <comment ref="A175" authorId="1" shapeId="0" xr:uid="{00000000-0006-0000-0100-0000B7000000}">
      <text>
        <r>
          <rPr>
            <sz val="11"/>
            <color theme="1"/>
            <rFont val="Calibri"/>
            <family val="2"/>
            <scheme val="minor"/>
          </rPr>
          <t>Introducir un texto con el nombre o referencia de la contratación</t>
        </r>
      </text>
    </comment>
    <comment ref="B175" authorId="1" shapeId="0" xr:uid="{00000000-0006-0000-0100-0000B8000000}">
      <text>
        <r>
          <rPr>
            <sz val="11"/>
            <color theme="1"/>
            <rFont val="Calibri"/>
            <family val="2"/>
            <scheme val="minor"/>
          </rPr>
          <t>Introduzca un texto con la finalidad de la contratación</t>
        </r>
      </text>
    </comment>
    <comment ref="C175" authorId="1" shapeId="0" xr:uid="{00000000-0006-0000-0100-0000B9000000}">
      <text>
        <r>
          <rPr>
            <sz val="11"/>
            <color theme="1"/>
            <rFont val="Calibri"/>
            <family val="2"/>
            <scheme val="minor"/>
          </rPr>
          <t>Seleccionar un valor del listado</t>
        </r>
      </text>
    </comment>
    <comment ref="D175" authorId="1" shapeId="0" xr:uid="{00000000-0006-0000-0100-0000BA000000}">
      <text>
        <r>
          <rPr>
            <sz val="11"/>
            <color theme="1"/>
            <rFont val="Calibri"/>
            <family val="2"/>
            <scheme val="minor"/>
          </rPr>
          <t>Seleccione el tipo de procedimiento</t>
        </r>
      </text>
    </comment>
    <comment ref="E175" authorId="1" shapeId="0" xr:uid="{00000000-0006-0000-0100-0000BB000000}">
      <text>
        <r>
          <rPr>
            <sz val="11"/>
            <color theme="1"/>
            <rFont val="Calibri"/>
            <family val="2"/>
            <scheme val="minor"/>
          </rPr>
          <t>Seleccione un valor de la lista</t>
        </r>
      </text>
    </comment>
    <comment ref="F175" authorId="1" shapeId="0" xr:uid="{00000000-0006-0000-0100-0000BC000000}">
      <text>
        <r>
          <rPr>
            <sz val="11"/>
            <color theme="1"/>
            <rFont val="Calibri"/>
            <family val="2"/>
            <scheme val="minor"/>
          </rPr>
          <t>Introduzca el código SNIP</t>
        </r>
      </text>
    </comment>
    <comment ref="C176" authorId="1" shapeId="0" xr:uid="{00000000-0006-0000-0100-0000BD000000}">
      <text>
        <r>
          <rPr>
            <sz val="11"/>
            <color theme="1"/>
            <rFont val="Calibri"/>
            <family val="2"/>
            <scheme val="minor"/>
          </rPr>
          <t>Introduzca la fecha de inicio del proceso, en formato dd-mm-aaaa</t>
        </r>
      </text>
    </comment>
    <comment ref="F176"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 authorId="1" shapeId="0" xr:uid="{00000000-0006-0000-0100-0000C0000000}">
      <text/>
    </comment>
    <comment ref="C178" authorId="1" shapeId="0" xr:uid="{00000000-0006-0000-0100-0000BE000000}">
      <text>
        <r>
          <rPr>
            <sz val="11"/>
            <color theme="1"/>
            <rFont val="Calibri"/>
            <family val="2"/>
            <scheme val="minor"/>
          </rPr>
          <t>Introduzca la fecha prevista de adjudicación, en formato dd-mm-aaaa</t>
        </r>
      </text>
    </comment>
    <comment ref="F178" authorId="1" shapeId="0" xr:uid="{00000000-0006-0000-0100-0000C1000000}">
      <text/>
    </comment>
    <comment ref="F179" authorId="1" shapeId="0" xr:uid="{00000000-0006-0000-0100-0000C2000000}">
      <text/>
    </comment>
    <comment ref="A181" authorId="1" shapeId="0" xr:uid="{00000000-0006-0000-0100-0000C3000000}">
      <text>
        <r>
          <rPr>
            <sz val="11"/>
            <color theme="1"/>
            <rFont val="Calibri"/>
            <family val="2"/>
            <scheme val="minor"/>
          </rPr>
          <t>Introduzca un codigo UNSPSC</t>
        </r>
      </text>
    </comment>
    <comment ref="B181" authorId="1" shapeId="0" xr:uid="{00000000-0006-0000-0100-0000C4000000}">
      <text>
        <r>
          <rPr>
            <sz val="11"/>
            <color theme="1"/>
            <rFont val="Calibri"/>
            <family val="2"/>
            <scheme val="minor"/>
          </rPr>
          <t>Descripción calculada automáticamente a partir de código del artículo</t>
        </r>
      </text>
    </comment>
    <comment ref="C181" authorId="1" shapeId="0" xr:uid="{00000000-0006-0000-0100-0000C5000000}">
      <text>
        <r>
          <rPr>
            <sz val="11"/>
            <color theme="1"/>
            <rFont val="Calibri"/>
            <family val="2"/>
            <scheme val="minor"/>
          </rPr>
          <t>Seleccione un valor de la lista</t>
        </r>
      </text>
    </comment>
    <comment ref="D181" authorId="1" shapeId="0" xr:uid="{00000000-0006-0000-0100-0000C6000000}">
      <text>
        <r>
          <rPr>
            <sz val="11"/>
            <color theme="1"/>
            <rFont val="Calibri"/>
            <family val="2"/>
            <scheme val="minor"/>
          </rPr>
          <t>Introduzca un número con dos decimales como máximo. Debe ser igual o mayor a la "Cantidad Real Consumida"</t>
        </r>
      </text>
    </comment>
    <comment ref="E181" authorId="1" shapeId="0" xr:uid="{00000000-0006-0000-0100-0000C7000000}">
      <text>
        <r>
          <rPr>
            <sz val="11"/>
            <color theme="1"/>
            <rFont val="Calibri"/>
            <family val="2"/>
            <scheme val="minor"/>
          </rPr>
          <t>Introduzca un número con dos decimales como máximo</t>
        </r>
      </text>
    </comment>
    <comment ref="F181" authorId="1" shapeId="0" xr:uid="{00000000-0006-0000-0100-0000C8000000}">
      <text>
        <r>
          <rPr>
            <sz val="11"/>
            <color theme="1"/>
            <rFont val="Calibri"/>
            <family val="2"/>
            <scheme val="minor"/>
          </rPr>
          <t>Monto calculado automáticamente por el sistema</t>
        </r>
      </text>
    </comment>
    <comment ref="A248" authorId="1" shapeId="0" xr:uid="{00000000-0006-0000-0100-0000C9000000}">
      <text>
        <r>
          <rPr>
            <sz val="11"/>
            <color theme="1"/>
            <rFont val="Calibri"/>
            <family val="2"/>
            <scheme val="minor"/>
          </rPr>
          <t>Introducir un texto con el nombre o referencia de la contratación</t>
        </r>
      </text>
    </comment>
    <comment ref="B248" authorId="1" shapeId="0" xr:uid="{00000000-0006-0000-0100-0000CA000000}">
      <text>
        <r>
          <rPr>
            <sz val="11"/>
            <color theme="1"/>
            <rFont val="Calibri"/>
            <family val="2"/>
            <scheme val="minor"/>
          </rPr>
          <t>Introduzca un texto con la finalidad de la contratación</t>
        </r>
      </text>
    </comment>
    <comment ref="C248" authorId="1" shapeId="0" xr:uid="{00000000-0006-0000-0100-0000CB000000}">
      <text>
        <r>
          <rPr>
            <sz val="11"/>
            <color theme="1"/>
            <rFont val="Calibri"/>
            <family val="2"/>
            <scheme val="minor"/>
          </rPr>
          <t>Seleccionar un valor del listado</t>
        </r>
      </text>
    </comment>
    <comment ref="D248" authorId="1" shapeId="0" xr:uid="{00000000-0006-0000-0100-0000CC000000}">
      <text>
        <r>
          <rPr>
            <sz val="11"/>
            <color theme="1"/>
            <rFont val="Calibri"/>
            <family val="2"/>
            <scheme val="minor"/>
          </rPr>
          <t>Seleccione el tipo de procedimiento</t>
        </r>
      </text>
    </comment>
    <comment ref="E248" authorId="1" shapeId="0" xr:uid="{00000000-0006-0000-0100-0000CD000000}">
      <text>
        <r>
          <rPr>
            <sz val="11"/>
            <color theme="1"/>
            <rFont val="Calibri"/>
            <family val="2"/>
            <scheme val="minor"/>
          </rPr>
          <t>Seleccione un valor de la lista</t>
        </r>
      </text>
    </comment>
    <comment ref="F248" authorId="1" shapeId="0" xr:uid="{00000000-0006-0000-0100-0000CE000000}">
      <text>
        <r>
          <rPr>
            <sz val="11"/>
            <color theme="1"/>
            <rFont val="Calibri"/>
            <family val="2"/>
            <scheme val="minor"/>
          </rPr>
          <t>Introduzca el código SNIP</t>
        </r>
      </text>
    </comment>
    <comment ref="C249" authorId="1" shapeId="0" xr:uid="{00000000-0006-0000-0100-0000CF000000}">
      <text>
        <r>
          <rPr>
            <sz val="11"/>
            <color theme="1"/>
            <rFont val="Calibri"/>
            <family val="2"/>
            <scheme val="minor"/>
          </rPr>
          <t>Introduzca la fecha de inicio del proceso, en formato dd-mm-aaaa</t>
        </r>
      </text>
    </comment>
    <comment ref="F249"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0" authorId="1" shapeId="0" xr:uid="{00000000-0006-0000-0100-0000D2000000}">
      <text/>
    </comment>
    <comment ref="C251" authorId="1" shapeId="0" xr:uid="{00000000-0006-0000-0100-0000D0000000}">
      <text>
        <r>
          <rPr>
            <sz val="11"/>
            <color theme="1"/>
            <rFont val="Calibri"/>
            <family val="2"/>
            <scheme val="minor"/>
          </rPr>
          <t>Introduzca la fecha prevista de adjudicación, en formato dd-mm-aaaa</t>
        </r>
      </text>
    </comment>
    <comment ref="F251" authorId="1" shapeId="0" xr:uid="{00000000-0006-0000-0100-0000D3000000}">
      <text/>
    </comment>
    <comment ref="F252" authorId="1" shapeId="0" xr:uid="{00000000-0006-0000-0100-0000D4000000}">
      <text/>
    </comment>
    <comment ref="A254" authorId="1" shapeId="0" xr:uid="{00000000-0006-0000-0100-0000D5000000}">
      <text>
        <r>
          <rPr>
            <sz val="11"/>
            <color theme="1"/>
            <rFont val="Calibri"/>
            <family val="2"/>
            <scheme val="minor"/>
          </rPr>
          <t>Introduzca un codigo UNSPSC</t>
        </r>
      </text>
    </comment>
    <comment ref="B254" authorId="1" shapeId="0" xr:uid="{00000000-0006-0000-0100-0000D6000000}">
      <text>
        <r>
          <rPr>
            <sz val="11"/>
            <color theme="1"/>
            <rFont val="Calibri"/>
            <family val="2"/>
            <scheme val="minor"/>
          </rPr>
          <t>Descripción calculada automáticamente a partir de código del artículo</t>
        </r>
      </text>
    </comment>
    <comment ref="C254" authorId="1" shapeId="0" xr:uid="{00000000-0006-0000-0100-0000D7000000}">
      <text>
        <r>
          <rPr>
            <sz val="11"/>
            <color theme="1"/>
            <rFont val="Calibri"/>
            <family val="2"/>
            <scheme val="minor"/>
          </rPr>
          <t>Seleccione un valor de la lista</t>
        </r>
      </text>
    </comment>
    <comment ref="D254" authorId="1" shapeId="0" xr:uid="{00000000-0006-0000-0100-0000D8000000}">
      <text>
        <r>
          <rPr>
            <sz val="11"/>
            <color theme="1"/>
            <rFont val="Calibri"/>
            <family val="2"/>
            <scheme val="minor"/>
          </rPr>
          <t>Introduzca un número con dos decimales como máximo. Debe ser igual o mayor a la "Cantidad Real Consumida"</t>
        </r>
      </text>
    </comment>
    <comment ref="E254" authorId="1" shapeId="0" xr:uid="{00000000-0006-0000-0100-0000D9000000}">
      <text>
        <r>
          <rPr>
            <sz val="11"/>
            <color theme="1"/>
            <rFont val="Calibri"/>
            <family val="2"/>
            <scheme val="minor"/>
          </rPr>
          <t>Introduzca un número con dos decimales como máximo</t>
        </r>
      </text>
    </comment>
    <comment ref="F254" authorId="1" shapeId="0" xr:uid="{00000000-0006-0000-0100-0000DA000000}">
      <text>
        <r>
          <rPr>
            <sz val="11"/>
            <color theme="1"/>
            <rFont val="Calibri"/>
            <family val="2"/>
            <scheme val="minor"/>
          </rPr>
          <t>Monto calculado automáticamente por el sistema</t>
        </r>
      </text>
    </comment>
    <comment ref="A259" authorId="1" shapeId="0" xr:uid="{00000000-0006-0000-0100-0000DB000000}">
      <text>
        <r>
          <rPr>
            <sz val="11"/>
            <color theme="1"/>
            <rFont val="Calibri"/>
            <family val="2"/>
            <scheme val="minor"/>
          </rPr>
          <t>Introducir un texto con el nombre o referencia de la contratación</t>
        </r>
      </text>
    </comment>
    <comment ref="B259" authorId="1" shapeId="0" xr:uid="{00000000-0006-0000-0100-0000DC000000}">
      <text>
        <r>
          <rPr>
            <sz val="11"/>
            <color theme="1"/>
            <rFont val="Calibri"/>
            <family val="2"/>
            <scheme val="minor"/>
          </rPr>
          <t>Introduzca un texto con la finalidad de la contratación</t>
        </r>
      </text>
    </comment>
    <comment ref="C259" authorId="1" shapeId="0" xr:uid="{00000000-0006-0000-0100-0000DD000000}">
      <text>
        <r>
          <rPr>
            <sz val="11"/>
            <color theme="1"/>
            <rFont val="Calibri"/>
            <family val="2"/>
            <scheme val="minor"/>
          </rPr>
          <t>Seleccionar un valor del listado</t>
        </r>
      </text>
    </comment>
    <comment ref="D259" authorId="1" shapeId="0" xr:uid="{00000000-0006-0000-0100-0000DE000000}">
      <text>
        <r>
          <rPr>
            <sz val="11"/>
            <color theme="1"/>
            <rFont val="Calibri"/>
            <family val="2"/>
            <scheme val="minor"/>
          </rPr>
          <t>Seleccione el tipo de procedimiento</t>
        </r>
      </text>
    </comment>
    <comment ref="E259" authorId="1" shapeId="0" xr:uid="{00000000-0006-0000-0100-0000DF000000}">
      <text>
        <r>
          <rPr>
            <sz val="11"/>
            <color theme="1"/>
            <rFont val="Calibri"/>
            <family val="2"/>
            <scheme val="minor"/>
          </rPr>
          <t>Seleccione un valor de la lista</t>
        </r>
      </text>
    </comment>
    <comment ref="F259" authorId="1" shapeId="0" xr:uid="{00000000-0006-0000-0100-0000E0000000}">
      <text>
        <r>
          <rPr>
            <sz val="11"/>
            <color theme="1"/>
            <rFont val="Calibri"/>
            <family val="2"/>
            <scheme val="minor"/>
          </rPr>
          <t>Introduzca el código SNIP</t>
        </r>
      </text>
    </comment>
    <comment ref="C260" authorId="1" shapeId="0" xr:uid="{00000000-0006-0000-0100-0000E1000000}">
      <text>
        <r>
          <rPr>
            <sz val="11"/>
            <color theme="1"/>
            <rFont val="Calibri"/>
            <family val="2"/>
            <scheme val="minor"/>
          </rPr>
          <t>Introduzca la fecha de inicio del proceso, en formato dd-mm-aaaa</t>
        </r>
      </text>
    </comment>
    <comment ref="F260"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1" authorId="1" shapeId="0" xr:uid="{00000000-0006-0000-0100-0000E4000000}">
      <text/>
    </comment>
    <comment ref="C262" authorId="1" shapeId="0" xr:uid="{00000000-0006-0000-0100-0000E2000000}">
      <text>
        <r>
          <rPr>
            <sz val="11"/>
            <color theme="1"/>
            <rFont val="Calibri"/>
            <family val="2"/>
            <scheme val="minor"/>
          </rPr>
          <t>Introduzca la fecha prevista de adjudicación, en formato dd-mm-aaaa</t>
        </r>
      </text>
    </comment>
    <comment ref="F262" authorId="1" shapeId="0" xr:uid="{00000000-0006-0000-0100-0000E5000000}">
      <text/>
    </comment>
    <comment ref="F263" authorId="1" shapeId="0" xr:uid="{00000000-0006-0000-0100-0000E6000000}">
      <text/>
    </comment>
    <comment ref="A265" authorId="1" shapeId="0" xr:uid="{00000000-0006-0000-0100-0000E7000000}">
      <text>
        <r>
          <rPr>
            <sz val="11"/>
            <color theme="1"/>
            <rFont val="Calibri"/>
            <family val="2"/>
            <scheme val="minor"/>
          </rPr>
          <t>Introduzca un codigo UNSPSC</t>
        </r>
      </text>
    </comment>
    <comment ref="B265" authorId="1" shapeId="0" xr:uid="{00000000-0006-0000-0100-0000E8000000}">
      <text>
        <r>
          <rPr>
            <sz val="11"/>
            <color theme="1"/>
            <rFont val="Calibri"/>
            <family val="2"/>
            <scheme val="minor"/>
          </rPr>
          <t>Descripción calculada automáticamente a partir de código del artículo</t>
        </r>
      </text>
    </comment>
    <comment ref="C265" authorId="1" shapeId="0" xr:uid="{00000000-0006-0000-0100-0000E9000000}">
      <text>
        <r>
          <rPr>
            <sz val="11"/>
            <color theme="1"/>
            <rFont val="Calibri"/>
            <family val="2"/>
            <scheme val="minor"/>
          </rPr>
          <t>Seleccione un valor de la lista</t>
        </r>
      </text>
    </comment>
    <comment ref="D265" authorId="1" shapeId="0" xr:uid="{00000000-0006-0000-0100-0000EA000000}">
      <text>
        <r>
          <rPr>
            <sz val="11"/>
            <color theme="1"/>
            <rFont val="Calibri"/>
            <family val="2"/>
            <scheme val="minor"/>
          </rPr>
          <t>Introduzca un número con dos decimales como máximo. Debe ser igual o mayor a la "Cantidad Real Consumida"</t>
        </r>
      </text>
    </comment>
    <comment ref="E265" authorId="1" shapeId="0" xr:uid="{00000000-0006-0000-0100-0000EB000000}">
      <text>
        <r>
          <rPr>
            <sz val="11"/>
            <color theme="1"/>
            <rFont val="Calibri"/>
            <family val="2"/>
            <scheme val="minor"/>
          </rPr>
          <t>Introduzca un número con dos decimales como máximo</t>
        </r>
      </text>
    </comment>
    <comment ref="F265" authorId="1" shapeId="0" xr:uid="{00000000-0006-0000-0100-0000EC000000}">
      <text>
        <r>
          <rPr>
            <sz val="11"/>
            <color theme="1"/>
            <rFont val="Calibri"/>
            <family val="2"/>
            <scheme val="minor"/>
          </rPr>
          <t>Monto calculado automáticamente por el sistema</t>
        </r>
      </text>
    </comment>
    <comment ref="A270" authorId="1" shapeId="0" xr:uid="{00000000-0006-0000-0100-0000ED000000}">
      <text>
        <r>
          <rPr>
            <sz val="11"/>
            <color theme="1"/>
            <rFont val="Calibri"/>
            <family val="2"/>
            <scheme val="minor"/>
          </rPr>
          <t>Introducir un texto con el nombre o referencia de la contratación</t>
        </r>
      </text>
    </comment>
    <comment ref="B270" authorId="1" shapeId="0" xr:uid="{00000000-0006-0000-0100-0000EE000000}">
      <text>
        <r>
          <rPr>
            <sz val="11"/>
            <color theme="1"/>
            <rFont val="Calibri"/>
            <family val="2"/>
            <scheme val="minor"/>
          </rPr>
          <t>Introduzca un texto con la finalidad de la contratación</t>
        </r>
      </text>
    </comment>
    <comment ref="C270" authorId="1" shapeId="0" xr:uid="{00000000-0006-0000-0100-0000EF000000}">
      <text>
        <r>
          <rPr>
            <sz val="11"/>
            <color theme="1"/>
            <rFont val="Calibri"/>
            <family val="2"/>
            <scheme val="minor"/>
          </rPr>
          <t>Seleccionar un valor del listado</t>
        </r>
      </text>
    </comment>
    <comment ref="D270" authorId="1" shapeId="0" xr:uid="{00000000-0006-0000-0100-0000F0000000}">
      <text>
        <r>
          <rPr>
            <sz val="11"/>
            <color theme="1"/>
            <rFont val="Calibri"/>
            <family val="2"/>
            <scheme val="minor"/>
          </rPr>
          <t>Seleccione el tipo de procedimiento</t>
        </r>
      </text>
    </comment>
    <comment ref="E270" authorId="1" shapeId="0" xr:uid="{00000000-0006-0000-0100-0000F1000000}">
      <text>
        <r>
          <rPr>
            <sz val="11"/>
            <color theme="1"/>
            <rFont val="Calibri"/>
            <family val="2"/>
            <scheme val="minor"/>
          </rPr>
          <t>Seleccione un valor de la lista</t>
        </r>
      </text>
    </comment>
    <comment ref="F270" authorId="1" shapeId="0" xr:uid="{00000000-0006-0000-0100-0000F2000000}">
      <text>
        <r>
          <rPr>
            <sz val="11"/>
            <color theme="1"/>
            <rFont val="Calibri"/>
            <family val="2"/>
            <scheme val="minor"/>
          </rPr>
          <t>Introduzca el código SNIP</t>
        </r>
      </text>
    </comment>
    <comment ref="C271" authorId="1" shapeId="0" xr:uid="{00000000-0006-0000-0100-0000F3000000}">
      <text>
        <r>
          <rPr>
            <sz val="11"/>
            <color theme="1"/>
            <rFont val="Calibri"/>
            <family val="2"/>
            <scheme val="minor"/>
          </rPr>
          <t>Introduzca la fecha de inicio del proceso, en formato dd-mm-aaaa</t>
        </r>
      </text>
    </comment>
    <comment ref="F271"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2" authorId="1" shapeId="0" xr:uid="{00000000-0006-0000-0100-0000F6000000}">
      <text/>
    </comment>
    <comment ref="C273" authorId="1" shapeId="0" xr:uid="{00000000-0006-0000-0100-0000F4000000}">
      <text>
        <r>
          <rPr>
            <sz val="11"/>
            <color theme="1"/>
            <rFont val="Calibri"/>
            <family val="2"/>
            <scheme val="minor"/>
          </rPr>
          <t>Introduzca la fecha prevista de adjudicación, en formato dd-mm-aaaa</t>
        </r>
      </text>
    </comment>
    <comment ref="F273" authorId="1" shapeId="0" xr:uid="{00000000-0006-0000-0100-0000F7000000}">
      <text/>
    </comment>
    <comment ref="F274" authorId="1" shapeId="0" xr:uid="{00000000-0006-0000-0100-0000F8000000}">
      <text/>
    </comment>
    <comment ref="A276" authorId="1" shapeId="0" xr:uid="{00000000-0006-0000-0100-0000F9000000}">
      <text>
        <r>
          <rPr>
            <sz val="11"/>
            <color theme="1"/>
            <rFont val="Calibri"/>
            <family val="2"/>
            <scheme val="minor"/>
          </rPr>
          <t>Introduzca un codigo UNSPSC</t>
        </r>
      </text>
    </comment>
    <comment ref="B276" authorId="1" shapeId="0" xr:uid="{00000000-0006-0000-0100-0000FA000000}">
      <text>
        <r>
          <rPr>
            <sz val="11"/>
            <color theme="1"/>
            <rFont val="Calibri"/>
            <family val="2"/>
            <scheme val="minor"/>
          </rPr>
          <t>Descripción calculada automáticamente a partir de código del artículo</t>
        </r>
      </text>
    </comment>
    <comment ref="C276" authorId="1" shapeId="0" xr:uid="{00000000-0006-0000-0100-0000FB000000}">
      <text>
        <r>
          <rPr>
            <sz val="11"/>
            <color theme="1"/>
            <rFont val="Calibri"/>
            <family val="2"/>
            <scheme val="minor"/>
          </rPr>
          <t>Seleccione un valor de la lista</t>
        </r>
      </text>
    </comment>
    <comment ref="D276" authorId="1" shapeId="0" xr:uid="{00000000-0006-0000-0100-0000FC000000}">
      <text>
        <r>
          <rPr>
            <sz val="11"/>
            <color theme="1"/>
            <rFont val="Calibri"/>
            <family val="2"/>
            <scheme val="minor"/>
          </rPr>
          <t>Introduzca un número con dos decimales como máximo. Debe ser igual o mayor a la "Cantidad Real Consumida"</t>
        </r>
      </text>
    </comment>
    <comment ref="E276" authorId="1" shapeId="0" xr:uid="{00000000-0006-0000-0100-0000FD000000}">
      <text>
        <r>
          <rPr>
            <sz val="11"/>
            <color theme="1"/>
            <rFont val="Calibri"/>
            <family val="2"/>
            <scheme val="minor"/>
          </rPr>
          <t>Introduzca un número con dos decimales como máximo</t>
        </r>
      </text>
    </comment>
    <comment ref="F276" authorId="1" shapeId="0" xr:uid="{00000000-0006-0000-0100-0000FE000000}">
      <text>
        <r>
          <rPr>
            <sz val="11"/>
            <color theme="1"/>
            <rFont val="Calibri"/>
            <family val="2"/>
            <scheme val="minor"/>
          </rPr>
          <t>Monto calculado automáticamente por el sistema</t>
        </r>
      </text>
    </comment>
    <comment ref="A281" authorId="1" shapeId="0" xr:uid="{00000000-0006-0000-0100-0000FF000000}">
      <text>
        <r>
          <rPr>
            <sz val="11"/>
            <color theme="1"/>
            <rFont val="Calibri"/>
            <family val="2"/>
            <scheme val="minor"/>
          </rPr>
          <t>Introducir un texto con el nombre o referencia de la contratación</t>
        </r>
      </text>
    </comment>
    <comment ref="B281" authorId="1" shapeId="0" xr:uid="{00000000-0006-0000-0100-000000010000}">
      <text>
        <r>
          <rPr>
            <sz val="11"/>
            <color theme="1"/>
            <rFont val="Calibri"/>
            <family val="2"/>
            <scheme val="minor"/>
          </rPr>
          <t>Introduzca un texto con la finalidad de la contratación</t>
        </r>
      </text>
    </comment>
    <comment ref="C281" authorId="1" shapeId="0" xr:uid="{00000000-0006-0000-0100-000001010000}">
      <text>
        <r>
          <rPr>
            <sz val="11"/>
            <color theme="1"/>
            <rFont val="Calibri"/>
            <family val="2"/>
            <scheme val="minor"/>
          </rPr>
          <t>Seleccionar un valor del listado</t>
        </r>
      </text>
    </comment>
    <comment ref="D281" authorId="1" shapeId="0" xr:uid="{00000000-0006-0000-0100-000002010000}">
      <text>
        <r>
          <rPr>
            <sz val="11"/>
            <color theme="1"/>
            <rFont val="Calibri"/>
            <family val="2"/>
            <scheme val="minor"/>
          </rPr>
          <t>Seleccione el tipo de procedimiento</t>
        </r>
      </text>
    </comment>
    <comment ref="E281" authorId="1" shapeId="0" xr:uid="{00000000-0006-0000-0100-000003010000}">
      <text>
        <r>
          <rPr>
            <sz val="11"/>
            <color theme="1"/>
            <rFont val="Calibri"/>
            <family val="2"/>
            <scheme val="minor"/>
          </rPr>
          <t>Seleccione un valor de la lista</t>
        </r>
      </text>
    </comment>
    <comment ref="F281" authorId="1" shapeId="0" xr:uid="{00000000-0006-0000-0100-000004010000}">
      <text>
        <r>
          <rPr>
            <sz val="11"/>
            <color theme="1"/>
            <rFont val="Calibri"/>
            <family val="2"/>
            <scheme val="minor"/>
          </rPr>
          <t>Introduzca el código SNIP</t>
        </r>
      </text>
    </comment>
    <comment ref="C282" authorId="1" shapeId="0" xr:uid="{00000000-0006-0000-0100-000005010000}">
      <text>
        <r>
          <rPr>
            <sz val="11"/>
            <color theme="1"/>
            <rFont val="Calibri"/>
            <family val="2"/>
            <scheme val="minor"/>
          </rPr>
          <t>Introduzca la fecha de inicio del proceso, en formato dd-mm-aaaa</t>
        </r>
      </text>
    </comment>
    <comment ref="F282"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3" authorId="1" shapeId="0" xr:uid="{00000000-0006-0000-0100-000008010000}">
      <text/>
    </comment>
    <comment ref="C284" authorId="1" shapeId="0" xr:uid="{00000000-0006-0000-0100-000006010000}">
      <text>
        <r>
          <rPr>
            <sz val="11"/>
            <color theme="1"/>
            <rFont val="Calibri"/>
            <family val="2"/>
            <scheme val="minor"/>
          </rPr>
          <t>Introduzca la fecha prevista de adjudicación, en formato dd-mm-aaaa</t>
        </r>
      </text>
    </comment>
    <comment ref="F284" authorId="1" shapeId="0" xr:uid="{00000000-0006-0000-0100-000009010000}">
      <text/>
    </comment>
    <comment ref="F285" authorId="1" shapeId="0" xr:uid="{00000000-0006-0000-0100-00000A010000}">
      <text/>
    </comment>
    <comment ref="A287" authorId="1" shapeId="0" xr:uid="{00000000-0006-0000-0100-00000B010000}">
      <text>
        <r>
          <rPr>
            <sz val="11"/>
            <color theme="1"/>
            <rFont val="Calibri"/>
            <family val="2"/>
            <scheme val="minor"/>
          </rPr>
          <t>Introduzca un codigo UNSPSC</t>
        </r>
      </text>
    </comment>
    <comment ref="B287" authorId="1" shapeId="0" xr:uid="{00000000-0006-0000-0100-00000C010000}">
      <text>
        <r>
          <rPr>
            <sz val="11"/>
            <color theme="1"/>
            <rFont val="Calibri"/>
            <family val="2"/>
            <scheme val="minor"/>
          </rPr>
          <t>Descripción calculada automáticamente a partir de código del artículo</t>
        </r>
      </text>
    </comment>
    <comment ref="C287" authorId="1" shapeId="0" xr:uid="{00000000-0006-0000-0100-00000D010000}">
      <text>
        <r>
          <rPr>
            <sz val="11"/>
            <color theme="1"/>
            <rFont val="Calibri"/>
            <family val="2"/>
            <scheme val="minor"/>
          </rPr>
          <t>Seleccione un valor de la lista</t>
        </r>
      </text>
    </comment>
    <comment ref="D287" authorId="1" shapeId="0" xr:uid="{00000000-0006-0000-0100-00000E010000}">
      <text>
        <r>
          <rPr>
            <sz val="11"/>
            <color theme="1"/>
            <rFont val="Calibri"/>
            <family val="2"/>
            <scheme val="minor"/>
          </rPr>
          <t>Introduzca un número con dos decimales como máximo. Debe ser igual o mayor a la "Cantidad Real Consumida"</t>
        </r>
      </text>
    </comment>
    <comment ref="E287" authorId="1" shapeId="0" xr:uid="{00000000-0006-0000-0100-00000F010000}">
      <text>
        <r>
          <rPr>
            <sz val="11"/>
            <color theme="1"/>
            <rFont val="Calibri"/>
            <family val="2"/>
            <scheme val="minor"/>
          </rPr>
          <t>Introduzca un número con dos decimales como máximo</t>
        </r>
      </text>
    </comment>
    <comment ref="F287" authorId="1" shapeId="0" xr:uid="{00000000-0006-0000-0100-000010010000}">
      <text>
        <r>
          <rPr>
            <sz val="11"/>
            <color theme="1"/>
            <rFont val="Calibri"/>
            <family val="2"/>
            <scheme val="minor"/>
          </rPr>
          <t>Monto calculado automáticamente por el sistema</t>
        </r>
      </text>
    </comment>
    <comment ref="A311" authorId="1" shapeId="0" xr:uid="{00000000-0006-0000-0100-000011010000}">
      <text>
        <r>
          <rPr>
            <sz val="11"/>
            <color theme="1"/>
            <rFont val="Calibri"/>
            <family val="2"/>
            <scheme val="minor"/>
          </rPr>
          <t>Introducir un texto con el nombre o referencia de la contratación</t>
        </r>
      </text>
    </comment>
    <comment ref="B311" authorId="1" shapeId="0" xr:uid="{00000000-0006-0000-0100-000012010000}">
      <text>
        <r>
          <rPr>
            <sz val="11"/>
            <color theme="1"/>
            <rFont val="Calibri"/>
            <family val="2"/>
            <scheme val="minor"/>
          </rPr>
          <t>Introduzca un texto con la finalidad de la contratación</t>
        </r>
      </text>
    </comment>
    <comment ref="C311" authorId="1" shapeId="0" xr:uid="{00000000-0006-0000-0100-000013010000}">
      <text>
        <r>
          <rPr>
            <sz val="11"/>
            <color theme="1"/>
            <rFont val="Calibri"/>
            <family val="2"/>
            <scheme val="minor"/>
          </rPr>
          <t>Seleccionar un valor del listado</t>
        </r>
      </text>
    </comment>
    <comment ref="D311" authorId="1" shapeId="0" xr:uid="{00000000-0006-0000-0100-000014010000}">
      <text>
        <r>
          <rPr>
            <sz val="11"/>
            <color theme="1"/>
            <rFont val="Calibri"/>
            <family val="2"/>
            <scheme val="minor"/>
          </rPr>
          <t>Seleccione el tipo de procedimiento</t>
        </r>
      </text>
    </comment>
    <comment ref="E311" authorId="1" shapeId="0" xr:uid="{00000000-0006-0000-0100-000015010000}">
      <text>
        <r>
          <rPr>
            <sz val="11"/>
            <color theme="1"/>
            <rFont val="Calibri"/>
            <family val="2"/>
            <scheme val="minor"/>
          </rPr>
          <t>Seleccione un valor de la lista</t>
        </r>
      </text>
    </comment>
    <comment ref="F311" authorId="1" shapeId="0" xr:uid="{00000000-0006-0000-0100-000016010000}">
      <text>
        <r>
          <rPr>
            <sz val="11"/>
            <color theme="1"/>
            <rFont val="Calibri"/>
            <family val="2"/>
            <scheme val="minor"/>
          </rPr>
          <t>Introduzca el código SNIP</t>
        </r>
      </text>
    </comment>
    <comment ref="C312" authorId="1" shapeId="0" xr:uid="{00000000-0006-0000-0100-000017010000}">
      <text>
        <r>
          <rPr>
            <sz val="11"/>
            <color theme="1"/>
            <rFont val="Calibri"/>
            <family val="2"/>
            <scheme val="minor"/>
          </rPr>
          <t>Introduzca la fecha de inicio del proceso, en formato dd-mm-aaaa</t>
        </r>
      </text>
    </comment>
    <comment ref="F312"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3" authorId="1" shapeId="0" xr:uid="{00000000-0006-0000-0100-00001A010000}">
      <text/>
    </comment>
    <comment ref="C314" authorId="1" shapeId="0" xr:uid="{00000000-0006-0000-0100-000018010000}">
      <text>
        <r>
          <rPr>
            <sz val="11"/>
            <color theme="1"/>
            <rFont val="Calibri"/>
            <family val="2"/>
            <scheme val="minor"/>
          </rPr>
          <t>Introduzca la fecha prevista de adjudicación, en formato dd-mm-aaaa</t>
        </r>
      </text>
    </comment>
    <comment ref="F314" authorId="1" shapeId="0" xr:uid="{00000000-0006-0000-0100-00001B010000}">
      <text/>
    </comment>
    <comment ref="F315" authorId="1" shapeId="0" xr:uid="{00000000-0006-0000-0100-00001C010000}">
      <text/>
    </comment>
    <comment ref="A317" authorId="1" shapeId="0" xr:uid="{00000000-0006-0000-0100-00001D010000}">
      <text>
        <r>
          <rPr>
            <sz val="11"/>
            <color theme="1"/>
            <rFont val="Calibri"/>
            <family val="2"/>
            <scheme val="minor"/>
          </rPr>
          <t>Introduzca un codigo UNSPSC</t>
        </r>
      </text>
    </comment>
    <comment ref="B317" authorId="1" shapeId="0" xr:uid="{00000000-0006-0000-0100-00001E010000}">
      <text>
        <r>
          <rPr>
            <sz val="11"/>
            <color theme="1"/>
            <rFont val="Calibri"/>
            <family val="2"/>
            <scheme val="minor"/>
          </rPr>
          <t>Descripción calculada automáticamente a partir de código del artículo</t>
        </r>
      </text>
    </comment>
    <comment ref="C317" authorId="1" shapeId="0" xr:uid="{00000000-0006-0000-0100-00001F010000}">
      <text>
        <r>
          <rPr>
            <sz val="11"/>
            <color theme="1"/>
            <rFont val="Calibri"/>
            <family val="2"/>
            <scheme val="minor"/>
          </rPr>
          <t>Seleccione un valor de la lista</t>
        </r>
      </text>
    </comment>
    <comment ref="D317" authorId="1" shapeId="0" xr:uid="{00000000-0006-0000-0100-000020010000}">
      <text>
        <r>
          <rPr>
            <sz val="11"/>
            <color theme="1"/>
            <rFont val="Calibri"/>
            <family val="2"/>
            <scheme val="minor"/>
          </rPr>
          <t>Introduzca un número con dos decimales como máximo. Debe ser igual o mayor a la "Cantidad Real Consumida"</t>
        </r>
      </text>
    </comment>
    <comment ref="E317" authorId="1" shapeId="0" xr:uid="{00000000-0006-0000-0100-000021010000}">
      <text>
        <r>
          <rPr>
            <sz val="11"/>
            <color theme="1"/>
            <rFont val="Calibri"/>
            <family val="2"/>
            <scheme val="minor"/>
          </rPr>
          <t>Introduzca un número con dos decimales como máximo</t>
        </r>
      </text>
    </comment>
    <comment ref="F317" authorId="1" shapeId="0" xr:uid="{00000000-0006-0000-0100-000022010000}">
      <text>
        <r>
          <rPr>
            <sz val="11"/>
            <color theme="1"/>
            <rFont val="Calibri"/>
            <family val="2"/>
            <scheme val="minor"/>
          </rPr>
          <t>Monto calculado automáticamente por el sistema</t>
        </r>
      </text>
    </comment>
    <comment ref="A322" authorId="1" shapeId="0" xr:uid="{00000000-0006-0000-0100-000023010000}">
      <text>
        <r>
          <rPr>
            <sz val="11"/>
            <color theme="1"/>
            <rFont val="Calibri"/>
            <family val="2"/>
            <scheme val="minor"/>
          </rPr>
          <t>Introducir un texto con el nombre o referencia de la contratación</t>
        </r>
      </text>
    </comment>
    <comment ref="B322" authorId="1" shapeId="0" xr:uid="{00000000-0006-0000-0100-000024010000}">
      <text>
        <r>
          <rPr>
            <sz val="11"/>
            <color theme="1"/>
            <rFont val="Calibri"/>
            <family val="2"/>
            <scheme val="minor"/>
          </rPr>
          <t>Introduzca un texto con la finalidad de la contratación</t>
        </r>
      </text>
    </comment>
    <comment ref="C322" authorId="1" shapeId="0" xr:uid="{00000000-0006-0000-0100-000025010000}">
      <text>
        <r>
          <rPr>
            <sz val="11"/>
            <color theme="1"/>
            <rFont val="Calibri"/>
            <family val="2"/>
            <scheme val="minor"/>
          </rPr>
          <t>Seleccionar un valor del listado</t>
        </r>
      </text>
    </comment>
    <comment ref="D322" authorId="1" shapeId="0" xr:uid="{00000000-0006-0000-0100-000026010000}">
      <text>
        <r>
          <rPr>
            <sz val="11"/>
            <color theme="1"/>
            <rFont val="Calibri"/>
            <family val="2"/>
            <scheme val="minor"/>
          </rPr>
          <t>Seleccione el tipo de procedimiento</t>
        </r>
      </text>
    </comment>
    <comment ref="E322" authorId="1" shapeId="0" xr:uid="{00000000-0006-0000-0100-000027010000}">
      <text>
        <r>
          <rPr>
            <sz val="11"/>
            <color theme="1"/>
            <rFont val="Calibri"/>
            <family val="2"/>
            <scheme val="minor"/>
          </rPr>
          <t>Seleccione un valor de la lista</t>
        </r>
      </text>
    </comment>
    <comment ref="F322" authorId="1" shapeId="0" xr:uid="{00000000-0006-0000-0100-000028010000}">
      <text>
        <r>
          <rPr>
            <sz val="11"/>
            <color theme="1"/>
            <rFont val="Calibri"/>
            <family val="2"/>
            <scheme val="minor"/>
          </rPr>
          <t>Introduzca el código SNIP</t>
        </r>
      </text>
    </comment>
    <comment ref="C323" authorId="1" shapeId="0" xr:uid="{00000000-0006-0000-0100-000029010000}">
      <text>
        <r>
          <rPr>
            <sz val="11"/>
            <color theme="1"/>
            <rFont val="Calibri"/>
            <family val="2"/>
            <scheme val="minor"/>
          </rPr>
          <t>Introduzca la fecha de inicio del proceso, en formato dd-mm-aaaa</t>
        </r>
      </text>
    </comment>
    <comment ref="F323"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4" authorId="1" shapeId="0" xr:uid="{00000000-0006-0000-0100-00002C010000}">
      <text/>
    </comment>
    <comment ref="C325" authorId="1" shapeId="0" xr:uid="{00000000-0006-0000-0100-00002A010000}">
      <text>
        <r>
          <rPr>
            <sz val="11"/>
            <color theme="1"/>
            <rFont val="Calibri"/>
            <family val="2"/>
            <scheme val="minor"/>
          </rPr>
          <t>Introduzca la fecha prevista de adjudicación, en formato dd-mm-aaaa</t>
        </r>
      </text>
    </comment>
    <comment ref="F325" authorId="1" shapeId="0" xr:uid="{00000000-0006-0000-0100-00002D010000}">
      <text/>
    </comment>
    <comment ref="F326" authorId="1" shapeId="0" xr:uid="{00000000-0006-0000-0100-00002E010000}">
      <text/>
    </comment>
    <comment ref="A328" authorId="1" shapeId="0" xr:uid="{00000000-0006-0000-0100-00002F010000}">
      <text>
        <r>
          <rPr>
            <sz val="11"/>
            <color theme="1"/>
            <rFont val="Calibri"/>
            <family val="2"/>
            <scheme val="minor"/>
          </rPr>
          <t>Introduzca un codigo UNSPSC</t>
        </r>
      </text>
    </comment>
    <comment ref="B328" authorId="1" shapeId="0" xr:uid="{00000000-0006-0000-0100-000030010000}">
      <text>
        <r>
          <rPr>
            <sz val="11"/>
            <color theme="1"/>
            <rFont val="Calibri"/>
            <family val="2"/>
            <scheme val="minor"/>
          </rPr>
          <t>Descripción calculada automáticamente a partir de código del artículo</t>
        </r>
      </text>
    </comment>
    <comment ref="C328" authorId="1" shapeId="0" xr:uid="{00000000-0006-0000-0100-000031010000}">
      <text>
        <r>
          <rPr>
            <sz val="11"/>
            <color theme="1"/>
            <rFont val="Calibri"/>
            <family val="2"/>
            <scheme val="minor"/>
          </rPr>
          <t>Seleccione un valor de la lista</t>
        </r>
      </text>
    </comment>
    <comment ref="D328" authorId="1" shapeId="0" xr:uid="{00000000-0006-0000-0100-000032010000}">
      <text>
        <r>
          <rPr>
            <sz val="11"/>
            <color theme="1"/>
            <rFont val="Calibri"/>
            <family val="2"/>
            <scheme val="minor"/>
          </rPr>
          <t>Introduzca un número con dos decimales como máximo. Debe ser igual o mayor a la "Cantidad Real Consumida"</t>
        </r>
      </text>
    </comment>
    <comment ref="E328" authorId="1" shapeId="0" xr:uid="{00000000-0006-0000-0100-000033010000}">
      <text>
        <r>
          <rPr>
            <sz val="11"/>
            <color theme="1"/>
            <rFont val="Calibri"/>
            <family val="2"/>
            <scheme val="minor"/>
          </rPr>
          <t>Introduzca un número con dos decimales como máximo</t>
        </r>
      </text>
    </comment>
    <comment ref="F328" authorId="1" shapeId="0" xr:uid="{00000000-0006-0000-0100-000034010000}">
      <text>
        <r>
          <rPr>
            <sz val="11"/>
            <color theme="1"/>
            <rFont val="Calibri"/>
            <family val="2"/>
            <scheme val="minor"/>
          </rPr>
          <t>Monto calculado automáticamente por el sistema</t>
        </r>
      </text>
    </comment>
    <comment ref="A377" authorId="1" shapeId="0" xr:uid="{00000000-0006-0000-0100-000035010000}">
      <text>
        <r>
          <rPr>
            <sz val="11"/>
            <color theme="1"/>
            <rFont val="Calibri"/>
            <family val="2"/>
            <scheme val="minor"/>
          </rPr>
          <t>Introducir un texto con el nombre o referencia de la contratación</t>
        </r>
      </text>
    </comment>
    <comment ref="B377" authorId="1" shapeId="0" xr:uid="{00000000-0006-0000-0100-000036010000}">
      <text>
        <r>
          <rPr>
            <sz val="11"/>
            <color theme="1"/>
            <rFont val="Calibri"/>
            <family val="2"/>
            <scheme val="minor"/>
          </rPr>
          <t>Introduzca un texto con la finalidad de la contratación</t>
        </r>
      </text>
    </comment>
    <comment ref="C377" authorId="1" shapeId="0" xr:uid="{00000000-0006-0000-0100-000037010000}">
      <text>
        <r>
          <rPr>
            <sz val="11"/>
            <color theme="1"/>
            <rFont val="Calibri"/>
            <family val="2"/>
            <scheme val="minor"/>
          </rPr>
          <t>Seleccionar un valor del listado</t>
        </r>
      </text>
    </comment>
    <comment ref="D377" authorId="1" shapeId="0" xr:uid="{00000000-0006-0000-0100-000038010000}">
      <text>
        <r>
          <rPr>
            <sz val="11"/>
            <color theme="1"/>
            <rFont val="Calibri"/>
            <family val="2"/>
            <scheme val="minor"/>
          </rPr>
          <t>Seleccione el tipo de procedimiento</t>
        </r>
      </text>
    </comment>
    <comment ref="E377" authorId="1" shapeId="0" xr:uid="{00000000-0006-0000-0100-000039010000}">
      <text>
        <r>
          <rPr>
            <sz val="11"/>
            <color theme="1"/>
            <rFont val="Calibri"/>
            <family val="2"/>
            <scheme val="minor"/>
          </rPr>
          <t>Seleccione un valor de la lista</t>
        </r>
      </text>
    </comment>
    <comment ref="F377" authorId="1" shapeId="0" xr:uid="{00000000-0006-0000-0100-00003A010000}">
      <text>
        <r>
          <rPr>
            <sz val="11"/>
            <color theme="1"/>
            <rFont val="Calibri"/>
            <family val="2"/>
            <scheme val="minor"/>
          </rPr>
          <t>Introduzca el código SNIP</t>
        </r>
      </text>
    </comment>
    <comment ref="C378" authorId="1" shapeId="0" xr:uid="{00000000-0006-0000-0100-00003B010000}">
      <text>
        <r>
          <rPr>
            <sz val="11"/>
            <color theme="1"/>
            <rFont val="Calibri"/>
            <family val="2"/>
            <scheme val="minor"/>
          </rPr>
          <t>Introduzca la fecha de inicio del proceso, en formato dd-mm-aaaa</t>
        </r>
      </text>
    </comment>
    <comment ref="F378"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9" authorId="1" shapeId="0" xr:uid="{00000000-0006-0000-0100-00003E010000}">
      <text/>
    </comment>
    <comment ref="C380" authorId="1" shapeId="0" xr:uid="{00000000-0006-0000-0100-00003C010000}">
      <text>
        <r>
          <rPr>
            <sz val="11"/>
            <color theme="1"/>
            <rFont val="Calibri"/>
            <family val="2"/>
            <scheme val="minor"/>
          </rPr>
          <t>Introduzca la fecha prevista de adjudicación, en formato dd-mm-aaaa</t>
        </r>
      </text>
    </comment>
    <comment ref="F380" authorId="1" shapeId="0" xr:uid="{00000000-0006-0000-0100-00003F010000}">
      <text/>
    </comment>
    <comment ref="F381" authorId="1" shapeId="0" xr:uid="{00000000-0006-0000-0100-000040010000}">
      <text/>
    </comment>
    <comment ref="A383" authorId="1" shapeId="0" xr:uid="{00000000-0006-0000-0100-000041010000}">
      <text>
        <r>
          <rPr>
            <sz val="11"/>
            <color theme="1"/>
            <rFont val="Calibri"/>
            <family val="2"/>
            <scheme val="minor"/>
          </rPr>
          <t>Introduzca un codigo UNSPSC</t>
        </r>
      </text>
    </comment>
    <comment ref="B383" authorId="1" shapeId="0" xr:uid="{00000000-0006-0000-0100-000042010000}">
      <text>
        <r>
          <rPr>
            <sz val="11"/>
            <color theme="1"/>
            <rFont val="Calibri"/>
            <family val="2"/>
            <scheme val="minor"/>
          </rPr>
          <t>Descripción calculada automáticamente a partir de código del artículo</t>
        </r>
      </text>
    </comment>
    <comment ref="C383" authorId="1" shapeId="0" xr:uid="{00000000-0006-0000-0100-000043010000}">
      <text>
        <r>
          <rPr>
            <sz val="11"/>
            <color theme="1"/>
            <rFont val="Calibri"/>
            <family val="2"/>
            <scheme val="minor"/>
          </rPr>
          <t>Seleccione un valor de la lista</t>
        </r>
      </text>
    </comment>
    <comment ref="D383" authorId="1" shapeId="0" xr:uid="{00000000-0006-0000-0100-000044010000}">
      <text>
        <r>
          <rPr>
            <sz val="11"/>
            <color theme="1"/>
            <rFont val="Calibri"/>
            <family val="2"/>
            <scheme val="minor"/>
          </rPr>
          <t>Introduzca un número con dos decimales como máximo. Debe ser igual o mayor a la "Cantidad Real Consumida"</t>
        </r>
      </text>
    </comment>
    <comment ref="E383" authorId="1" shapeId="0" xr:uid="{00000000-0006-0000-0100-000045010000}">
      <text>
        <r>
          <rPr>
            <sz val="11"/>
            <color theme="1"/>
            <rFont val="Calibri"/>
            <family val="2"/>
            <scheme val="minor"/>
          </rPr>
          <t>Introduzca un número con dos decimales como máximo</t>
        </r>
      </text>
    </comment>
    <comment ref="F383" authorId="1" shapeId="0" xr:uid="{00000000-0006-0000-0100-000046010000}">
      <text>
        <r>
          <rPr>
            <sz val="11"/>
            <color theme="1"/>
            <rFont val="Calibri"/>
            <family val="2"/>
            <scheme val="minor"/>
          </rPr>
          <t>Monto calculado automáticamente por el sistema</t>
        </r>
      </text>
    </comment>
    <comment ref="A397" authorId="1" shapeId="0" xr:uid="{00000000-0006-0000-0100-000047010000}">
      <text>
        <r>
          <rPr>
            <sz val="11"/>
            <color theme="1"/>
            <rFont val="Calibri"/>
            <family val="2"/>
            <scheme val="minor"/>
          </rPr>
          <t>Introducir un texto con el nombre o referencia de la contratación</t>
        </r>
      </text>
    </comment>
    <comment ref="B397" authorId="1" shapeId="0" xr:uid="{00000000-0006-0000-0100-000048010000}">
      <text>
        <r>
          <rPr>
            <sz val="11"/>
            <color theme="1"/>
            <rFont val="Calibri"/>
            <family val="2"/>
            <scheme val="minor"/>
          </rPr>
          <t>Introduzca un texto con la finalidad de la contratación</t>
        </r>
      </text>
    </comment>
    <comment ref="C397" authorId="1" shapeId="0" xr:uid="{00000000-0006-0000-0100-000049010000}">
      <text>
        <r>
          <rPr>
            <sz val="11"/>
            <color theme="1"/>
            <rFont val="Calibri"/>
            <family val="2"/>
            <scheme val="minor"/>
          </rPr>
          <t>Seleccionar un valor del listado</t>
        </r>
      </text>
    </comment>
    <comment ref="D397" authorId="1" shapeId="0" xr:uid="{00000000-0006-0000-0100-00004A010000}">
      <text>
        <r>
          <rPr>
            <sz val="11"/>
            <color theme="1"/>
            <rFont val="Calibri"/>
            <family val="2"/>
            <scheme val="minor"/>
          </rPr>
          <t>Seleccione el tipo de procedimiento</t>
        </r>
      </text>
    </comment>
    <comment ref="E397" authorId="1" shapeId="0" xr:uid="{00000000-0006-0000-0100-00004B010000}">
      <text>
        <r>
          <rPr>
            <sz val="11"/>
            <color theme="1"/>
            <rFont val="Calibri"/>
            <family val="2"/>
            <scheme val="minor"/>
          </rPr>
          <t>Seleccione un valor de la lista</t>
        </r>
      </text>
    </comment>
    <comment ref="F397" authorId="1" shapeId="0" xr:uid="{00000000-0006-0000-0100-00004C010000}">
      <text>
        <r>
          <rPr>
            <sz val="11"/>
            <color theme="1"/>
            <rFont val="Calibri"/>
            <family val="2"/>
            <scheme val="minor"/>
          </rPr>
          <t>Introduzca el código SNIP</t>
        </r>
      </text>
    </comment>
    <comment ref="C398" authorId="1" shapeId="0" xr:uid="{00000000-0006-0000-0100-00004D010000}">
      <text>
        <r>
          <rPr>
            <sz val="11"/>
            <color theme="1"/>
            <rFont val="Calibri"/>
            <family val="2"/>
            <scheme val="minor"/>
          </rPr>
          <t>Introduzca la fecha de inicio del proceso, en formato dd-mm-aaaa</t>
        </r>
      </text>
    </comment>
    <comment ref="F398"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9" authorId="1" shapeId="0" xr:uid="{00000000-0006-0000-0100-000050010000}">
      <text/>
    </comment>
    <comment ref="C400" authorId="1" shapeId="0" xr:uid="{00000000-0006-0000-0100-00004E010000}">
      <text>
        <r>
          <rPr>
            <sz val="11"/>
            <color theme="1"/>
            <rFont val="Calibri"/>
            <family val="2"/>
            <scheme val="minor"/>
          </rPr>
          <t>Introduzca la fecha prevista de adjudicación, en formato dd-mm-aaaa</t>
        </r>
      </text>
    </comment>
    <comment ref="F400" authorId="1" shapeId="0" xr:uid="{00000000-0006-0000-0100-000051010000}">
      <text/>
    </comment>
    <comment ref="F401" authorId="1" shapeId="0" xr:uid="{00000000-0006-0000-0100-000052010000}">
      <text/>
    </comment>
    <comment ref="A403" authorId="1" shapeId="0" xr:uid="{00000000-0006-0000-0100-000053010000}">
      <text>
        <r>
          <rPr>
            <sz val="11"/>
            <color theme="1"/>
            <rFont val="Calibri"/>
            <family val="2"/>
            <scheme val="minor"/>
          </rPr>
          <t>Introduzca un codigo UNSPSC</t>
        </r>
      </text>
    </comment>
    <comment ref="B403" authorId="1" shapeId="0" xr:uid="{00000000-0006-0000-0100-000054010000}">
      <text>
        <r>
          <rPr>
            <sz val="11"/>
            <color theme="1"/>
            <rFont val="Calibri"/>
            <family val="2"/>
            <scheme val="minor"/>
          </rPr>
          <t>Descripción calculada automáticamente a partir de código del artículo</t>
        </r>
      </text>
    </comment>
    <comment ref="C403" authorId="1" shapeId="0" xr:uid="{00000000-0006-0000-0100-000055010000}">
      <text>
        <r>
          <rPr>
            <sz val="11"/>
            <color theme="1"/>
            <rFont val="Calibri"/>
            <family val="2"/>
            <scheme val="minor"/>
          </rPr>
          <t>Seleccione un valor de la lista</t>
        </r>
      </text>
    </comment>
    <comment ref="D403" authorId="1" shapeId="0" xr:uid="{00000000-0006-0000-0100-000056010000}">
      <text>
        <r>
          <rPr>
            <sz val="11"/>
            <color theme="1"/>
            <rFont val="Calibri"/>
            <family val="2"/>
            <scheme val="minor"/>
          </rPr>
          <t>Introduzca un número con dos decimales como máximo. Debe ser igual o mayor a la "Cantidad Real Consumida"</t>
        </r>
      </text>
    </comment>
    <comment ref="E403" authorId="1" shapeId="0" xr:uid="{00000000-0006-0000-0100-000057010000}">
      <text>
        <r>
          <rPr>
            <sz val="11"/>
            <color theme="1"/>
            <rFont val="Calibri"/>
            <family val="2"/>
            <scheme val="minor"/>
          </rPr>
          <t>Introduzca un número con dos decimales como máximo</t>
        </r>
      </text>
    </comment>
    <comment ref="F403" authorId="1" shapeId="0" xr:uid="{00000000-0006-0000-0100-000058010000}">
      <text>
        <r>
          <rPr>
            <sz val="11"/>
            <color theme="1"/>
            <rFont val="Calibri"/>
            <family val="2"/>
            <scheme val="minor"/>
          </rPr>
          <t>Monto calculado automáticamente por el sistema</t>
        </r>
      </text>
    </comment>
    <comment ref="A438" authorId="1" shapeId="0" xr:uid="{00000000-0006-0000-0100-000059010000}">
      <text>
        <r>
          <rPr>
            <sz val="11"/>
            <color theme="1"/>
            <rFont val="Calibri"/>
            <family val="2"/>
            <scheme val="minor"/>
          </rPr>
          <t>Introducir un texto con el nombre o referencia de la contratación</t>
        </r>
      </text>
    </comment>
    <comment ref="B438" authorId="1" shapeId="0" xr:uid="{00000000-0006-0000-0100-00005A010000}">
      <text>
        <r>
          <rPr>
            <sz val="11"/>
            <color theme="1"/>
            <rFont val="Calibri"/>
            <family val="2"/>
            <scheme val="minor"/>
          </rPr>
          <t>Introduzca un texto con la finalidad de la contratación</t>
        </r>
      </text>
    </comment>
    <comment ref="C438" authorId="1" shapeId="0" xr:uid="{00000000-0006-0000-0100-00005B010000}">
      <text>
        <r>
          <rPr>
            <sz val="11"/>
            <color theme="1"/>
            <rFont val="Calibri"/>
            <family val="2"/>
            <scheme val="minor"/>
          </rPr>
          <t>Seleccionar un valor del listado</t>
        </r>
      </text>
    </comment>
    <comment ref="D438" authorId="1" shapeId="0" xr:uid="{00000000-0006-0000-0100-00005C010000}">
      <text>
        <r>
          <rPr>
            <sz val="11"/>
            <color theme="1"/>
            <rFont val="Calibri"/>
            <family val="2"/>
            <scheme val="minor"/>
          </rPr>
          <t>Seleccione el tipo de procedimiento</t>
        </r>
      </text>
    </comment>
    <comment ref="E438" authorId="1" shapeId="0" xr:uid="{00000000-0006-0000-0100-00005D010000}">
      <text>
        <r>
          <rPr>
            <sz val="11"/>
            <color theme="1"/>
            <rFont val="Calibri"/>
            <family val="2"/>
            <scheme val="minor"/>
          </rPr>
          <t>Seleccione un valor de la lista</t>
        </r>
      </text>
    </comment>
    <comment ref="F438" authorId="1" shapeId="0" xr:uid="{00000000-0006-0000-0100-00005E010000}">
      <text>
        <r>
          <rPr>
            <sz val="11"/>
            <color theme="1"/>
            <rFont val="Calibri"/>
            <family val="2"/>
            <scheme val="minor"/>
          </rPr>
          <t>Introduzca el código SNIP</t>
        </r>
      </text>
    </comment>
    <comment ref="C439" authorId="1" shapeId="0" xr:uid="{00000000-0006-0000-0100-00005F010000}">
      <text>
        <r>
          <rPr>
            <sz val="11"/>
            <color theme="1"/>
            <rFont val="Calibri"/>
            <family val="2"/>
            <scheme val="minor"/>
          </rPr>
          <t>Introduzca la fecha de inicio del proceso, en formato dd-mm-aaaa</t>
        </r>
      </text>
    </comment>
    <comment ref="F439"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0" authorId="1" shapeId="0" xr:uid="{00000000-0006-0000-0100-000062010000}">
      <text/>
    </comment>
    <comment ref="C441" authorId="1" shapeId="0" xr:uid="{00000000-0006-0000-0100-000060010000}">
      <text>
        <r>
          <rPr>
            <sz val="11"/>
            <color theme="1"/>
            <rFont val="Calibri"/>
            <family val="2"/>
            <scheme val="minor"/>
          </rPr>
          <t>Introduzca la fecha prevista de adjudicación, en formato dd-mm-aaaa</t>
        </r>
      </text>
    </comment>
    <comment ref="F441" authorId="1" shapeId="0" xr:uid="{00000000-0006-0000-0100-000063010000}">
      <text/>
    </comment>
    <comment ref="F442" authorId="1" shapeId="0" xr:uid="{00000000-0006-0000-0100-000064010000}">
      <text/>
    </comment>
    <comment ref="A444" authorId="1" shapeId="0" xr:uid="{00000000-0006-0000-0100-000065010000}">
      <text>
        <r>
          <rPr>
            <sz val="11"/>
            <color theme="1"/>
            <rFont val="Calibri"/>
            <family val="2"/>
            <scheme val="minor"/>
          </rPr>
          <t>Introduzca un codigo UNSPSC</t>
        </r>
      </text>
    </comment>
    <comment ref="B444" authorId="1" shapeId="0" xr:uid="{00000000-0006-0000-0100-000066010000}">
      <text>
        <r>
          <rPr>
            <sz val="11"/>
            <color theme="1"/>
            <rFont val="Calibri"/>
            <family val="2"/>
            <scheme val="minor"/>
          </rPr>
          <t>Descripción calculada automáticamente a partir de código del artículo</t>
        </r>
      </text>
    </comment>
    <comment ref="C444" authorId="1" shapeId="0" xr:uid="{00000000-0006-0000-0100-000067010000}">
      <text>
        <r>
          <rPr>
            <sz val="11"/>
            <color theme="1"/>
            <rFont val="Calibri"/>
            <family val="2"/>
            <scheme val="minor"/>
          </rPr>
          <t>Seleccione un valor de la lista</t>
        </r>
      </text>
    </comment>
    <comment ref="D444" authorId="1" shapeId="0" xr:uid="{00000000-0006-0000-0100-000068010000}">
      <text>
        <r>
          <rPr>
            <sz val="11"/>
            <color theme="1"/>
            <rFont val="Calibri"/>
            <family val="2"/>
            <scheme val="minor"/>
          </rPr>
          <t>Introduzca un número con dos decimales como máximo. Debe ser igual o mayor a la "Cantidad Real Consumida"</t>
        </r>
      </text>
    </comment>
    <comment ref="E444" authorId="1" shapeId="0" xr:uid="{00000000-0006-0000-0100-000069010000}">
      <text>
        <r>
          <rPr>
            <sz val="11"/>
            <color theme="1"/>
            <rFont val="Calibri"/>
            <family val="2"/>
            <scheme val="minor"/>
          </rPr>
          <t>Introduzca un número con dos decimales como máximo</t>
        </r>
      </text>
    </comment>
    <comment ref="F444" authorId="1" shapeId="0" xr:uid="{00000000-0006-0000-0100-00006A010000}">
      <text>
        <r>
          <rPr>
            <sz val="11"/>
            <color theme="1"/>
            <rFont val="Calibri"/>
            <family val="2"/>
            <scheme val="minor"/>
          </rPr>
          <t>Monto calculado automáticamente por el sistema</t>
        </r>
      </text>
    </comment>
    <comment ref="A525" authorId="1" shapeId="0" xr:uid="{00000000-0006-0000-0100-00006B010000}">
      <text>
        <r>
          <rPr>
            <sz val="11"/>
            <color theme="1"/>
            <rFont val="Calibri"/>
            <family val="2"/>
            <scheme val="minor"/>
          </rPr>
          <t>Introducir un texto con el nombre o referencia de la contratación</t>
        </r>
      </text>
    </comment>
    <comment ref="B525" authorId="1" shapeId="0" xr:uid="{00000000-0006-0000-0100-00006C010000}">
      <text>
        <r>
          <rPr>
            <sz val="11"/>
            <color theme="1"/>
            <rFont val="Calibri"/>
            <family val="2"/>
            <scheme val="minor"/>
          </rPr>
          <t>Introduzca un texto con la finalidad de la contratación</t>
        </r>
      </text>
    </comment>
    <comment ref="C525" authorId="1" shapeId="0" xr:uid="{00000000-0006-0000-0100-00006D010000}">
      <text>
        <r>
          <rPr>
            <sz val="11"/>
            <color theme="1"/>
            <rFont val="Calibri"/>
            <family val="2"/>
            <scheme val="minor"/>
          </rPr>
          <t>Seleccionar un valor del listado</t>
        </r>
      </text>
    </comment>
    <comment ref="D525" authorId="1" shapeId="0" xr:uid="{00000000-0006-0000-0100-00006E010000}">
      <text>
        <r>
          <rPr>
            <sz val="11"/>
            <color theme="1"/>
            <rFont val="Calibri"/>
            <family val="2"/>
            <scheme val="minor"/>
          </rPr>
          <t>Seleccione el tipo de procedimiento</t>
        </r>
      </text>
    </comment>
    <comment ref="E525" authorId="1" shapeId="0" xr:uid="{00000000-0006-0000-0100-00006F010000}">
      <text>
        <r>
          <rPr>
            <sz val="11"/>
            <color theme="1"/>
            <rFont val="Calibri"/>
            <family val="2"/>
            <scheme val="minor"/>
          </rPr>
          <t>Seleccione un valor de la lista</t>
        </r>
      </text>
    </comment>
    <comment ref="F525" authorId="1" shapeId="0" xr:uid="{00000000-0006-0000-0100-000070010000}">
      <text>
        <r>
          <rPr>
            <sz val="11"/>
            <color theme="1"/>
            <rFont val="Calibri"/>
            <family val="2"/>
            <scheme val="minor"/>
          </rPr>
          <t>Introduzca el código SNIP</t>
        </r>
      </text>
    </comment>
    <comment ref="C526" authorId="1" shapeId="0" xr:uid="{00000000-0006-0000-0100-000071010000}">
      <text>
        <r>
          <rPr>
            <sz val="11"/>
            <color theme="1"/>
            <rFont val="Calibri"/>
            <family val="2"/>
            <scheme val="minor"/>
          </rPr>
          <t>Introduzca la fecha de inicio del proceso, en formato dd-mm-aaaa</t>
        </r>
      </text>
    </comment>
    <comment ref="F526"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7" authorId="1" shapeId="0" xr:uid="{00000000-0006-0000-0100-000074010000}">
      <text/>
    </comment>
    <comment ref="C528" authorId="1" shapeId="0" xr:uid="{00000000-0006-0000-0100-000072010000}">
      <text>
        <r>
          <rPr>
            <sz val="11"/>
            <color theme="1"/>
            <rFont val="Calibri"/>
            <family val="2"/>
            <scheme val="minor"/>
          </rPr>
          <t>Introduzca la fecha prevista de adjudicación, en formato dd-mm-aaaa</t>
        </r>
      </text>
    </comment>
    <comment ref="F528" authorId="1" shapeId="0" xr:uid="{00000000-0006-0000-0100-000075010000}">
      <text/>
    </comment>
    <comment ref="F529" authorId="1" shapeId="0" xr:uid="{00000000-0006-0000-0100-000076010000}">
      <text/>
    </comment>
    <comment ref="A531" authorId="1" shapeId="0" xr:uid="{00000000-0006-0000-0100-000077010000}">
      <text>
        <r>
          <rPr>
            <sz val="11"/>
            <color theme="1"/>
            <rFont val="Calibri"/>
            <family val="2"/>
            <scheme val="minor"/>
          </rPr>
          <t>Introduzca un codigo UNSPSC</t>
        </r>
      </text>
    </comment>
    <comment ref="B531" authorId="1" shapeId="0" xr:uid="{00000000-0006-0000-0100-000078010000}">
      <text>
        <r>
          <rPr>
            <sz val="11"/>
            <color theme="1"/>
            <rFont val="Calibri"/>
            <family val="2"/>
            <scheme val="minor"/>
          </rPr>
          <t>Descripción calculada automáticamente a partir de código del artículo</t>
        </r>
      </text>
    </comment>
    <comment ref="C531" authorId="1" shapeId="0" xr:uid="{00000000-0006-0000-0100-000079010000}">
      <text>
        <r>
          <rPr>
            <sz val="11"/>
            <color theme="1"/>
            <rFont val="Calibri"/>
            <family val="2"/>
            <scheme val="minor"/>
          </rPr>
          <t>Seleccione un valor de la lista</t>
        </r>
      </text>
    </comment>
    <comment ref="D531" authorId="1" shapeId="0" xr:uid="{00000000-0006-0000-0100-00007A010000}">
      <text>
        <r>
          <rPr>
            <sz val="11"/>
            <color theme="1"/>
            <rFont val="Calibri"/>
            <family val="2"/>
            <scheme val="minor"/>
          </rPr>
          <t>Introduzca un número con dos decimales como máximo. Debe ser igual o mayor a la "Cantidad Real Consumida"</t>
        </r>
      </text>
    </comment>
    <comment ref="E531" authorId="1" shapeId="0" xr:uid="{00000000-0006-0000-0100-00007B010000}">
      <text>
        <r>
          <rPr>
            <sz val="11"/>
            <color theme="1"/>
            <rFont val="Calibri"/>
            <family val="2"/>
            <scheme val="minor"/>
          </rPr>
          <t>Introduzca un número con dos decimales como máximo</t>
        </r>
      </text>
    </comment>
    <comment ref="F531" authorId="1" shapeId="0" xr:uid="{00000000-0006-0000-0100-00007C010000}">
      <text>
        <r>
          <rPr>
            <sz val="11"/>
            <color theme="1"/>
            <rFont val="Calibri"/>
            <family val="2"/>
            <scheme val="minor"/>
          </rPr>
          <t>Monto calculado automáticamente por el sistema</t>
        </r>
      </text>
    </comment>
    <comment ref="A578" authorId="1" shapeId="0" xr:uid="{00000000-0006-0000-0100-00007D010000}">
      <text>
        <r>
          <rPr>
            <sz val="11"/>
            <color theme="1"/>
            <rFont val="Calibri"/>
            <family val="2"/>
            <scheme val="minor"/>
          </rPr>
          <t>Introducir un texto con el nombre o referencia de la contratación</t>
        </r>
      </text>
    </comment>
    <comment ref="B578" authorId="1" shapeId="0" xr:uid="{00000000-0006-0000-0100-00007E010000}">
      <text>
        <r>
          <rPr>
            <sz val="11"/>
            <color theme="1"/>
            <rFont val="Calibri"/>
            <family val="2"/>
            <scheme val="minor"/>
          </rPr>
          <t>Introduzca un texto con la finalidad de la contratación</t>
        </r>
      </text>
    </comment>
    <comment ref="C578" authorId="1" shapeId="0" xr:uid="{00000000-0006-0000-0100-00007F010000}">
      <text>
        <r>
          <rPr>
            <sz val="11"/>
            <color theme="1"/>
            <rFont val="Calibri"/>
            <family val="2"/>
            <scheme val="minor"/>
          </rPr>
          <t>Seleccionar un valor del listado</t>
        </r>
      </text>
    </comment>
    <comment ref="D578" authorId="1" shapeId="0" xr:uid="{00000000-0006-0000-0100-000080010000}">
      <text>
        <r>
          <rPr>
            <sz val="11"/>
            <color theme="1"/>
            <rFont val="Calibri"/>
            <family val="2"/>
            <scheme val="minor"/>
          </rPr>
          <t>Seleccione el tipo de procedimiento</t>
        </r>
      </text>
    </comment>
    <comment ref="E578" authorId="1" shapeId="0" xr:uid="{00000000-0006-0000-0100-000081010000}">
      <text>
        <r>
          <rPr>
            <sz val="11"/>
            <color theme="1"/>
            <rFont val="Calibri"/>
            <family val="2"/>
            <scheme val="minor"/>
          </rPr>
          <t>Seleccione un valor de la lista</t>
        </r>
      </text>
    </comment>
    <comment ref="F578" authorId="1" shapeId="0" xr:uid="{00000000-0006-0000-0100-000082010000}">
      <text>
        <r>
          <rPr>
            <sz val="11"/>
            <color theme="1"/>
            <rFont val="Calibri"/>
            <family val="2"/>
            <scheme val="minor"/>
          </rPr>
          <t>Introduzca el código SNIP</t>
        </r>
      </text>
    </comment>
    <comment ref="C579" authorId="1" shapeId="0" xr:uid="{00000000-0006-0000-0100-000083010000}">
      <text>
        <r>
          <rPr>
            <sz val="11"/>
            <color theme="1"/>
            <rFont val="Calibri"/>
            <family val="2"/>
            <scheme val="minor"/>
          </rPr>
          <t>Introduzca la fecha de inicio del proceso, en formato dd-mm-aaaa</t>
        </r>
      </text>
    </comment>
    <comment ref="F579"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0" authorId="1" shapeId="0" xr:uid="{00000000-0006-0000-0100-000086010000}">
      <text/>
    </comment>
    <comment ref="C581" authorId="1" shapeId="0" xr:uid="{00000000-0006-0000-0100-000084010000}">
      <text>
        <r>
          <rPr>
            <sz val="11"/>
            <color theme="1"/>
            <rFont val="Calibri"/>
            <family val="2"/>
            <scheme val="minor"/>
          </rPr>
          <t>Introduzca la fecha prevista de adjudicación, en formato dd-mm-aaaa</t>
        </r>
      </text>
    </comment>
    <comment ref="F581" authorId="1" shapeId="0" xr:uid="{00000000-0006-0000-0100-000087010000}">
      <text/>
    </comment>
    <comment ref="F582" authorId="1" shapeId="0" xr:uid="{00000000-0006-0000-0100-000088010000}">
      <text/>
    </comment>
    <comment ref="A584" authorId="1" shapeId="0" xr:uid="{00000000-0006-0000-0100-000089010000}">
      <text>
        <r>
          <rPr>
            <sz val="11"/>
            <color theme="1"/>
            <rFont val="Calibri"/>
            <family val="2"/>
            <scheme val="minor"/>
          </rPr>
          <t>Introduzca un codigo UNSPSC</t>
        </r>
      </text>
    </comment>
    <comment ref="B584" authorId="1" shapeId="0" xr:uid="{00000000-0006-0000-0100-00008A010000}">
      <text>
        <r>
          <rPr>
            <sz val="11"/>
            <color theme="1"/>
            <rFont val="Calibri"/>
            <family val="2"/>
            <scheme val="minor"/>
          </rPr>
          <t>Descripción calculada automáticamente a partir de código del artículo</t>
        </r>
      </text>
    </comment>
    <comment ref="C584" authorId="1" shapeId="0" xr:uid="{00000000-0006-0000-0100-00008B010000}">
      <text>
        <r>
          <rPr>
            <sz val="11"/>
            <color theme="1"/>
            <rFont val="Calibri"/>
            <family val="2"/>
            <scheme val="minor"/>
          </rPr>
          <t>Seleccione un valor de la lista</t>
        </r>
      </text>
    </comment>
    <comment ref="D584" authorId="1" shapeId="0" xr:uid="{00000000-0006-0000-0100-00008C010000}">
      <text>
        <r>
          <rPr>
            <sz val="11"/>
            <color theme="1"/>
            <rFont val="Calibri"/>
            <family val="2"/>
            <scheme val="minor"/>
          </rPr>
          <t>Introduzca un número con dos decimales como máximo. Debe ser igual o mayor a la "Cantidad Real Consumida"</t>
        </r>
      </text>
    </comment>
    <comment ref="E584" authorId="1" shapeId="0" xr:uid="{00000000-0006-0000-0100-00008D010000}">
      <text>
        <r>
          <rPr>
            <sz val="11"/>
            <color theme="1"/>
            <rFont val="Calibri"/>
            <family val="2"/>
            <scheme val="minor"/>
          </rPr>
          <t>Introduzca un número con dos decimales como máximo</t>
        </r>
      </text>
    </comment>
    <comment ref="F584" authorId="1" shapeId="0" xr:uid="{00000000-0006-0000-0100-00008E010000}">
      <text>
        <r>
          <rPr>
            <sz val="11"/>
            <color theme="1"/>
            <rFont val="Calibri"/>
            <family val="2"/>
            <scheme val="minor"/>
          </rPr>
          <t>Monto calculado automáticamente por el sistema</t>
        </r>
      </text>
    </comment>
    <comment ref="A607" authorId="1" shapeId="0" xr:uid="{00000000-0006-0000-0100-00008F010000}">
      <text>
        <r>
          <rPr>
            <sz val="11"/>
            <color theme="1"/>
            <rFont val="Calibri"/>
            <family val="2"/>
            <scheme val="minor"/>
          </rPr>
          <t>Introducir un texto con el nombre o referencia de la contratación</t>
        </r>
      </text>
    </comment>
    <comment ref="B607" authorId="1" shapeId="0" xr:uid="{00000000-0006-0000-0100-000090010000}">
      <text>
        <r>
          <rPr>
            <sz val="11"/>
            <color theme="1"/>
            <rFont val="Calibri"/>
            <family val="2"/>
            <scheme val="minor"/>
          </rPr>
          <t>Introduzca un texto con la finalidad de la contratación</t>
        </r>
      </text>
    </comment>
    <comment ref="C607" authorId="1" shapeId="0" xr:uid="{00000000-0006-0000-0100-000091010000}">
      <text>
        <r>
          <rPr>
            <sz val="11"/>
            <color theme="1"/>
            <rFont val="Calibri"/>
            <family val="2"/>
            <scheme val="minor"/>
          </rPr>
          <t>Seleccionar un valor del listado</t>
        </r>
      </text>
    </comment>
    <comment ref="D607" authorId="1" shapeId="0" xr:uid="{00000000-0006-0000-0100-000092010000}">
      <text>
        <r>
          <rPr>
            <sz val="11"/>
            <color theme="1"/>
            <rFont val="Calibri"/>
            <family val="2"/>
            <scheme val="minor"/>
          </rPr>
          <t>Seleccione el tipo de procedimiento</t>
        </r>
      </text>
    </comment>
    <comment ref="E607" authorId="1" shapeId="0" xr:uid="{00000000-0006-0000-0100-000093010000}">
      <text>
        <r>
          <rPr>
            <sz val="11"/>
            <color theme="1"/>
            <rFont val="Calibri"/>
            <family val="2"/>
            <scheme val="minor"/>
          </rPr>
          <t>Seleccione un valor de la lista</t>
        </r>
      </text>
    </comment>
    <comment ref="F607" authorId="1" shapeId="0" xr:uid="{00000000-0006-0000-0100-000094010000}">
      <text>
        <r>
          <rPr>
            <sz val="11"/>
            <color theme="1"/>
            <rFont val="Calibri"/>
            <family val="2"/>
            <scheme val="minor"/>
          </rPr>
          <t>Introduzca el código SNIP</t>
        </r>
      </text>
    </comment>
    <comment ref="C608" authorId="1" shapeId="0" xr:uid="{00000000-0006-0000-0100-000095010000}">
      <text>
        <r>
          <rPr>
            <sz val="11"/>
            <color theme="1"/>
            <rFont val="Calibri"/>
            <family val="2"/>
            <scheme val="minor"/>
          </rPr>
          <t>Introduzca la fecha de inicio del proceso, en formato dd-mm-aaaa</t>
        </r>
      </text>
    </comment>
    <comment ref="F608"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9" authorId="1" shapeId="0" xr:uid="{00000000-0006-0000-0100-000098010000}">
      <text/>
    </comment>
    <comment ref="C610" authorId="1" shapeId="0" xr:uid="{00000000-0006-0000-0100-000096010000}">
      <text>
        <r>
          <rPr>
            <sz val="11"/>
            <color theme="1"/>
            <rFont val="Calibri"/>
            <family val="2"/>
            <scheme val="minor"/>
          </rPr>
          <t>Introduzca la fecha prevista de adjudicación, en formato dd-mm-aaaa</t>
        </r>
      </text>
    </comment>
    <comment ref="F610" authorId="1" shapeId="0" xr:uid="{00000000-0006-0000-0100-000099010000}">
      <text/>
    </comment>
    <comment ref="F611" authorId="1" shapeId="0" xr:uid="{00000000-0006-0000-0100-00009A010000}">
      <text/>
    </comment>
    <comment ref="A613" authorId="1" shapeId="0" xr:uid="{00000000-0006-0000-0100-00009B010000}">
      <text>
        <r>
          <rPr>
            <sz val="11"/>
            <color theme="1"/>
            <rFont val="Calibri"/>
            <family val="2"/>
            <scheme val="minor"/>
          </rPr>
          <t>Introduzca un codigo UNSPSC</t>
        </r>
      </text>
    </comment>
    <comment ref="B613" authorId="1" shapeId="0" xr:uid="{00000000-0006-0000-0100-00009C010000}">
      <text>
        <r>
          <rPr>
            <sz val="11"/>
            <color theme="1"/>
            <rFont val="Calibri"/>
            <family val="2"/>
            <scheme val="minor"/>
          </rPr>
          <t>Descripción calculada automáticamente a partir de código del artículo</t>
        </r>
      </text>
    </comment>
    <comment ref="C613" authorId="1" shapeId="0" xr:uid="{00000000-0006-0000-0100-00009D010000}">
      <text>
        <r>
          <rPr>
            <sz val="11"/>
            <color theme="1"/>
            <rFont val="Calibri"/>
            <family val="2"/>
            <scheme val="minor"/>
          </rPr>
          <t>Seleccione un valor de la lista</t>
        </r>
      </text>
    </comment>
    <comment ref="D613" authorId="1" shapeId="0" xr:uid="{00000000-0006-0000-0100-00009E010000}">
      <text>
        <r>
          <rPr>
            <sz val="11"/>
            <color theme="1"/>
            <rFont val="Calibri"/>
            <family val="2"/>
            <scheme val="minor"/>
          </rPr>
          <t>Introduzca un número con dos decimales como máximo. Debe ser igual o mayor a la "Cantidad Real Consumida"</t>
        </r>
      </text>
    </comment>
    <comment ref="E613" authorId="1" shapeId="0" xr:uid="{00000000-0006-0000-0100-00009F010000}">
      <text>
        <r>
          <rPr>
            <sz val="11"/>
            <color theme="1"/>
            <rFont val="Calibri"/>
            <family val="2"/>
            <scheme val="minor"/>
          </rPr>
          <t>Introduzca un número con dos decimales como máximo</t>
        </r>
      </text>
    </comment>
    <comment ref="F613" authorId="1" shapeId="0" xr:uid="{00000000-0006-0000-0100-0000A0010000}">
      <text>
        <r>
          <rPr>
            <sz val="11"/>
            <color theme="1"/>
            <rFont val="Calibri"/>
            <family val="2"/>
            <scheme val="minor"/>
          </rPr>
          <t>Monto calculado automáticamente por el sistema</t>
        </r>
      </text>
    </comment>
    <comment ref="A618" authorId="1" shapeId="0" xr:uid="{00000000-0006-0000-0100-0000A1010000}">
      <text>
        <r>
          <rPr>
            <sz val="11"/>
            <color theme="1"/>
            <rFont val="Calibri"/>
            <family val="2"/>
            <scheme val="minor"/>
          </rPr>
          <t>Introducir un texto con el nombre o referencia de la contratación</t>
        </r>
      </text>
    </comment>
    <comment ref="B618" authorId="1" shapeId="0" xr:uid="{00000000-0006-0000-0100-0000A2010000}">
      <text>
        <r>
          <rPr>
            <sz val="11"/>
            <color theme="1"/>
            <rFont val="Calibri"/>
            <family val="2"/>
            <scheme val="minor"/>
          </rPr>
          <t>Introduzca un texto con la finalidad de la contratación</t>
        </r>
      </text>
    </comment>
    <comment ref="C618" authorId="1" shapeId="0" xr:uid="{00000000-0006-0000-0100-0000A3010000}">
      <text>
        <r>
          <rPr>
            <sz val="11"/>
            <color theme="1"/>
            <rFont val="Calibri"/>
            <family val="2"/>
            <scheme val="minor"/>
          </rPr>
          <t>Seleccionar un valor del listado</t>
        </r>
      </text>
    </comment>
    <comment ref="D618" authorId="1" shapeId="0" xr:uid="{00000000-0006-0000-0100-0000A4010000}">
      <text>
        <r>
          <rPr>
            <sz val="11"/>
            <color theme="1"/>
            <rFont val="Calibri"/>
            <family val="2"/>
            <scheme val="minor"/>
          </rPr>
          <t>Seleccione el tipo de procedimiento</t>
        </r>
      </text>
    </comment>
    <comment ref="E618" authorId="1" shapeId="0" xr:uid="{00000000-0006-0000-0100-0000A5010000}">
      <text>
        <r>
          <rPr>
            <sz val="11"/>
            <color theme="1"/>
            <rFont val="Calibri"/>
            <family val="2"/>
            <scheme val="minor"/>
          </rPr>
          <t>Seleccione un valor de la lista</t>
        </r>
      </text>
    </comment>
    <comment ref="F618" authorId="1" shapeId="0" xr:uid="{00000000-0006-0000-0100-0000A6010000}">
      <text>
        <r>
          <rPr>
            <sz val="11"/>
            <color theme="1"/>
            <rFont val="Calibri"/>
            <family val="2"/>
            <scheme val="minor"/>
          </rPr>
          <t>Introduzca el código SNIP</t>
        </r>
      </text>
    </comment>
    <comment ref="C619" authorId="1" shapeId="0" xr:uid="{00000000-0006-0000-0100-0000A7010000}">
      <text>
        <r>
          <rPr>
            <sz val="11"/>
            <color theme="1"/>
            <rFont val="Calibri"/>
            <family val="2"/>
            <scheme val="minor"/>
          </rPr>
          <t>Introduzca la fecha de inicio del proceso, en formato dd-mm-aaaa</t>
        </r>
      </text>
    </comment>
    <comment ref="F619"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0" authorId="1" shapeId="0" xr:uid="{00000000-0006-0000-0100-0000AA010000}">
      <text/>
    </comment>
    <comment ref="C621" authorId="1" shapeId="0" xr:uid="{00000000-0006-0000-0100-0000A8010000}">
      <text>
        <r>
          <rPr>
            <sz val="11"/>
            <color theme="1"/>
            <rFont val="Calibri"/>
            <family val="2"/>
            <scheme val="minor"/>
          </rPr>
          <t>Introduzca la fecha prevista de adjudicación, en formato dd-mm-aaaa</t>
        </r>
      </text>
    </comment>
    <comment ref="F621" authorId="1" shapeId="0" xr:uid="{00000000-0006-0000-0100-0000AB010000}">
      <text/>
    </comment>
    <comment ref="F622" authorId="1" shapeId="0" xr:uid="{00000000-0006-0000-0100-0000AC010000}">
      <text/>
    </comment>
    <comment ref="A624" authorId="1" shapeId="0" xr:uid="{00000000-0006-0000-0100-0000AD010000}">
      <text>
        <r>
          <rPr>
            <sz val="11"/>
            <color theme="1"/>
            <rFont val="Calibri"/>
            <family val="2"/>
            <scheme val="minor"/>
          </rPr>
          <t>Introduzca un codigo UNSPSC</t>
        </r>
      </text>
    </comment>
    <comment ref="B624" authorId="1" shapeId="0" xr:uid="{00000000-0006-0000-0100-0000AE010000}">
      <text>
        <r>
          <rPr>
            <sz val="11"/>
            <color theme="1"/>
            <rFont val="Calibri"/>
            <family val="2"/>
            <scheme val="minor"/>
          </rPr>
          <t>Descripción calculada automáticamente a partir de código del artículo</t>
        </r>
      </text>
    </comment>
    <comment ref="C624" authorId="1" shapeId="0" xr:uid="{00000000-0006-0000-0100-0000AF010000}">
      <text>
        <r>
          <rPr>
            <sz val="11"/>
            <color theme="1"/>
            <rFont val="Calibri"/>
            <family val="2"/>
            <scheme val="minor"/>
          </rPr>
          <t>Seleccione un valor de la lista</t>
        </r>
      </text>
    </comment>
    <comment ref="D624" authorId="1" shapeId="0" xr:uid="{00000000-0006-0000-0100-0000B0010000}">
      <text>
        <r>
          <rPr>
            <sz val="11"/>
            <color theme="1"/>
            <rFont val="Calibri"/>
            <family val="2"/>
            <scheme val="minor"/>
          </rPr>
          <t>Introduzca un número con dos decimales como máximo. Debe ser igual o mayor a la "Cantidad Real Consumida"</t>
        </r>
      </text>
    </comment>
    <comment ref="E624" authorId="1" shapeId="0" xr:uid="{00000000-0006-0000-0100-0000B1010000}">
      <text>
        <r>
          <rPr>
            <sz val="11"/>
            <color theme="1"/>
            <rFont val="Calibri"/>
            <family val="2"/>
            <scheme val="minor"/>
          </rPr>
          <t>Introduzca un número con dos decimales como máximo</t>
        </r>
      </text>
    </comment>
    <comment ref="F624" authorId="1" shapeId="0" xr:uid="{00000000-0006-0000-0100-0000B2010000}">
      <text>
        <r>
          <rPr>
            <sz val="11"/>
            <color theme="1"/>
            <rFont val="Calibri"/>
            <family val="2"/>
            <scheme val="minor"/>
          </rPr>
          <t>Monto calculado automáticamente por el sistema</t>
        </r>
      </text>
    </comment>
    <comment ref="A667" authorId="1" shapeId="0" xr:uid="{00000000-0006-0000-0100-0000B3010000}">
      <text>
        <r>
          <rPr>
            <sz val="11"/>
            <color theme="1"/>
            <rFont val="Calibri"/>
            <family val="2"/>
            <scheme val="minor"/>
          </rPr>
          <t>Introducir un texto con el nombre o referencia de la contratación</t>
        </r>
      </text>
    </comment>
    <comment ref="B667" authorId="1" shapeId="0" xr:uid="{00000000-0006-0000-0100-0000B4010000}">
      <text>
        <r>
          <rPr>
            <sz val="11"/>
            <color theme="1"/>
            <rFont val="Calibri"/>
            <family val="2"/>
            <scheme val="minor"/>
          </rPr>
          <t>Introduzca un texto con la finalidad de la contratación</t>
        </r>
      </text>
    </comment>
    <comment ref="C667" authorId="1" shapeId="0" xr:uid="{00000000-0006-0000-0100-0000B5010000}">
      <text>
        <r>
          <rPr>
            <sz val="11"/>
            <color theme="1"/>
            <rFont val="Calibri"/>
            <family val="2"/>
            <scheme val="minor"/>
          </rPr>
          <t>Seleccionar un valor del listado</t>
        </r>
      </text>
    </comment>
    <comment ref="D667" authorId="1" shapeId="0" xr:uid="{00000000-0006-0000-0100-0000B6010000}">
      <text>
        <r>
          <rPr>
            <sz val="11"/>
            <color theme="1"/>
            <rFont val="Calibri"/>
            <family val="2"/>
            <scheme val="minor"/>
          </rPr>
          <t>Seleccione el tipo de procedimiento</t>
        </r>
      </text>
    </comment>
    <comment ref="E667" authorId="1" shapeId="0" xr:uid="{00000000-0006-0000-0100-0000B7010000}">
      <text>
        <r>
          <rPr>
            <sz val="11"/>
            <color theme="1"/>
            <rFont val="Calibri"/>
            <family val="2"/>
            <scheme val="minor"/>
          </rPr>
          <t>Seleccione un valor de la lista</t>
        </r>
      </text>
    </comment>
    <comment ref="F667" authorId="1" shapeId="0" xr:uid="{00000000-0006-0000-0100-0000B8010000}">
      <text>
        <r>
          <rPr>
            <sz val="11"/>
            <color theme="1"/>
            <rFont val="Calibri"/>
            <family val="2"/>
            <scheme val="minor"/>
          </rPr>
          <t>Introduzca el código SNIP</t>
        </r>
      </text>
    </comment>
    <comment ref="C668" authorId="1" shapeId="0" xr:uid="{00000000-0006-0000-0100-0000B9010000}">
      <text>
        <r>
          <rPr>
            <sz val="11"/>
            <color theme="1"/>
            <rFont val="Calibri"/>
            <family val="2"/>
            <scheme val="minor"/>
          </rPr>
          <t>Introduzca la fecha de inicio del proceso, en formato dd-mm-aaaa</t>
        </r>
      </text>
    </comment>
    <comment ref="F668"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9" authorId="1" shapeId="0" xr:uid="{00000000-0006-0000-0100-0000BC010000}">
      <text/>
    </comment>
    <comment ref="C670" authorId="1" shapeId="0" xr:uid="{00000000-0006-0000-0100-0000BA010000}">
      <text>
        <r>
          <rPr>
            <sz val="11"/>
            <color theme="1"/>
            <rFont val="Calibri"/>
            <family val="2"/>
            <scheme val="minor"/>
          </rPr>
          <t>Introduzca la fecha prevista de adjudicación, en formato dd-mm-aaaa</t>
        </r>
      </text>
    </comment>
    <comment ref="F670" authorId="1" shapeId="0" xr:uid="{00000000-0006-0000-0100-0000BD010000}">
      <text/>
    </comment>
    <comment ref="F671" authorId="1" shapeId="0" xr:uid="{00000000-0006-0000-0100-0000BE010000}">
      <text/>
    </comment>
    <comment ref="A673" authorId="1" shapeId="0" xr:uid="{00000000-0006-0000-0100-0000BF010000}">
      <text>
        <r>
          <rPr>
            <sz val="11"/>
            <color theme="1"/>
            <rFont val="Calibri"/>
            <family val="2"/>
            <scheme val="minor"/>
          </rPr>
          <t>Introduzca un codigo UNSPSC</t>
        </r>
      </text>
    </comment>
    <comment ref="B673" authorId="1" shapeId="0" xr:uid="{00000000-0006-0000-0100-0000C0010000}">
      <text>
        <r>
          <rPr>
            <sz val="11"/>
            <color theme="1"/>
            <rFont val="Calibri"/>
            <family val="2"/>
            <scheme val="minor"/>
          </rPr>
          <t>Descripción calculada automáticamente a partir de código del artículo</t>
        </r>
      </text>
    </comment>
    <comment ref="C673" authorId="1" shapeId="0" xr:uid="{00000000-0006-0000-0100-0000C1010000}">
      <text>
        <r>
          <rPr>
            <sz val="11"/>
            <color theme="1"/>
            <rFont val="Calibri"/>
            <family val="2"/>
            <scheme val="minor"/>
          </rPr>
          <t>Seleccione un valor de la lista</t>
        </r>
      </text>
    </comment>
    <comment ref="D673" authorId="1" shapeId="0" xr:uid="{00000000-0006-0000-0100-0000C2010000}">
      <text>
        <r>
          <rPr>
            <sz val="11"/>
            <color theme="1"/>
            <rFont val="Calibri"/>
            <family val="2"/>
            <scheme val="minor"/>
          </rPr>
          <t>Introduzca un número con dos decimales como máximo. Debe ser igual o mayor a la "Cantidad Real Consumida"</t>
        </r>
      </text>
    </comment>
    <comment ref="E673" authorId="1" shapeId="0" xr:uid="{00000000-0006-0000-0100-0000C3010000}">
      <text>
        <r>
          <rPr>
            <sz val="11"/>
            <color theme="1"/>
            <rFont val="Calibri"/>
            <family val="2"/>
            <scheme val="minor"/>
          </rPr>
          <t>Introduzca un número con dos decimales como máximo</t>
        </r>
      </text>
    </comment>
    <comment ref="F673" authorId="1" shapeId="0" xr:uid="{00000000-0006-0000-0100-0000C4010000}">
      <text>
        <r>
          <rPr>
            <sz val="11"/>
            <color theme="1"/>
            <rFont val="Calibri"/>
            <family val="2"/>
            <scheme val="minor"/>
          </rPr>
          <t>Monto calculado automáticamente por el sistema</t>
        </r>
      </text>
    </comment>
    <comment ref="A712" authorId="1" shapeId="0" xr:uid="{00000000-0006-0000-0100-0000C5010000}">
      <text>
        <r>
          <rPr>
            <sz val="11"/>
            <color theme="1"/>
            <rFont val="Calibri"/>
            <family val="2"/>
            <scheme val="minor"/>
          </rPr>
          <t>Introducir un texto con el nombre o referencia de la contratación</t>
        </r>
      </text>
    </comment>
    <comment ref="B712" authorId="1" shapeId="0" xr:uid="{00000000-0006-0000-0100-0000C6010000}">
      <text>
        <r>
          <rPr>
            <sz val="11"/>
            <color theme="1"/>
            <rFont val="Calibri"/>
            <family val="2"/>
            <scheme val="minor"/>
          </rPr>
          <t>Introduzca un texto con la finalidad de la contratación</t>
        </r>
      </text>
    </comment>
    <comment ref="C712" authorId="1" shapeId="0" xr:uid="{00000000-0006-0000-0100-0000C7010000}">
      <text>
        <r>
          <rPr>
            <sz val="11"/>
            <color theme="1"/>
            <rFont val="Calibri"/>
            <family val="2"/>
            <scheme val="minor"/>
          </rPr>
          <t>Seleccionar un valor del listado</t>
        </r>
      </text>
    </comment>
    <comment ref="D712" authorId="1" shapeId="0" xr:uid="{00000000-0006-0000-0100-0000C8010000}">
      <text>
        <r>
          <rPr>
            <sz val="11"/>
            <color theme="1"/>
            <rFont val="Calibri"/>
            <family val="2"/>
            <scheme val="minor"/>
          </rPr>
          <t>Seleccione el tipo de procedimiento</t>
        </r>
      </text>
    </comment>
    <comment ref="E712" authorId="1" shapeId="0" xr:uid="{00000000-0006-0000-0100-0000C9010000}">
      <text>
        <r>
          <rPr>
            <sz val="11"/>
            <color theme="1"/>
            <rFont val="Calibri"/>
            <family val="2"/>
            <scheme val="minor"/>
          </rPr>
          <t>Seleccione un valor de la lista</t>
        </r>
      </text>
    </comment>
    <comment ref="F712" authorId="1" shapeId="0" xr:uid="{00000000-0006-0000-0100-0000CA010000}">
      <text>
        <r>
          <rPr>
            <sz val="11"/>
            <color theme="1"/>
            <rFont val="Calibri"/>
            <family val="2"/>
            <scheme val="minor"/>
          </rPr>
          <t>Introduzca el código SNIP</t>
        </r>
      </text>
    </comment>
    <comment ref="C713" authorId="1" shapeId="0" xr:uid="{00000000-0006-0000-0100-0000CB010000}">
      <text>
        <r>
          <rPr>
            <sz val="11"/>
            <color theme="1"/>
            <rFont val="Calibri"/>
            <family val="2"/>
            <scheme val="minor"/>
          </rPr>
          <t>Introduzca la fecha de inicio del proceso, en formato dd-mm-aaaa</t>
        </r>
      </text>
    </comment>
    <comment ref="F713"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4" authorId="1" shapeId="0" xr:uid="{00000000-0006-0000-0100-0000CE010000}">
      <text/>
    </comment>
    <comment ref="C715" authorId="1" shapeId="0" xr:uid="{00000000-0006-0000-0100-0000CC010000}">
      <text>
        <r>
          <rPr>
            <sz val="11"/>
            <color theme="1"/>
            <rFont val="Calibri"/>
            <family val="2"/>
            <scheme val="minor"/>
          </rPr>
          <t>Introduzca la fecha prevista de adjudicación, en formato dd-mm-aaaa</t>
        </r>
      </text>
    </comment>
    <comment ref="F715" authorId="1" shapeId="0" xr:uid="{00000000-0006-0000-0100-0000CF010000}">
      <text/>
    </comment>
    <comment ref="F716" authorId="1" shapeId="0" xr:uid="{00000000-0006-0000-0100-0000D0010000}">
      <text/>
    </comment>
    <comment ref="A718" authorId="1" shapeId="0" xr:uid="{00000000-0006-0000-0100-0000D1010000}">
      <text>
        <r>
          <rPr>
            <sz val="11"/>
            <color theme="1"/>
            <rFont val="Calibri"/>
            <family val="2"/>
            <scheme val="minor"/>
          </rPr>
          <t>Introduzca un codigo UNSPSC</t>
        </r>
      </text>
    </comment>
    <comment ref="B718" authorId="1" shapeId="0" xr:uid="{00000000-0006-0000-0100-0000D2010000}">
      <text>
        <r>
          <rPr>
            <sz val="11"/>
            <color theme="1"/>
            <rFont val="Calibri"/>
            <family val="2"/>
            <scheme val="minor"/>
          </rPr>
          <t>Descripción calculada automáticamente a partir de código del artículo</t>
        </r>
      </text>
    </comment>
    <comment ref="C718" authorId="1" shapeId="0" xr:uid="{00000000-0006-0000-0100-0000D3010000}">
      <text>
        <r>
          <rPr>
            <sz val="11"/>
            <color theme="1"/>
            <rFont val="Calibri"/>
            <family val="2"/>
            <scheme val="minor"/>
          </rPr>
          <t>Seleccione un valor de la lista</t>
        </r>
      </text>
    </comment>
    <comment ref="D718" authorId="1" shapeId="0" xr:uid="{00000000-0006-0000-0100-0000D4010000}">
      <text>
        <r>
          <rPr>
            <sz val="11"/>
            <color theme="1"/>
            <rFont val="Calibri"/>
            <family val="2"/>
            <scheme val="minor"/>
          </rPr>
          <t>Introduzca un número con dos decimales como máximo. Debe ser igual o mayor a la "Cantidad Real Consumida"</t>
        </r>
      </text>
    </comment>
    <comment ref="E718" authorId="1" shapeId="0" xr:uid="{00000000-0006-0000-0100-0000D5010000}">
      <text>
        <r>
          <rPr>
            <sz val="11"/>
            <color theme="1"/>
            <rFont val="Calibri"/>
            <family val="2"/>
            <scheme val="minor"/>
          </rPr>
          <t>Introduzca un número con dos decimales como máximo</t>
        </r>
      </text>
    </comment>
    <comment ref="F718" authorId="1" shapeId="0" xr:uid="{00000000-0006-0000-0100-0000D6010000}">
      <text>
        <r>
          <rPr>
            <sz val="11"/>
            <color theme="1"/>
            <rFont val="Calibri"/>
            <family val="2"/>
            <scheme val="minor"/>
          </rPr>
          <t>Monto calculado automáticamente por el sistema</t>
        </r>
      </text>
    </comment>
    <comment ref="A727" authorId="1" shapeId="0" xr:uid="{00000000-0006-0000-0100-0000D7010000}">
      <text>
        <r>
          <rPr>
            <sz val="11"/>
            <color theme="1"/>
            <rFont val="Calibri"/>
            <family val="2"/>
            <scheme val="minor"/>
          </rPr>
          <t>Introducir un texto con el nombre o referencia de la contratación</t>
        </r>
      </text>
    </comment>
    <comment ref="B727" authorId="1" shapeId="0" xr:uid="{00000000-0006-0000-0100-0000D8010000}">
      <text>
        <r>
          <rPr>
            <sz val="11"/>
            <color theme="1"/>
            <rFont val="Calibri"/>
            <family val="2"/>
            <scheme val="minor"/>
          </rPr>
          <t>Introduzca un texto con la finalidad de la contratación</t>
        </r>
      </text>
    </comment>
    <comment ref="C727" authorId="1" shapeId="0" xr:uid="{00000000-0006-0000-0100-0000D9010000}">
      <text>
        <r>
          <rPr>
            <sz val="11"/>
            <color theme="1"/>
            <rFont val="Calibri"/>
            <family val="2"/>
            <scheme val="minor"/>
          </rPr>
          <t>Seleccionar un valor del listado</t>
        </r>
      </text>
    </comment>
    <comment ref="D727" authorId="1" shapeId="0" xr:uid="{00000000-0006-0000-0100-0000DA010000}">
      <text>
        <r>
          <rPr>
            <sz val="11"/>
            <color theme="1"/>
            <rFont val="Calibri"/>
            <family val="2"/>
            <scheme val="minor"/>
          </rPr>
          <t>Seleccione el tipo de procedimiento</t>
        </r>
      </text>
    </comment>
    <comment ref="E727" authorId="1" shapeId="0" xr:uid="{00000000-0006-0000-0100-0000DB010000}">
      <text>
        <r>
          <rPr>
            <sz val="11"/>
            <color theme="1"/>
            <rFont val="Calibri"/>
            <family val="2"/>
            <scheme val="minor"/>
          </rPr>
          <t>Seleccione un valor de la lista</t>
        </r>
      </text>
    </comment>
    <comment ref="F727" authorId="1" shapeId="0" xr:uid="{00000000-0006-0000-0100-0000DC010000}">
      <text>
        <r>
          <rPr>
            <sz val="11"/>
            <color theme="1"/>
            <rFont val="Calibri"/>
            <family val="2"/>
            <scheme val="minor"/>
          </rPr>
          <t>Introduzca el código SNIP</t>
        </r>
      </text>
    </comment>
    <comment ref="C728" authorId="1" shapeId="0" xr:uid="{00000000-0006-0000-0100-0000DD010000}">
      <text>
        <r>
          <rPr>
            <sz val="11"/>
            <color theme="1"/>
            <rFont val="Calibri"/>
            <family val="2"/>
            <scheme val="minor"/>
          </rPr>
          <t>Introduzca la fecha de inicio del proceso, en formato dd-mm-aaaa</t>
        </r>
      </text>
    </comment>
    <comment ref="F728"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9" authorId="1" shapeId="0" xr:uid="{00000000-0006-0000-0100-0000E0010000}">
      <text/>
    </comment>
    <comment ref="C730" authorId="1" shapeId="0" xr:uid="{00000000-0006-0000-0100-0000DE010000}">
      <text>
        <r>
          <rPr>
            <sz val="11"/>
            <color theme="1"/>
            <rFont val="Calibri"/>
            <family val="2"/>
            <scheme val="minor"/>
          </rPr>
          <t>Introduzca la fecha prevista de adjudicación, en formato dd-mm-aaaa</t>
        </r>
      </text>
    </comment>
    <comment ref="F730" authorId="1" shapeId="0" xr:uid="{00000000-0006-0000-0100-0000E1010000}">
      <text/>
    </comment>
    <comment ref="F731" authorId="1" shapeId="0" xr:uid="{00000000-0006-0000-0100-0000E2010000}">
      <text/>
    </comment>
    <comment ref="A733" authorId="1" shapeId="0" xr:uid="{00000000-0006-0000-0100-0000E3010000}">
      <text>
        <r>
          <rPr>
            <sz val="11"/>
            <color theme="1"/>
            <rFont val="Calibri"/>
            <family val="2"/>
            <scheme val="minor"/>
          </rPr>
          <t>Introduzca un codigo UNSPSC</t>
        </r>
      </text>
    </comment>
    <comment ref="B733" authorId="1" shapeId="0" xr:uid="{00000000-0006-0000-0100-0000E4010000}">
      <text>
        <r>
          <rPr>
            <sz val="11"/>
            <color theme="1"/>
            <rFont val="Calibri"/>
            <family val="2"/>
            <scheme val="minor"/>
          </rPr>
          <t>Descripción calculada automáticamente a partir de código del artículo</t>
        </r>
      </text>
    </comment>
    <comment ref="C733" authorId="1" shapeId="0" xr:uid="{00000000-0006-0000-0100-0000E5010000}">
      <text>
        <r>
          <rPr>
            <sz val="11"/>
            <color theme="1"/>
            <rFont val="Calibri"/>
            <family val="2"/>
            <scheme val="minor"/>
          </rPr>
          <t>Seleccione un valor de la lista</t>
        </r>
      </text>
    </comment>
    <comment ref="D733" authorId="1" shapeId="0" xr:uid="{00000000-0006-0000-0100-0000E6010000}">
      <text>
        <r>
          <rPr>
            <sz val="11"/>
            <color theme="1"/>
            <rFont val="Calibri"/>
            <family val="2"/>
            <scheme val="minor"/>
          </rPr>
          <t>Introduzca un número con dos decimales como máximo. Debe ser igual o mayor a la "Cantidad Real Consumida"</t>
        </r>
      </text>
    </comment>
    <comment ref="E733" authorId="1" shapeId="0" xr:uid="{00000000-0006-0000-0100-0000E7010000}">
      <text>
        <r>
          <rPr>
            <sz val="11"/>
            <color theme="1"/>
            <rFont val="Calibri"/>
            <family val="2"/>
            <scheme val="minor"/>
          </rPr>
          <t>Introduzca un número con dos decimales como máximo</t>
        </r>
      </text>
    </comment>
    <comment ref="F733" authorId="1" shapeId="0" xr:uid="{00000000-0006-0000-0100-0000E8010000}">
      <text>
        <r>
          <rPr>
            <sz val="11"/>
            <color theme="1"/>
            <rFont val="Calibri"/>
            <family val="2"/>
            <scheme val="minor"/>
          </rPr>
          <t>Monto calculado automáticamente por el sistema</t>
        </r>
      </text>
    </comment>
    <comment ref="A765" authorId="1" shapeId="0" xr:uid="{00000000-0006-0000-0100-0000E9010000}">
      <text>
        <r>
          <rPr>
            <sz val="11"/>
            <color theme="1"/>
            <rFont val="Calibri"/>
            <family val="2"/>
            <scheme val="minor"/>
          </rPr>
          <t>Introducir un texto con el nombre o referencia de la contratación</t>
        </r>
      </text>
    </comment>
    <comment ref="B765" authorId="1" shapeId="0" xr:uid="{00000000-0006-0000-0100-0000EA010000}">
      <text>
        <r>
          <rPr>
            <sz val="11"/>
            <color theme="1"/>
            <rFont val="Calibri"/>
            <family val="2"/>
            <scheme val="minor"/>
          </rPr>
          <t>Introduzca un texto con la finalidad de la contratación</t>
        </r>
      </text>
    </comment>
    <comment ref="C765" authorId="1" shapeId="0" xr:uid="{00000000-0006-0000-0100-0000EB010000}">
      <text>
        <r>
          <rPr>
            <sz val="11"/>
            <color theme="1"/>
            <rFont val="Calibri"/>
            <family val="2"/>
            <scheme val="minor"/>
          </rPr>
          <t>Seleccionar un valor del listado</t>
        </r>
      </text>
    </comment>
    <comment ref="D765" authorId="1" shapeId="0" xr:uid="{00000000-0006-0000-0100-0000EC010000}">
      <text>
        <r>
          <rPr>
            <sz val="11"/>
            <color theme="1"/>
            <rFont val="Calibri"/>
            <family val="2"/>
            <scheme val="minor"/>
          </rPr>
          <t>Seleccione el tipo de procedimiento</t>
        </r>
      </text>
    </comment>
    <comment ref="E765" authorId="1" shapeId="0" xr:uid="{00000000-0006-0000-0100-0000ED010000}">
      <text>
        <r>
          <rPr>
            <sz val="11"/>
            <color theme="1"/>
            <rFont val="Calibri"/>
            <family val="2"/>
            <scheme val="minor"/>
          </rPr>
          <t>Seleccione un valor de la lista</t>
        </r>
      </text>
    </comment>
    <comment ref="F765" authorId="1" shapeId="0" xr:uid="{00000000-0006-0000-0100-0000EE010000}">
      <text>
        <r>
          <rPr>
            <sz val="11"/>
            <color theme="1"/>
            <rFont val="Calibri"/>
            <family val="2"/>
            <scheme val="minor"/>
          </rPr>
          <t>Introduzca el código SNIP</t>
        </r>
      </text>
    </comment>
    <comment ref="C766" authorId="1" shapeId="0" xr:uid="{00000000-0006-0000-0100-0000EF010000}">
      <text>
        <r>
          <rPr>
            <sz val="11"/>
            <color theme="1"/>
            <rFont val="Calibri"/>
            <family val="2"/>
            <scheme val="minor"/>
          </rPr>
          <t>Introduzca la fecha de inicio del proceso, en formato dd-mm-aaaa</t>
        </r>
      </text>
    </comment>
    <comment ref="F766"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7" authorId="1" shapeId="0" xr:uid="{00000000-0006-0000-0100-0000F2010000}">
      <text/>
    </comment>
    <comment ref="C768" authorId="1" shapeId="0" xr:uid="{00000000-0006-0000-0100-0000F0010000}">
      <text>
        <r>
          <rPr>
            <sz val="11"/>
            <color theme="1"/>
            <rFont val="Calibri"/>
            <family val="2"/>
            <scheme val="minor"/>
          </rPr>
          <t>Introduzca la fecha prevista de adjudicación, en formato dd-mm-aaaa</t>
        </r>
      </text>
    </comment>
    <comment ref="F768" authorId="1" shapeId="0" xr:uid="{00000000-0006-0000-0100-0000F3010000}">
      <text/>
    </comment>
    <comment ref="F769" authorId="1" shapeId="0" xr:uid="{00000000-0006-0000-0100-0000F4010000}">
      <text/>
    </comment>
    <comment ref="A771" authorId="1" shapeId="0" xr:uid="{00000000-0006-0000-0100-0000F5010000}">
      <text>
        <r>
          <rPr>
            <sz val="11"/>
            <color theme="1"/>
            <rFont val="Calibri"/>
            <family val="2"/>
            <scheme val="minor"/>
          </rPr>
          <t>Introduzca un codigo UNSPSC</t>
        </r>
      </text>
    </comment>
    <comment ref="B771" authorId="1" shapeId="0" xr:uid="{00000000-0006-0000-0100-0000F6010000}">
      <text>
        <r>
          <rPr>
            <sz val="11"/>
            <color theme="1"/>
            <rFont val="Calibri"/>
            <family val="2"/>
            <scheme val="minor"/>
          </rPr>
          <t>Descripción calculada automáticamente a partir de código del artículo</t>
        </r>
      </text>
    </comment>
    <comment ref="C771" authorId="1" shapeId="0" xr:uid="{00000000-0006-0000-0100-0000F7010000}">
      <text>
        <r>
          <rPr>
            <sz val="11"/>
            <color theme="1"/>
            <rFont val="Calibri"/>
            <family val="2"/>
            <scheme val="minor"/>
          </rPr>
          <t>Seleccione un valor de la lista</t>
        </r>
      </text>
    </comment>
    <comment ref="D771" authorId="1" shapeId="0" xr:uid="{00000000-0006-0000-0100-0000F8010000}">
      <text>
        <r>
          <rPr>
            <sz val="11"/>
            <color theme="1"/>
            <rFont val="Calibri"/>
            <family val="2"/>
            <scheme val="minor"/>
          </rPr>
          <t>Introduzca un número con dos decimales como máximo. Debe ser igual o mayor a la "Cantidad Real Consumida"</t>
        </r>
      </text>
    </comment>
    <comment ref="E771" authorId="1" shapeId="0" xr:uid="{00000000-0006-0000-0100-0000F9010000}">
      <text>
        <r>
          <rPr>
            <sz val="11"/>
            <color theme="1"/>
            <rFont val="Calibri"/>
            <family val="2"/>
            <scheme val="minor"/>
          </rPr>
          <t>Introduzca un número con dos decimales como máximo</t>
        </r>
      </text>
    </comment>
    <comment ref="F771" authorId="1" shapeId="0" xr:uid="{00000000-0006-0000-0100-0000FA010000}">
      <text>
        <r>
          <rPr>
            <sz val="11"/>
            <color theme="1"/>
            <rFont val="Calibri"/>
            <family val="2"/>
            <scheme val="minor"/>
          </rPr>
          <t>Monto calculado automáticamente por el sistema</t>
        </r>
      </text>
    </comment>
    <comment ref="A783" authorId="1" shapeId="0" xr:uid="{00000000-0006-0000-0100-0000FB010000}">
      <text>
        <r>
          <rPr>
            <sz val="11"/>
            <color theme="1"/>
            <rFont val="Calibri"/>
            <family val="2"/>
            <scheme val="minor"/>
          </rPr>
          <t>Introducir un texto con el nombre o referencia de la contratación</t>
        </r>
      </text>
    </comment>
    <comment ref="B783" authorId="1" shapeId="0" xr:uid="{00000000-0006-0000-0100-0000FC010000}">
      <text>
        <r>
          <rPr>
            <sz val="11"/>
            <color theme="1"/>
            <rFont val="Calibri"/>
            <family val="2"/>
            <scheme val="minor"/>
          </rPr>
          <t>Introduzca un texto con la finalidad de la contratación</t>
        </r>
      </text>
    </comment>
    <comment ref="C783" authorId="1" shapeId="0" xr:uid="{00000000-0006-0000-0100-0000FD010000}">
      <text>
        <r>
          <rPr>
            <sz val="11"/>
            <color theme="1"/>
            <rFont val="Calibri"/>
            <family val="2"/>
            <scheme val="minor"/>
          </rPr>
          <t>Seleccionar un valor del listado</t>
        </r>
      </text>
    </comment>
    <comment ref="D783" authorId="1" shapeId="0" xr:uid="{00000000-0006-0000-0100-0000FE010000}">
      <text>
        <r>
          <rPr>
            <sz val="11"/>
            <color theme="1"/>
            <rFont val="Calibri"/>
            <family val="2"/>
            <scheme val="minor"/>
          </rPr>
          <t>Seleccione el tipo de procedimiento</t>
        </r>
      </text>
    </comment>
    <comment ref="E783" authorId="1" shapeId="0" xr:uid="{00000000-0006-0000-0100-0000FF010000}">
      <text>
        <r>
          <rPr>
            <sz val="11"/>
            <color theme="1"/>
            <rFont val="Calibri"/>
            <family val="2"/>
            <scheme val="minor"/>
          </rPr>
          <t>Seleccione un valor de la lista</t>
        </r>
      </text>
    </comment>
    <comment ref="F783" authorId="1" shapeId="0" xr:uid="{00000000-0006-0000-0100-000000020000}">
      <text>
        <r>
          <rPr>
            <sz val="11"/>
            <color theme="1"/>
            <rFont val="Calibri"/>
            <family val="2"/>
            <scheme val="minor"/>
          </rPr>
          <t>Introduzca el código SNIP</t>
        </r>
      </text>
    </comment>
    <comment ref="C784" authorId="1" shapeId="0" xr:uid="{00000000-0006-0000-0100-000001020000}">
      <text>
        <r>
          <rPr>
            <sz val="11"/>
            <color theme="1"/>
            <rFont val="Calibri"/>
            <family val="2"/>
            <scheme val="minor"/>
          </rPr>
          <t>Introduzca la fecha de inicio del proceso, en formato dd-mm-aaaa</t>
        </r>
      </text>
    </comment>
    <comment ref="F784"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5" authorId="1" shapeId="0" xr:uid="{00000000-0006-0000-0100-000004020000}">
      <text/>
    </comment>
    <comment ref="C786" authorId="1" shapeId="0" xr:uid="{00000000-0006-0000-0100-000002020000}">
      <text>
        <r>
          <rPr>
            <sz val="11"/>
            <color theme="1"/>
            <rFont val="Calibri"/>
            <family val="2"/>
            <scheme val="minor"/>
          </rPr>
          <t>Introduzca la fecha prevista de adjudicación, en formato dd-mm-aaaa</t>
        </r>
      </text>
    </comment>
    <comment ref="F786" authorId="1" shapeId="0" xr:uid="{00000000-0006-0000-0100-000005020000}">
      <text/>
    </comment>
    <comment ref="F787" authorId="1" shapeId="0" xr:uid="{00000000-0006-0000-0100-000006020000}">
      <text/>
    </comment>
    <comment ref="A789" authorId="1" shapeId="0" xr:uid="{00000000-0006-0000-0100-000007020000}">
      <text>
        <r>
          <rPr>
            <sz val="11"/>
            <color theme="1"/>
            <rFont val="Calibri"/>
            <family val="2"/>
            <scheme val="minor"/>
          </rPr>
          <t>Introduzca un codigo UNSPSC</t>
        </r>
      </text>
    </comment>
    <comment ref="B789" authorId="1" shapeId="0" xr:uid="{00000000-0006-0000-0100-000008020000}">
      <text>
        <r>
          <rPr>
            <sz val="11"/>
            <color theme="1"/>
            <rFont val="Calibri"/>
            <family val="2"/>
            <scheme val="minor"/>
          </rPr>
          <t>Descripción calculada automáticamente a partir de código del artículo</t>
        </r>
      </text>
    </comment>
    <comment ref="C789" authorId="1" shapeId="0" xr:uid="{00000000-0006-0000-0100-000009020000}">
      <text>
        <r>
          <rPr>
            <sz val="11"/>
            <color theme="1"/>
            <rFont val="Calibri"/>
            <family val="2"/>
            <scheme val="minor"/>
          </rPr>
          <t>Seleccione un valor de la lista</t>
        </r>
      </text>
    </comment>
    <comment ref="D789" authorId="1" shapeId="0" xr:uid="{00000000-0006-0000-0100-00000A020000}">
      <text>
        <r>
          <rPr>
            <sz val="11"/>
            <color theme="1"/>
            <rFont val="Calibri"/>
            <family val="2"/>
            <scheme val="minor"/>
          </rPr>
          <t>Introduzca un número con dos decimales como máximo. Debe ser igual o mayor a la "Cantidad Real Consumida"</t>
        </r>
      </text>
    </comment>
    <comment ref="E789" authorId="1" shapeId="0" xr:uid="{00000000-0006-0000-0100-00000B020000}">
      <text>
        <r>
          <rPr>
            <sz val="11"/>
            <color theme="1"/>
            <rFont val="Calibri"/>
            <family val="2"/>
            <scheme val="minor"/>
          </rPr>
          <t>Introduzca un número con dos decimales como máximo</t>
        </r>
      </text>
    </comment>
    <comment ref="F789" authorId="1" shapeId="0" xr:uid="{00000000-0006-0000-0100-00000C020000}">
      <text>
        <r>
          <rPr>
            <sz val="11"/>
            <color theme="1"/>
            <rFont val="Calibri"/>
            <family val="2"/>
            <scheme val="minor"/>
          </rPr>
          <t>Monto calculado automáticamente por el sistema</t>
        </r>
      </text>
    </comment>
    <comment ref="A843" authorId="1" shapeId="0" xr:uid="{00000000-0006-0000-0100-00000D020000}">
      <text>
        <r>
          <rPr>
            <sz val="11"/>
            <color theme="1"/>
            <rFont val="Calibri"/>
            <family val="2"/>
            <scheme val="minor"/>
          </rPr>
          <t>Introducir un texto con el nombre o referencia de la contratación</t>
        </r>
      </text>
    </comment>
    <comment ref="B843" authorId="1" shapeId="0" xr:uid="{00000000-0006-0000-0100-00000E020000}">
      <text>
        <r>
          <rPr>
            <sz val="11"/>
            <color theme="1"/>
            <rFont val="Calibri"/>
            <family val="2"/>
            <scheme val="minor"/>
          </rPr>
          <t>Introduzca un texto con la finalidad de la contratación</t>
        </r>
      </text>
    </comment>
    <comment ref="C843" authorId="1" shapeId="0" xr:uid="{00000000-0006-0000-0100-00000F020000}">
      <text>
        <r>
          <rPr>
            <sz val="11"/>
            <color theme="1"/>
            <rFont val="Calibri"/>
            <family val="2"/>
            <scheme val="minor"/>
          </rPr>
          <t>Seleccionar un valor del listado</t>
        </r>
      </text>
    </comment>
    <comment ref="D843" authorId="1" shapeId="0" xr:uid="{00000000-0006-0000-0100-000010020000}">
      <text>
        <r>
          <rPr>
            <sz val="11"/>
            <color theme="1"/>
            <rFont val="Calibri"/>
            <family val="2"/>
            <scheme val="minor"/>
          </rPr>
          <t>Seleccione el tipo de procedimiento</t>
        </r>
      </text>
    </comment>
    <comment ref="E843" authorId="1" shapeId="0" xr:uid="{00000000-0006-0000-0100-000011020000}">
      <text>
        <r>
          <rPr>
            <sz val="11"/>
            <color theme="1"/>
            <rFont val="Calibri"/>
            <family val="2"/>
            <scheme val="minor"/>
          </rPr>
          <t>Seleccione un valor de la lista</t>
        </r>
      </text>
    </comment>
    <comment ref="F843" authorId="1" shapeId="0" xr:uid="{00000000-0006-0000-0100-000012020000}">
      <text>
        <r>
          <rPr>
            <sz val="11"/>
            <color theme="1"/>
            <rFont val="Calibri"/>
            <family val="2"/>
            <scheme val="minor"/>
          </rPr>
          <t>Introduzca el código SNIP</t>
        </r>
      </text>
    </comment>
    <comment ref="C844" authorId="1" shapeId="0" xr:uid="{00000000-0006-0000-0100-000013020000}">
      <text>
        <r>
          <rPr>
            <sz val="11"/>
            <color theme="1"/>
            <rFont val="Calibri"/>
            <family val="2"/>
            <scheme val="minor"/>
          </rPr>
          <t>Introduzca la fecha de inicio del proceso, en formato dd-mm-aaaa</t>
        </r>
      </text>
    </comment>
    <comment ref="F844"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5" authorId="1" shapeId="0" xr:uid="{00000000-0006-0000-0100-000016020000}">
      <text/>
    </comment>
    <comment ref="C846" authorId="1" shapeId="0" xr:uid="{00000000-0006-0000-0100-000014020000}">
      <text>
        <r>
          <rPr>
            <sz val="11"/>
            <color theme="1"/>
            <rFont val="Calibri"/>
            <family val="2"/>
            <scheme val="minor"/>
          </rPr>
          <t>Introduzca la fecha prevista de adjudicación, en formato dd-mm-aaaa</t>
        </r>
      </text>
    </comment>
    <comment ref="F846" authorId="1" shapeId="0" xr:uid="{00000000-0006-0000-0100-000017020000}">
      <text/>
    </comment>
    <comment ref="F847" authorId="1" shapeId="0" xr:uid="{00000000-0006-0000-0100-000018020000}">
      <text/>
    </comment>
    <comment ref="A849" authorId="1" shapeId="0" xr:uid="{00000000-0006-0000-0100-000019020000}">
      <text>
        <r>
          <rPr>
            <sz val="11"/>
            <color theme="1"/>
            <rFont val="Calibri"/>
            <family val="2"/>
            <scheme val="minor"/>
          </rPr>
          <t>Introduzca un codigo UNSPSC</t>
        </r>
      </text>
    </comment>
    <comment ref="B849" authorId="1" shapeId="0" xr:uid="{00000000-0006-0000-0100-00001A020000}">
      <text>
        <r>
          <rPr>
            <sz val="11"/>
            <color theme="1"/>
            <rFont val="Calibri"/>
            <family val="2"/>
            <scheme val="minor"/>
          </rPr>
          <t>Descripción calculada automáticamente a partir de código del artículo</t>
        </r>
      </text>
    </comment>
    <comment ref="C849" authorId="1" shapeId="0" xr:uid="{00000000-0006-0000-0100-00001B020000}">
      <text>
        <r>
          <rPr>
            <sz val="11"/>
            <color theme="1"/>
            <rFont val="Calibri"/>
            <family val="2"/>
            <scheme val="minor"/>
          </rPr>
          <t>Seleccione un valor de la lista</t>
        </r>
      </text>
    </comment>
    <comment ref="D849" authorId="1" shapeId="0" xr:uid="{00000000-0006-0000-0100-00001C020000}">
      <text>
        <r>
          <rPr>
            <sz val="11"/>
            <color theme="1"/>
            <rFont val="Calibri"/>
            <family val="2"/>
            <scheme val="minor"/>
          </rPr>
          <t>Introduzca un número con dos decimales como máximo. Debe ser igual o mayor a la "Cantidad Real Consumida"</t>
        </r>
      </text>
    </comment>
    <comment ref="E849" authorId="1" shapeId="0" xr:uid="{00000000-0006-0000-0100-00001D020000}">
      <text>
        <r>
          <rPr>
            <sz val="11"/>
            <color theme="1"/>
            <rFont val="Calibri"/>
            <family val="2"/>
            <scheme val="minor"/>
          </rPr>
          <t>Introduzca un número con dos decimales como máximo</t>
        </r>
      </text>
    </comment>
    <comment ref="F849" authorId="1" shapeId="0" xr:uid="{00000000-0006-0000-0100-00001E020000}">
      <text>
        <r>
          <rPr>
            <sz val="11"/>
            <color theme="1"/>
            <rFont val="Calibri"/>
            <family val="2"/>
            <scheme val="minor"/>
          </rPr>
          <t>Monto calculado automáticamente por el sistema</t>
        </r>
      </text>
    </comment>
    <comment ref="A859" authorId="1" shapeId="0" xr:uid="{00000000-0006-0000-0100-00001F020000}">
      <text>
        <r>
          <rPr>
            <sz val="11"/>
            <color theme="1"/>
            <rFont val="Calibri"/>
            <family val="2"/>
            <scheme val="minor"/>
          </rPr>
          <t>Introducir un texto con el nombre o referencia de la contratación</t>
        </r>
      </text>
    </comment>
    <comment ref="B859" authorId="1" shapeId="0" xr:uid="{00000000-0006-0000-0100-000020020000}">
      <text>
        <r>
          <rPr>
            <sz val="11"/>
            <color theme="1"/>
            <rFont val="Calibri"/>
            <family val="2"/>
            <scheme val="minor"/>
          </rPr>
          <t>Introduzca un texto con la finalidad de la contratación</t>
        </r>
      </text>
    </comment>
    <comment ref="C859" authorId="1" shapeId="0" xr:uid="{00000000-0006-0000-0100-000021020000}">
      <text>
        <r>
          <rPr>
            <sz val="11"/>
            <color theme="1"/>
            <rFont val="Calibri"/>
            <family val="2"/>
            <scheme val="minor"/>
          </rPr>
          <t>Seleccionar un valor del listado</t>
        </r>
      </text>
    </comment>
    <comment ref="D859" authorId="1" shapeId="0" xr:uid="{00000000-0006-0000-0100-000022020000}">
      <text>
        <r>
          <rPr>
            <sz val="11"/>
            <color theme="1"/>
            <rFont val="Calibri"/>
            <family val="2"/>
            <scheme val="minor"/>
          </rPr>
          <t>Seleccione el tipo de procedimiento</t>
        </r>
      </text>
    </comment>
    <comment ref="E859" authorId="1" shapeId="0" xr:uid="{00000000-0006-0000-0100-000023020000}">
      <text>
        <r>
          <rPr>
            <sz val="11"/>
            <color theme="1"/>
            <rFont val="Calibri"/>
            <family val="2"/>
            <scheme val="minor"/>
          </rPr>
          <t>Seleccione un valor de la lista</t>
        </r>
      </text>
    </comment>
    <comment ref="F859" authorId="1" shapeId="0" xr:uid="{00000000-0006-0000-0100-000024020000}">
      <text>
        <r>
          <rPr>
            <sz val="11"/>
            <color theme="1"/>
            <rFont val="Calibri"/>
            <family val="2"/>
            <scheme val="minor"/>
          </rPr>
          <t>Introduzca el código SNIP</t>
        </r>
      </text>
    </comment>
    <comment ref="C860" authorId="1" shapeId="0" xr:uid="{00000000-0006-0000-0100-000025020000}">
      <text>
        <r>
          <rPr>
            <sz val="11"/>
            <color theme="1"/>
            <rFont val="Calibri"/>
            <family val="2"/>
            <scheme val="minor"/>
          </rPr>
          <t>Introduzca la fecha de inicio del proceso, en formato dd-mm-aaaa</t>
        </r>
      </text>
    </comment>
    <comment ref="F860"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1" authorId="1" shapeId="0" xr:uid="{00000000-0006-0000-0100-000028020000}">
      <text/>
    </comment>
    <comment ref="C862" authorId="1" shapeId="0" xr:uid="{00000000-0006-0000-0100-000026020000}">
      <text>
        <r>
          <rPr>
            <sz val="11"/>
            <color theme="1"/>
            <rFont val="Calibri"/>
            <family val="2"/>
            <scheme val="minor"/>
          </rPr>
          <t>Introduzca la fecha prevista de adjudicación, en formato dd-mm-aaaa</t>
        </r>
      </text>
    </comment>
    <comment ref="F862" authorId="1" shapeId="0" xr:uid="{00000000-0006-0000-0100-000029020000}">
      <text/>
    </comment>
    <comment ref="F863" authorId="1" shapeId="0" xr:uid="{00000000-0006-0000-0100-00002A020000}">
      <text/>
    </comment>
    <comment ref="A865" authorId="1" shapeId="0" xr:uid="{00000000-0006-0000-0100-00002B020000}">
      <text>
        <r>
          <rPr>
            <sz val="11"/>
            <color theme="1"/>
            <rFont val="Calibri"/>
            <family val="2"/>
            <scheme val="minor"/>
          </rPr>
          <t>Introduzca un codigo UNSPSC</t>
        </r>
      </text>
    </comment>
    <comment ref="B865" authorId="1" shapeId="0" xr:uid="{00000000-0006-0000-0100-00002C020000}">
      <text>
        <r>
          <rPr>
            <sz val="11"/>
            <color theme="1"/>
            <rFont val="Calibri"/>
            <family val="2"/>
            <scheme val="minor"/>
          </rPr>
          <t>Descripción calculada automáticamente a partir de código del artículo</t>
        </r>
      </text>
    </comment>
    <comment ref="C865" authorId="1" shapeId="0" xr:uid="{00000000-0006-0000-0100-00002D020000}">
      <text>
        <r>
          <rPr>
            <sz val="11"/>
            <color theme="1"/>
            <rFont val="Calibri"/>
            <family val="2"/>
            <scheme val="minor"/>
          </rPr>
          <t>Seleccione un valor de la lista</t>
        </r>
      </text>
    </comment>
    <comment ref="D865" authorId="1" shapeId="0" xr:uid="{00000000-0006-0000-0100-00002E020000}">
      <text>
        <r>
          <rPr>
            <sz val="11"/>
            <color theme="1"/>
            <rFont val="Calibri"/>
            <family val="2"/>
            <scheme val="minor"/>
          </rPr>
          <t>Introduzca un número con dos decimales como máximo. Debe ser igual o mayor a la "Cantidad Real Consumida"</t>
        </r>
      </text>
    </comment>
    <comment ref="E865" authorId="1" shapeId="0" xr:uid="{00000000-0006-0000-0100-00002F020000}">
      <text>
        <r>
          <rPr>
            <sz val="11"/>
            <color theme="1"/>
            <rFont val="Calibri"/>
            <family val="2"/>
            <scheme val="minor"/>
          </rPr>
          <t>Introduzca un número con dos decimales como máximo</t>
        </r>
      </text>
    </comment>
    <comment ref="F865" authorId="1" shapeId="0" xr:uid="{00000000-0006-0000-0100-000030020000}">
      <text>
        <r>
          <rPr>
            <sz val="11"/>
            <color theme="1"/>
            <rFont val="Calibri"/>
            <family val="2"/>
            <scheme val="minor"/>
          </rPr>
          <t>Monto calculado automáticamente por el sistema</t>
        </r>
      </text>
    </comment>
    <comment ref="A870" authorId="1" shapeId="0" xr:uid="{00000000-0006-0000-0100-000031020000}">
      <text>
        <r>
          <rPr>
            <sz val="11"/>
            <color theme="1"/>
            <rFont val="Calibri"/>
            <family val="2"/>
            <scheme val="minor"/>
          </rPr>
          <t>Introducir un texto con el nombre o referencia de la contratación</t>
        </r>
      </text>
    </comment>
    <comment ref="B870" authorId="1" shapeId="0" xr:uid="{00000000-0006-0000-0100-000032020000}">
      <text>
        <r>
          <rPr>
            <sz val="11"/>
            <color theme="1"/>
            <rFont val="Calibri"/>
            <family val="2"/>
            <scheme val="minor"/>
          </rPr>
          <t>Introduzca un texto con la finalidad de la contratación</t>
        </r>
      </text>
    </comment>
    <comment ref="C870" authorId="1" shapeId="0" xr:uid="{00000000-0006-0000-0100-000033020000}">
      <text>
        <r>
          <rPr>
            <sz val="11"/>
            <color theme="1"/>
            <rFont val="Calibri"/>
            <family val="2"/>
            <scheme val="minor"/>
          </rPr>
          <t>Seleccionar un valor del listado</t>
        </r>
      </text>
    </comment>
    <comment ref="D870" authorId="1" shapeId="0" xr:uid="{00000000-0006-0000-0100-000034020000}">
      <text>
        <r>
          <rPr>
            <sz val="11"/>
            <color theme="1"/>
            <rFont val="Calibri"/>
            <family val="2"/>
            <scheme val="minor"/>
          </rPr>
          <t>Seleccione el tipo de procedimiento</t>
        </r>
      </text>
    </comment>
    <comment ref="E870" authorId="1" shapeId="0" xr:uid="{00000000-0006-0000-0100-000035020000}">
      <text>
        <r>
          <rPr>
            <sz val="11"/>
            <color theme="1"/>
            <rFont val="Calibri"/>
            <family val="2"/>
            <scheme val="minor"/>
          </rPr>
          <t>Seleccione un valor de la lista</t>
        </r>
      </text>
    </comment>
    <comment ref="F870" authorId="1" shapeId="0" xr:uid="{00000000-0006-0000-0100-000036020000}">
      <text>
        <r>
          <rPr>
            <sz val="11"/>
            <color theme="1"/>
            <rFont val="Calibri"/>
            <family val="2"/>
            <scheme val="minor"/>
          </rPr>
          <t>Introduzca el código SNIP</t>
        </r>
      </text>
    </comment>
    <comment ref="C871" authorId="1" shapeId="0" xr:uid="{00000000-0006-0000-0100-000037020000}">
      <text>
        <r>
          <rPr>
            <sz val="11"/>
            <color theme="1"/>
            <rFont val="Calibri"/>
            <family val="2"/>
            <scheme val="minor"/>
          </rPr>
          <t>Introduzca la fecha de inicio del proceso, en formato dd-mm-aaaa</t>
        </r>
      </text>
    </comment>
    <comment ref="F871"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2" authorId="1" shapeId="0" xr:uid="{00000000-0006-0000-0100-00003A020000}">
      <text/>
    </comment>
    <comment ref="C873" authorId="1" shapeId="0" xr:uid="{00000000-0006-0000-0100-000038020000}">
      <text>
        <r>
          <rPr>
            <sz val="11"/>
            <color theme="1"/>
            <rFont val="Calibri"/>
            <family val="2"/>
            <scheme val="minor"/>
          </rPr>
          <t>Introduzca la fecha prevista de adjudicación, en formato dd-mm-aaaa</t>
        </r>
      </text>
    </comment>
    <comment ref="F873" authorId="1" shapeId="0" xr:uid="{00000000-0006-0000-0100-00003B020000}">
      <text/>
    </comment>
    <comment ref="F874" authorId="1" shapeId="0" xr:uid="{00000000-0006-0000-0100-00003C020000}">
      <text/>
    </comment>
    <comment ref="A876" authorId="1" shapeId="0" xr:uid="{00000000-0006-0000-0100-00003D020000}">
      <text>
        <r>
          <rPr>
            <sz val="11"/>
            <color theme="1"/>
            <rFont val="Calibri"/>
            <family val="2"/>
            <scheme val="minor"/>
          </rPr>
          <t>Introduzca un codigo UNSPSC</t>
        </r>
      </text>
    </comment>
    <comment ref="B876" authorId="1" shapeId="0" xr:uid="{00000000-0006-0000-0100-00003E020000}">
      <text>
        <r>
          <rPr>
            <sz val="11"/>
            <color theme="1"/>
            <rFont val="Calibri"/>
            <family val="2"/>
            <scheme val="minor"/>
          </rPr>
          <t>Descripción calculada automáticamente a partir de código del artículo</t>
        </r>
      </text>
    </comment>
    <comment ref="C876" authorId="1" shapeId="0" xr:uid="{00000000-0006-0000-0100-00003F020000}">
      <text>
        <r>
          <rPr>
            <sz val="11"/>
            <color theme="1"/>
            <rFont val="Calibri"/>
            <family val="2"/>
            <scheme val="minor"/>
          </rPr>
          <t>Seleccione un valor de la lista</t>
        </r>
      </text>
    </comment>
    <comment ref="D876" authorId="1" shapeId="0" xr:uid="{00000000-0006-0000-0100-000040020000}">
      <text>
        <r>
          <rPr>
            <sz val="11"/>
            <color theme="1"/>
            <rFont val="Calibri"/>
            <family val="2"/>
            <scheme val="minor"/>
          </rPr>
          <t>Introduzca un número con dos decimales como máximo. Debe ser igual o mayor a la "Cantidad Real Consumida"</t>
        </r>
      </text>
    </comment>
    <comment ref="E876" authorId="1" shapeId="0" xr:uid="{00000000-0006-0000-0100-000041020000}">
      <text>
        <r>
          <rPr>
            <sz val="11"/>
            <color theme="1"/>
            <rFont val="Calibri"/>
            <family val="2"/>
            <scheme val="minor"/>
          </rPr>
          <t>Introduzca un número con dos decimales como máximo</t>
        </r>
      </text>
    </comment>
    <comment ref="F876" authorId="1" shapeId="0" xr:uid="{00000000-0006-0000-0100-000042020000}">
      <text>
        <r>
          <rPr>
            <sz val="11"/>
            <color theme="1"/>
            <rFont val="Calibri"/>
            <family val="2"/>
            <scheme val="minor"/>
          </rPr>
          <t>Monto calculado automáticamente por el sistema</t>
        </r>
      </text>
    </comment>
    <comment ref="A882" authorId="1" shapeId="0" xr:uid="{00000000-0006-0000-0100-000043020000}">
      <text>
        <r>
          <rPr>
            <sz val="11"/>
            <color theme="1"/>
            <rFont val="Calibri"/>
            <family val="2"/>
            <scheme val="minor"/>
          </rPr>
          <t>Introducir un texto con el nombre o referencia de la contratación</t>
        </r>
      </text>
    </comment>
    <comment ref="B882" authorId="1" shapeId="0" xr:uid="{00000000-0006-0000-0100-000044020000}">
      <text>
        <r>
          <rPr>
            <sz val="11"/>
            <color theme="1"/>
            <rFont val="Calibri"/>
            <family val="2"/>
            <scheme val="minor"/>
          </rPr>
          <t>Introduzca un texto con la finalidad de la contratación</t>
        </r>
      </text>
    </comment>
    <comment ref="C882" authorId="1" shapeId="0" xr:uid="{00000000-0006-0000-0100-000045020000}">
      <text>
        <r>
          <rPr>
            <sz val="11"/>
            <color theme="1"/>
            <rFont val="Calibri"/>
            <family val="2"/>
            <scheme val="minor"/>
          </rPr>
          <t>Seleccionar un valor del listado</t>
        </r>
      </text>
    </comment>
    <comment ref="D882" authorId="1" shapeId="0" xr:uid="{00000000-0006-0000-0100-000046020000}">
      <text>
        <r>
          <rPr>
            <sz val="11"/>
            <color theme="1"/>
            <rFont val="Calibri"/>
            <family val="2"/>
            <scheme val="minor"/>
          </rPr>
          <t>Seleccione el tipo de procedimiento</t>
        </r>
      </text>
    </comment>
    <comment ref="E882" authorId="1" shapeId="0" xr:uid="{00000000-0006-0000-0100-000047020000}">
      <text>
        <r>
          <rPr>
            <sz val="11"/>
            <color theme="1"/>
            <rFont val="Calibri"/>
            <family val="2"/>
            <scheme val="minor"/>
          </rPr>
          <t>Seleccione un valor de la lista</t>
        </r>
      </text>
    </comment>
    <comment ref="F882" authorId="1" shapeId="0" xr:uid="{00000000-0006-0000-0100-000048020000}">
      <text>
        <r>
          <rPr>
            <sz val="11"/>
            <color theme="1"/>
            <rFont val="Calibri"/>
            <family val="2"/>
            <scheme val="minor"/>
          </rPr>
          <t>Introduzca el código SNIP</t>
        </r>
      </text>
    </comment>
    <comment ref="C883" authorId="1" shapeId="0" xr:uid="{00000000-0006-0000-0100-000049020000}">
      <text>
        <r>
          <rPr>
            <sz val="11"/>
            <color theme="1"/>
            <rFont val="Calibri"/>
            <family val="2"/>
            <scheme val="minor"/>
          </rPr>
          <t>Introduzca la fecha de inicio del proceso, en formato dd-mm-aaaa</t>
        </r>
      </text>
    </comment>
    <comment ref="F883"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4" authorId="1" shapeId="0" xr:uid="{00000000-0006-0000-0100-00004C020000}">
      <text/>
    </comment>
    <comment ref="C885" authorId="1" shapeId="0" xr:uid="{00000000-0006-0000-0100-00004A020000}">
      <text>
        <r>
          <rPr>
            <sz val="11"/>
            <color theme="1"/>
            <rFont val="Calibri"/>
            <family val="2"/>
            <scheme val="minor"/>
          </rPr>
          <t>Introduzca la fecha prevista de adjudicación, en formato dd-mm-aaaa</t>
        </r>
      </text>
    </comment>
    <comment ref="F885" authorId="1" shapeId="0" xr:uid="{00000000-0006-0000-0100-00004D020000}">
      <text/>
    </comment>
    <comment ref="F886" authorId="1" shapeId="0" xr:uid="{00000000-0006-0000-0100-00004E020000}">
      <text/>
    </comment>
    <comment ref="A888" authorId="1" shapeId="0" xr:uid="{00000000-0006-0000-0100-00004F020000}">
      <text>
        <r>
          <rPr>
            <sz val="11"/>
            <color theme="1"/>
            <rFont val="Calibri"/>
            <family val="2"/>
            <scheme val="minor"/>
          </rPr>
          <t>Introduzca un codigo UNSPSC</t>
        </r>
      </text>
    </comment>
    <comment ref="B888" authorId="1" shapeId="0" xr:uid="{00000000-0006-0000-0100-000050020000}">
      <text>
        <r>
          <rPr>
            <sz val="11"/>
            <color theme="1"/>
            <rFont val="Calibri"/>
            <family val="2"/>
            <scheme val="minor"/>
          </rPr>
          <t>Descripción calculada automáticamente a partir de código del artículo</t>
        </r>
      </text>
    </comment>
    <comment ref="C888" authorId="1" shapeId="0" xr:uid="{00000000-0006-0000-0100-000051020000}">
      <text>
        <r>
          <rPr>
            <sz val="11"/>
            <color theme="1"/>
            <rFont val="Calibri"/>
            <family val="2"/>
            <scheme val="minor"/>
          </rPr>
          <t>Seleccione un valor de la lista</t>
        </r>
      </text>
    </comment>
    <comment ref="D888" authorId="1" shapeId="0" xr:uid="{00000000-0006-0000-0100-000052020000}">
      <text>
        <r>
          <rPr>
            <sz val="11"/>
            <color theme="1"/>
            <rFont val="Calibri"/>
            <family val="2"/>
            <scheme val="minor"/>
          </rPr>
          <t>Introduzca un número con dos decimales como máximo. Debe ser igual o mayor a la "Cantidad Real Consumida"</t>
        </r>
      </text>
    </comment>
    <comment ref="E888" authorId="1" shapeId="0" xr:uid="{00000000-0006-0000-0100-000053020000}">
      <text>
        <r>
          <rPr>
            <sz val="11"/>
            <color theme="1"/>
            <rFont val="Calibri"/>
            <family val="2"/>
            <scheme val="minor"/>
          </rPr>
          <t>Introduzca un número con dos decimales como máximo</t>
        </r>
      </text>
    </comment>
    <comment ref="F888" authorId="1" shapeId="0" xr:uid="{00000000-0006-0000-0100-000054020000}">
      <text>
        <r>
          <rPr>
            <sz val="11"/>
            <color theme="1"/>
            <rFont val="Calibri"/>
            <family val="2"/>
            <scheme val="minor"/>
          </rPr>
          <t>Monto calculado automáticamente por el sistema</t>
        </r>
      </text>
    </comment>
    <comment ref="A894" authorId="1" shapeId="0" xr:uid="{00000000-0006-0000-0100-000055020000}">
      <text>
        <r>
          <rPr>
            <sz val="11"/>
            <color theme="1"/>
            <rFont val="Calibri"/>
            <family val="2"/>
            <scheme val="minor"/>
          </rPr>
          <t>Introducir un texto con el nombre o referencia de la contratación</t>
        </r>
      </text>
    </comment>
    <comment ref="B894" authorId="1" shapeId="0" xr:uid="{00000000-0006-0000-0100-000056020000}">
      <text>
        <r>
          <rPr>
            <sz val="11"/>
            <color theme="1"/>
            <rFont val="Calibri"/>
            <family val="2"/>
            <scheme val="minor"/>
          </rPr>
          <t>Introduzca un texto con la finalidad de la contratación</t>
        </r>
      </text>
    </comment>
    <comment ref="C894" authorId="1" shapeId="0" xr:uid="{00000000-0006-0000-0100-000057020000}">
      <text>
        <r>
          <rPr>
            <sz val="11"/>
            <color theme="1"/>
            <rFont val="Calibri"/>
            <family val="2"/>
            <scheme val="minor"/>
          </rPr>
          <t>Seleccionar un valor del listado</t>
        </r>
      </text>
    </comment>
    <comment ref="D894" authorId="1" shapeId="0" xr:uid="{00000000-0006-0000-0100-000058020000}">
      <text>
        <r>
          <rPr>
            <sz val="11"/>
            <color theme="1"/>
            <rFont val="Calibri"/>
            <family val="2"/>
            <scheme val="minor"/>
          </rPr>
          <t>Seleccione el tipo de procedimiento</t>
        </r>
      </text>
    </comment>
    <comment ref="E894" authorId="1" shapeId="0" xr:uid="{00000000-0006-0000-0100-000059020000}">
      <text>
        <r>
          <rPr>
            <sz val="11"/>
            <color theme="1"/>
            <rFont val="Calibri"/>
            <family val="2"/>
            <scheme val="minor"/>
          </rPr>
          <t>Seleccione un valor de la lista</t>
        </r>
      </text>
    </comment>
    <comment ref="F894" authorId="1" shapeId="0" xr:uid="{00000000-0006-0000-0100-00005A020000}">
      <text>
        <r>
          <rPr>
            <sz val="11"/>
            <color theme="1"/>
            <rFont val="Calibri"/>
            <family val="2"/>
            <scheme val="minor"/>
          </rPr>
          <t>Introduzca el código SNIP</t>
        </r>
      </text>
    </comment>
    <comment ref="C895" authorId="1" shapeId="0" xr:uid="{00000000-0006-0000-0100-00005B020000}">
      <text>
        <r>
          <rPr>
            <sz val="11"/>
            <color theme="1"/>
            <rFont val="Calibri"/>
            <family val="2"/>
            <scheme val="minor"/>
          </rPr>
          <t>Introduzca la fecha de inicio del proceso, en formato dd-mm-aaaa</t>
        </r>
      </text>
    </comment>
    <comment ref="F895"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6" authorId="1" shapeId="0" xr:uid="{00000000-0006-0000-0100-00005E020000}">
      <text/>
    </comment>
    <comment ref="C897" authorId="1" shapeId="0" xr:uid="{00000000-0006-0000-0100-00005C020000}">
      <text>
        <r>
          <rPr>
            <sz val="11"/>
            <color theme="1"/>
            <rFont val="Calibri"/>
            <family val="2"/>
            <scheme val="minor"/>
          </rPr>
          <t>Introduzca la fecha prevista de adjudicación, en formato dd-mm-aaaa</t>
        </r>
      </text>
    </comment>
    <comment ref="F897" authorId="1" shapeId="0" xr:uid="{00000000-0006-0000-0100-00005F020000}">
      <text/>
    </comment>
    <comment ref="F898" authorId="1" shapeId="0" xr:uid="{00000000-0006-0000-0100-000060020000}">
      <text/>
    </comment>
    <comment ref="A900" authorId="1" shapeId="0" xr:uid="{00000000-0006-0000-0100-000061020000}">
      <text>
        <r>
          <rPr>
            <sz val="11"/>
            <color theme="1"/>
            <rFont val="Calibri"/>
            <family val="2"/>
            <scheme val="minor"/>
          </rPr>
          <t>Introduzca un codigo UNSPSC</t>
        </r>
      </text>
    </comment>
    <comment ref="B900" authorId="1" shapeId="0" xr:uid="{00000000-0006-0000-0100-000062020000}">
      <text>
        <r>
          <rPr>
            <sz val="11"/>
            <color theme="1"/>
            <rFont val="Calibri"/>
            <family val="2"/>
            <scheme val="minor"/>
          </rPr>
          <t>Descripción calculada automáticamente a partir de código del artículo</t>
        </r>
      </text>
    </comment>
    <comment ref="C900" authorId="1" shapeId="0" xr:uid="{00000000-0006-0000-0100-000063020000}">
      <text>
        <r>
          <rPr>
            <sz val="11"/>
            <color theme="1"/>
            <rFont val="Calibri"/>
            <family val="2"/>
            <scheme val="minor"/>
          </rPr>
          <t>Seleccione un valor de la lista</t>
        </r>
      </text>
    </comment>
    <comment ref="D900" authorId="1" shapeId="0" xr:uid="{00000000-0006-0000-0100-000064020000}">
      <text>
        <r>
          <rPr>
            <sz val="11"/>
            <color theme="1"/>
            <rFont val="Calibri"/>
            <family val="2"/>
            <scheme val="minor"/>
          </rPr>
          <t>Introduzca un número con dos decimales como máximo. Debe ser igual o mayor a la "Cantidad Real Consumida"</t>
        </r>
      </text>
    </comment>
    <comment ref="E900" authorId="1" shapeId="0" xr:uid="{00000000-0006-0000-0100-000065020000}">
      <text>
        <r>
          <rPr>
            <sz val="11"/>
            <color theme="1"/>
            <rFont val="Calibri"/>
            <family val="2"/>
            <scheme val="minor"/>
          </rPr>
          <t>Introduzca un número con dos decimales como máximo</t>
        </r>
      </text>
    </comment>
    <comment ref="F900" authorId="1" shapeId="0" xr:uid="{00000000-0006-0000-0100-000066020000}">
      <text>
        <r>
          <rPr>
            <sz val="11"/>
            <color theme="1"/>
            <rFont val="Calibri"/>
            <family val="2"/>
            <scheme val="minor"/>
          </rPr>
          <t>Monto calculado automáticamente por el sistema</t>
        </r>
      </text>
    </comment>
    <comment ref="A906" authorId="1" shapeId="0" xr:uid="{00000000-0006-0000-0100-000067020000}">
      <text>
        <r>
          <rPr>
            <sz val="11"/>
            <color theme="1"/>
            <rFont val="Calibri"/>
            <family val="2"/>
            <scheme val="minor"/>
          </rPr>
          <t>Introducir un texto con el nombre o referencia de la contratación</t>
        </r>
      </text>
    </comment>
    <comment ref="B906" authorId="1" shapeId="0" xr:uid="{00000000-0006-0000-0100-000068020000}">
      <text>
        <r>
          <rPr>
            <sz val="11"/>
            <color theme="1"/>
            <rFont val="Calibri"/>
            <family val="2"/>
            <scheme val="minor"/>
          </rPr>
          <t>Introduzca un texto con la finalidad de la contratación</t>
        </r>
      </text>
    </comment>
    <comment ref="C906" authorId="1" shapeId="0" xr:uid="{00000000-0006-0000-0100-000069020000}">
      <text>
        <r>
          <rPr>
            <sz val="11"/>
            <color theme="1"/>
            <rFont val="Calibri"/>
            <family val="2"/>
            <scheme val="minor"/>
          </rPr>
          <t>Seleccionar un valor del listado</t>
        </r>
      </text>
    </comment>
    <comment ref="D906" authorId="1" shapeId="0" xr:uid="{00000000-0006-0000-0100-00006A020000}">
      <text>
        <r>
          <rPr>
            <sz val="11"/>
            <color theme="1"/>
            <rFont val="Calibri"/>
            <family val="2"/>
            <scheme val="minor"/>
          </rPr>
          <t>Seleccione el tipo de procedimiento</t>
        </r>
      </text>
    </comment>
    <comment ref="E906" authorId="1" shapeId="0" xr:uid="{00000000-0006-0000-0100-00006B020000}">
      <text>
        <r>
          <rPr>
            <sz val="11"/>
            <color theme="1"/>
            <rFont val="Calibri"/>
            <family val="2"/>
            <scheme val="minor"/>
          </rPr>
          <t>Seleccione un valor de la lista</t>
        </r>
      </text>
    </comment>
    <comment ref="F906" authorId="1" shapeId="0" xr:uid="{00000000-0006-0000-0100-00006C020000}">
      <text>
        <r>
          <rPr>
            <sz val="11"/>
            <color theme="1"/>
            <rFont val="Calibri"/>
            <family val="2"/>
            <scheme val="minor"/>
          </rPr>
          <t>Introduzca el código SNIP</t>
        </r>
      </text>
    </comment>
    <comment ref="C907" authorId="1" shapeId="0" xr:uid="{00000000-0006-0000-0100-00006D020000}">
      <text>
        <r>
          <rPr>
            <sz val="11"/>
            <color theme="1"/>
            <rFont val="Calibri"/>
            <family val="2"/>
            <scheme val="minor"/>
          </rPr>
          <t>Introduzca la fecha de inicio del proceso, en formato dd-mm-aaaa</t>
        </r>
      </text>
    </comment>
    <comment ref="F907"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8" authorId="1" shapeId="0" xr:uid="{00000000-0006-0000-0100-000070020000}">
      <text/>
    </comment>
    <comment ref="C909" authorId="1" shapeId="0" xr:uid="{00000000-0006-0000-0100-00006E020000}">
      <text>
        <r>
          <rPr>
            <sz val="11"/>
            <color theme="1"/>
            <rFont val="Calibri"/>
            <family val="2"/>
            <scheme val="minor"/>
          </rPr>
          <t>Introduzca la fecha prevista de adjudicación, en formato dd-mm-aaaa</t>
        </r>
      </text>
    </comment>
    <comment ref="F909" authorId="1" shapeId="0" xr:uid="{00000000-0006-0000-0100-000071020000}">
      <text/>
    </comment>
    <comment ref="F910" authorId="1" shapeId="0" xr:uid="{00000000-0006-0000-0100-000072020000}">
      <text/>
    </comment>
    <comment ref="A912" authorId="1" shapeId="0" xr:uid="{00000000-0006-0000-0100-000073020000}">
      <text>
        <r>
          <rPr>
            <sz val="11"/>
            <color theme="1"/>
            <rFont val="Calibri"/>
            <family val="2"/>
            <scheme val="minor"/>
          </rPr>
          <t>Introduzca un codigo UNSPSC</t>
        </r>
      </text>
    </comment>
    <comment ref="B912" authorId="1" shapeId="0" xr:uid="{00000000-0006-0000-0100-000074020000}">
      <text>
        <r>
          <rPr>
            <sz val="11"/>
            <color theme="1"/>
            <rFont val="Calibri"/>
            <family val="2"/>
            <scheme val="minor"/>
          </rPr>
          <t>Descripción calculada automáticamente a partir de código del artículo</t>
        </r>
      </text>
    </comment>
    <comment ref="C912" authorId="1" shapeId="0" xr:uid="{00000000-0006-0000-0100-000075020000}">
      <text>
        <r>
          <rPr>
            <sz val="11"/>
            <color theme="1"/>
            <rFont val="Calibri"/>
            <family val="2"/>
            <scheme val="minor"/>
          </rPr>
          <t>Seleccione un valor de la lista</t>
        </r>
      </text>
    </comment>
    <comment ref="D912" authorId="1" shapeId="0" xr:uid="{00000000-0006-0000-0100-000076020000}">
      <text>
        <r>
          <rPr>
            <sz val="11"/>
            <color theme="1"/>
            <rFont val="Calibri"/>
            <family val="2"/>
            <scheme val="minor"/>
          </rPr>
          <t>Introduzca un número con dos decimales como máximo. Debe ser igual o mayor a la "Cantidad Real Consumida"</t>
        </r>
      </text>
    </comment>
    <comment ref="E912" authorId="1" shapeId="0" xr:uid="{00000000-0006-0000-0100-000077020000}">
      <text>
        <r>
          <rPr>
            <sz val="11"/>
            <color theme="1"/>
            <rFont val="Calibri"/>
            <family val="2"/>
            <scheme val="minor"/>
          </rPr>
          <t>Introduzca un número con dos decimales como máximo</t>
        </r>
      </text>
    </comment>
    <comment ref="F912" authorId="1" shapeId="0" xr:uid="{00000000-0006-0000-0100-000078020000}">
      <text>
        <r>
          <rPr>
            <sz val="11"/>
            <color theme="1"/>
            <rFont val="Calibri"/>
            <family val="2"/>
            <scheme val="minor"/>
          </rPr>
          <t>Monto calculado automáticamente por el sistema</t>
        </r>
      </text>
    </comment>
    <comment ref="A919" authorId="1" shapeId="0" xr:uid="{00000000-0006-0000-0100-000079020000}">
      <text>
        <r>
          <rPr>
            <sz val="11"/>
            <color theme="1"/>
            <rFont val="Calibri"/>
            <family val="2"/>
            <scheme val="minor"/>
          </rPr>
          <t>Introducir un texto con el nombre o referencia de la contratación</t>
        </r>
      </text>
    </comment>
    <comment ref="B919" authorId="1" shapeId="0" xr:uid="{00000000-0006-0000-0100-00007A020000}">
      <text>
        <r>
          <rPr>
            <sz val="11"/>
            <color theme="1"/>
            <rFont val="Calibri"/>
            <family val="2"/>
            <scheme val="minor"/>
          </rPr>
          <t>Introduzca un texto con la finalidad de la contratación</t>
        </r>
      </text>
    </comment>
    <comment ref="C919" authorId="1" shapeId="0" xr:uid="{00000000-0006-0000-0100-00007B020000}">
      <text>
        <r>
          <rPr>
            <sz val="11"/>
            <color theme="1"/>
            <rFont val="Calibri"/>
            <family val="2"/>
            <scheme val="minor"/>
          </rPr>
          <t>Seleccionar un valor del listado</t>
        </r>
      </text>
    </comment>
    <comment ref="D919" authorId="1" shapeId="0" xr:uid="{00000000-0006-0000-0100-00007C020000}">
      <text>
        <r>
          <rPr>
            <sz val="11"/>
            <color theme="1"/>
            <rFont val="Calibri"/>
            <family val="2"/>
            <scheme val="minor"/>
          </rPr>
          <t>Seleccione el tipo de procedimiento</t>
        </r>
      </text>
    </comment>
    <comment ref="E919" authorId="1" shapeId="0" xr:uid="{00000000-0006-0000-0100-00007D020000}">
      <text>
        <r>
          <rPr>
            <sz val="11"/>
            <color theme="1"/>
            <rFont val="Calibri"/>
            <family val="2"/>
            <scheme val="minor"/>
          </rPr>
          <t>Seleccione un valor de la lista</t>
        </r>
      </text>
    </comment>
    <comment ref="F919" authorId="1" shapeId="0" xr:uid="{00000000-0006-0000-0100-00007E020000}">
      <text>
        <r>
          <rPr>
            <sz val="11"/>
            <color theme="1"/>
            <rFont val="Calibri"/>
            <family val="2"/>
            <scheme val="minor"/>
          </rPr>
          <t>Introduzca el código SNIP</t>
        </r>
      </text>
    </comment>
    <comment ref="C920" authorId="1" shapeId="0" xr:uid="{00000000-0006-0000-0100-00007F020000}">
      <text>
        <r>
          <rPr>
            <sz val="11"/>
            <color theme="1"/>
            <rFont val="Calibri"/>
            <family val="2"/>
            <scheme val="minor"/>
          </rPr>
          <t>Introduzca la fecha de inicio del proceso, en formato dd-mm-aaaa</t>
        </r>
      </text>
    </comment>
    <comment ref="F920"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1" authorId="1" shapeId="0" xr:uid="{00000000-0006-0000-0100-000082020000}">
      <text/>
    </comment>
    <comment ref="C922" authorId="1" shapeId="0" xr:uid="{00000000-0006-0000-0100-000080020000}">
      <text>
        <r>
          <rPr>
            <sz val="11"/>
            <color theme="1"/>
            <rFont val="Calibri"/>
            <family val="2"/>
            <scheme val="minor"/>
          </rPr>
          <t>Introduzca la fecha prevista de adjudicación, en formato dd-mm-aaaa</t>
        </r>
      </text>
    </comment>
    <comment ref="F922" authorId="1" shapeId="0" xr:uid="{00000000-0006-0000-0100-000083020000}">
      <text/>
    </comment>
    <comment ref="F923" authorId="1" shapeId="0" xr:uid="{00000000-0006-0000-0100-000084020000}">
      <text/>
    </comment>
    <comment ref="A925" authorId="1" shapeId="0" xr:uid="{00000000-0006-0000-0100-000085020000}">
      <text>
        <r>
          <rPr>
            <sz val="11"/>
            <color theme="1"/>
            <rFont val="Calibri"/>
            <family val="2"/>
            <scheme val="minor"/>
          </rPr>
          <t>Introduzca un codigo UNSPSC</t>
        </r>
      </text>
    </comment>
    <comment ref="B925" authorId="1" shapeId="0" xr:uid="{00000000-0006-0000-0100-000086020000}">
      <text>
        <r>
          <rPr>
            <sz val="11"/>
            <color theme="1"/>
            <rFont val="Calibri"/>
            <family val="2"/>
            <scheme val="minor"/>
          </rPr>
          <t>Descripción calculada automáticamente a partir de código del artículo</t>
        </r>
      </text>
    </comment>
    <comment ref="C925" authorId="1" shapeId="0" xr:uid="{00000000-0006-0000-0100-000087020000}">
      <text>
        <r>
          <rPr>
            <sz val="11"/>
            <color theme="1"/>
            <rFont val="Calibri"/>
            <family val="2"/>
            <scheme val="minor"/>
          </rPr>
          <t>Seleccione un valor de la lista</t>
        </r>
      </text>
    </comment>
    <comment ref="D925" authorId="1" shapeId="0" xr:uid="{00000000-0006-0000-0100-000088020000}">
      <text>
        <r>
          <rPr>
            <sz val="11"/>
            <color theme="1"/>
            <rFont val="Calibri"/>
            <family val="2"/>
            <scheme val="minor"/>
          </rPr>
          <t>Introduzca un número con dos decimales como máximo. Debe ser igual o mayor a la "Cantidad Real Consumida"</t>
        </r>
      </text>
    </comment>
    <comment ref="E925" authorId="1" shapeId="0" xr:uid="{00000000-0006-0000-0100-000089020000}">
      <text>
        <r>
          <rPr>
            <sz val="11"/>
            <color theme="1"/>
            <rFont val="Calibri"/>
            <family val="2"/>
            <scheme val="minor"/>
          </rPr>
          <t>Introduzca un número con dos decimales como máximo</t>
        </r>
      </text>
    </comment>
    <comment ref="F925" authorId="1" shapeId="0" xr:uid="{00000000-0006-0000-0100-00008A020000}">
      <text>
        <r>
          <rPr>
            <sz val="11"/>
            <color theme="1"/>
            <rFont val="Calibri"/>
            <family val="2"/>
            <scheme val="minor"/>
          </rPr>
          <t>Monto calculado automáticamente por el sistema</t>
        </r>
      </text>
    </comment>
    <comment ref="A946" authorId="1" shapeId="0" xr:uid="{00000000-0006-0000-0100-00008B020000}">
      <text>
        <r>
          <rPr>
            <sz val="11"/>
            <color theme="1"/>
            <rFont val="Calibri"/>
            <family val="2"/>
            <scheme val="minor"/>
          </rPr>
          <t>Introducir un texto con el nombre o referencia de la contratación</t>
        </r>
      </text>
    </comment>
    <comment ref="B946" authorId="1" shapeId="0" xr:uid="{00000000-0006-0000-0100-00008C020000}">
      <text>
        <r>
          <rPr>
            <sz val="11"/>
            <color theme="1"/>
            <rFont val="Calibri"/>
            <family val="2"/>
            <scheme val="minor"/>
          </rPr>
          <t>Introduzca un texto con la finalidad de la contratación</t>
        </r>
      </text>
    </comment>
    <comment ref="C946" authorId="1" shapeId="0" xr:uid="{00000000-0006-0000-0100-00008D020000}">
      <text>
        <r>
          <rPr>
            <sz val="11"/>
            <color theme="1"/>
            <rFont val="Calibri"/>
            <family val="2"/>
            <scheme val="minor"/>
          </rPr>
          <t>Seleccionar un valor del listado</t>
        </r>
      </text>
    </comment>
    <comment ref="D946" authorId="1" shapeId="0" xr:uid="{00000000-0006-0000-0100-00008E020000}">
      <text>
        <r>
          <rPr>
            <sz val="11"/>
            <color theme="1"/>
            <rFont val="Calibri"/>
            <family val="2"/>
            <scheme val="minor"/>
          </rPr>
          <t>Seleccione el tipo de procedimiento</t>
        </r>
      </text>
    </comment>
    <comment ref="E946" authorId="1" shapeId="0" xr:uid="{00000000-0006-0000-0100-00008F020000}">
      <text>
        <r>
          <rPr>
            <sz val="11"/>
            <color theme="1"/>
            <rFont val="Calibri"/>
            <family val="2"/>
            <scheme val="minor"/>
          </rPr>
          <t>Seleccione un valor de la lista</t>
        </r>
      </text>
    </comment>
    <comment ref="F946" authorId="1" shapeId="0" xr:uid="{00000000-0006-0000-0100-000090020000}">
      <text>
        <r>
          <rPr>
            <sz val="11"/>
            <color theme="1"/>
            <rFont val="Calibri"/>
            <family val="2"/>
            <scheme val="minor"/>
          </rPr>
          <t>Introduzca el código SNIP</t>
        </r>
      </text>
    </comment>
    <comment ref="C947" authorId="1" shapeId="0" xr:uid="{00000000-0006-0000-0100-000091020000}">
      <text>
        <r>
          <rPr>
            <sz val="11"/>
            <color theme="1"/>
            <rFont val="Calibri"/>
            <family val="2"/>
            <scheme val="minor"/>
          </rPr>
          <t>Introduzca la fecha de inicio del proceso, en formato dd-mm-aaaa</t>
        </r>
      </text>
    </comment>
    <comment ref="F947"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8" authorId="1" shapeId="0" xr:uid="{00000000-0006-0000-0100-000094020000}">
      <text/>
    </comment>
    <comment ref="C949" authorId="1" shapeId="0" xr:uid="{00000000-0006-0000-0100-000092020000}">
      <text>
        <r>
          <rPr>
            <sz val="11"/>
            <color theme="1"/>
            <rFont val="Calibri"/>
            <family val="2"/>
            <scheme val="minor"/>
          </rPr>
          <t>Introduzca la fecha prevista de adjudicación, en formato dd-mm-aaaa</t>
        </r>
      </text>
    </comment>
    <comment ref="F949" authorId="1" shapeId="0" xr:uid="{00000000-0006-0000-0100-000095020000}">
      <text/>
    </comment>
    <comment ref="F950" authorId="1" shapeId="0" xr:uid="{00000000-0006-0000-0100-000096020000}">
      <text/>
    </comment>
    <comment ref="A952" authorId="1" shapeId="0" xr:uid="{00000000-0006-0000-0100-000097020000}">
      <text>
        <r>
          <rPr>
            <sz val="11"/>
            <color theme="1"/>
            <rFont val="Calibri"/>
            <family val="2"/>
            <scheme val="minor"/>
          </rPr>
          <t>Introduzca un codigo UNSPSC</t>
        </r>
      </text>
    </comment>
    <comment ref="B952" authorId="1" shapeId="0" xr:uid="{00000000-0006-0000-0100-000098020000}">
      <text>
        <r>
          <rPr>
            <sz val="11"/>
            <color theme="1"/>
            <rFont val="Calibri"/>
            <family val="2"/>
            <scheme val="minor"/>
          </rPr>
          <t>Descripción calculada automáticamente a partir de código del artículo</t>
        </r>
      </text>
    </comment>
    <comment ref="C952" authorId="1" shapeId="0" xr:uid="{00000000-0006-0000-0100-000099020000}">
      <text>
        <r>
          <rPr>
            <sz val="11"/>
            <color theme="1"/>
            <rFont val="Calibri"/>
            <family val="2"/>
            <scheme val="minor"/>
          </rPr>
          <t>Seleccione un valor de la lista</t>
        </r>
      </text>
    </comment>
    <comment ref="D952" authorId="1" shapeId="0" xr:uid="{00000000-0006-0000-0100-00009A020000}">
      <text>
        <r>
          <rPr>
            <sz val="11"/>
            <color theme="1"/>
            <rFont val="Calibri"/>
            <family val="2"/>
            <scheme val="minor"/>
          </rPr>
          <t>Introduzca un número con dos decimales como máximo. Debe ser igual o mayor a la "Cantidad Real Consumida"</t>
        </r>
      </text>
    </comment>
    <comment ref="E952" authorId="1" shapeId="0" xr:uid="{00000000-0006-0000-0100-00009B020000}">
      <text>
        <r>
          <rPr>
            <sz val="11"/>
            <color theme="1"/>
            <rFont val="Calibri"/>
            <family val="2"/>
            <scheme val="minor"/>
          </rPr>
          <t>Introduzca un número con dos decimales como máximo</t>
        </r>
      </text>
    </comment>
    <comment ref="F952" authorId="1" shapeId="0" xr:uid="{00000000-0006-0000-0100-00009C020000}">
      <text>
        <r>
          <rPr>
            <sz val="11"/>
            <color theme="1"/>
            <rFont val="Calibri"/>
            <family val="2"/>
            <scheme val="minor"/>
          </rPr>
          <t>Monto calculado automáticamente por el sistema</t>
        </r>
      </text>
    </comment>
    <comment ref="A957" authorId="1" shapeId="0" xr:uid="{00000000-0006-0000-0100-00009D020000}">
      <text>
        <r>
          <rPr>
            <sz val="11"/>
            <color theme="1"/>
            <rFont val="Calibri"/>
            <family val="2"/>
            <scheme val="minor"/>
          </rPr>
          <t>Introducir un texto con el nombre o referencia de la contratación</t>
        </r>
      </text>
    </comment>
    <comment ref="B957" authorId="1" shapeId="0" xr:uid="{00000000-0006-0000-0100-00009E020000}">
      <text>
        <r>
          <rPr>
            <sz val="11"/>
            <color theme="1"/>
            <rFont val="Calibri"/>
            <family val="2"/>
            <scheme val="minor"/>
          </rPr>
          <t>Introduzca un texto con la finalidad de la contratación</t>
        </r>
      </text>
    </comment>
    <comment ref="C957" authorId="1" shapeId="0" xr:uid="{00000000-0006-0000-0100-00009F020000}">
      <text>
        <r>
          <rPr>
            <sz val="11"/>
            <color theme="1"/>
            <rFont val="Calibri"/>
            <family val="2"/>
            <scheme val="minor"/>
          </rPr>
          <t>Seleccionar un valor del listado</t>
        </r>
      </text>
    </comment>
    <comment ref="D957" authorId="1" shapeId="0" xr:uid="{00000000-0006-0000-0100-0000A0020000}">
      <text>
        <r>
          <rPr>
            <sz val="11"/>
            <color theme="1"/>
            <rFont val="Calibri"/>
            <family val="2"/>
            <scheme val="minor"/>
          </rPr>
          <t>Seleccione el tipo de procedimiento</t>
        </r>
      </text>
    </comment>
    <comment ref="E957" authorId="1" shapeId="0" xr:uid="{00000000-0006-0000-0100-0000A1020000}">
      <text>
        <r>
          <rPr>
            <sz val="11"/>
            <color theme="1"/>
            <rFont val="Calibri"/>
            <family val="2"/>
            <scheme val="minor"/>
          </rPr>
          <t>Seleccione un valor de la lista</t>
        </r>
      </text>
    </comment>
    <comment ref="F957" authorId="1" shapeId="0" xr:uid="{00000000-0006-0000-0100-0000A2020000}">
      <text>
        <r>
          <rPr>
            <sz val="11"/>
            <color theme="1"/>
            <rFont val="Calibri"/>
            <family val="2"/>
            <scheme val="minor"/>
          </rPr>
          <t>Introduzca el código SNIP</t>
        </r>
      </text>
    </comment>
    <comment ref="C958" authorId="1" shapeId="0" xr:uid="{00000000-0006-0000-0100-0000A3020000}">
      <text>
        <r>
          <rPr>
            <sz val="11"/>
            <color theme="1"/>
            <rFont val="Calibri"/>
            <family val="2"/>
            <scheme val="minor"/>
          </rPr>
          <t>Introduzca la fecha de inicio del proceso, en formato dd-mm-aaaa</t>
        </r>
      </text>
    </comment>
    <comment ref="F958"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9" authorId="1" shapeId="0" xr:uid="{00000000-0006-0000-0100-0000A6020000}">
      <text/>
    </comment>
    <comment ref="C960" authorId="1" shapeId="0" xr:uid="{00000000-0006-0000-0100-0000A4020000}">
      <text>
        <r>
          <rPr>
            <sz val="11"/>
            <color theme="1"/>
            <rFont val="Calibri"/>
            <family val="2"/>
            <scheme val="minor"/>
          </rPr>
          <t>Introduzca la fecha prevista de adjudicación, en formato dd-mm-aaaa</t>
        </r>
      </text>
    </comment>
    <comment ref="F960" authorId="1" shapeId="0" xr:uid="{00000000-0006-0000-0100-0000A7020000}">
      <text/>
    </comment>
    <comment ref="F961" authorId="1" shapeId="0" xr:uid="{00000000-0006-0000-0100-0000A8020000}">
      <text/>
    </comment>
    <comment ref="A963" authorId="1" shapeId="0" xr:uid="{00000000-0006-0000-0100-0000A9020000}">
      <text>
        <r>
          <rPr>
            <sz val="11"/>
            <color theme="1"/>
            <rFont val="Calibri"/>
            <family val="2"/>
            <scheme val="minor"/>
          </rPr>
          <t>Introduzca un codigo UNSPSC</t>
        </r>
      </text>
    </comment>
    <comment ref="B963" authorId="1" shapeId="0" xr:uid="{00000000-0006-0000-0100-0000AA020000}">
      <text>
        <r>
          <rPr>
            <sz val="11"/>
            <color theme="1"/>
            <rFont val="Calibri"/>
            <family val="2"/>
            <scheme val="minor"/>
          </rPr>
          <t>Descripción calculada automáticamente a partir de código del artículo</t>
        </r>
      </text>
    </comment>
    <comment ref="C963" authorId="1" shapeId="0" xr:uid="{00000000-0006-0000-0100-0000AB020000}">
      <text>
        <r>
          <rPr>
            <sz val="11"/>
            <color theme="1"/>
            <rFont val="Calibri"/>
            <family val="2"/>
            <scheme val="minor"/>
          </rPr>
          <t>Seleccione un valor de la lista</t>
        </r>
      </text>
    </comment>
    <comment ref="D963" authorId="1" shapeId="0" xr:uid="{00000000-0006-0000-0100-0000AC020000}">
      <text>
        <r>
          <rPr>
            <sz val="11"/>
            <color theme="1"/>
            <rFont val="Calibri"/>
            <family val="2"/>
            <scheme val="minor"/>
          </rPr>
          <t>Introduzca un número con dos decimales como máximo. Debe ser igual o mayor a la "Cantidad Real Consumida"</t>
        </r>
      </text>
    </comment>
    <comment ref="E963" authorId="1" shapeId="0" xr:uid="{00000000-0006-0000-0100-0000AD020000}">
      <text>
        <r>
          <rPr>
            <sz val="11"/>
            <color theme="1"/>
            <rFont val="Calibri"/>
            <family val="2"/>
            <scheme val="minor"/>
          </rPr>
          <t>Introduzca un número con dos decimales como máximo</t>
        </r>
      </text>
    </comment>
    <comment ref="F963" authorId="1" shapeId="0" xr:uid="{00000000-0006-0000-0100-0000AE020000}">
      <text>
        <r>
          <rPr>
            <sz val="11"/>
            <color theme="1"/>
            <rFont val="Calibri"/>
            <family val="2"/>
            <scheme val="minor"/>
          </rPr>
          <t>Monto calculado automáticamente por el sistema</t>
        </r>
      </text>
    </comment>
    <comment ref="A968" authorId="1" shapeId="0" xr:uid="{00000000-0006-0000-0100-0000AF020000}">
      <text>
        <r>
          <rPr>
            <sz val="11"/>
            <color theme="1"/>
            <rFont val="Calibri"/>
            <family val="2"/>
            <scheme val="minor"/>
          </rPr>
          <t>Introducir un texto con el nombre o referencia de la contratación</t>
        </r>
      </text>
    </comment>
    <comment ref="B968" authorId="1" shapeId="0" xr:uid="{00000000-0006-0000-0100-0000B0020000}">
      <text>
        <r>
          <rPr>
            <sz val="11"/>
            <color theme="1"/>
            <rFont val="Calibri"/>
            <family val="2"/>
            <scheme val="minor"/>
          </rPr>
          <t>Introduzca un texto con la finalidad de la contratación</t>
        </r>
      </text>
    </comment>
    <comment ref="C968" authorId="1" shapeId="0" xr:uid="{00000000-0006-0000-0100-0000B1020000}">
      <text>
        <r>
          <rPr>
            <sz val="11"/>
            <color theme="1"/>
            <rFont val="Calibri"/>
            <family val="2"/>
            <scheme val="minor"/>
          </rPr>
          <t>Seleccionar un valor del listado</t>
        </r>
      </text>
    </comment>
    <comment ref="D968" authorId="1" shapeId="0" xr:uid="{00000000-0006-0000-0100-0000B2020000}">
      <text>
        <r>
          <rPr>
            <sz val="11"/>
            <color theme="1"/>
            <rFont val="Calibri"/>
            <family val="2"/>
            <scheme val="minor"/>
          </rPr>
          <t>Seleccione el tipo de procedimiento</t>
        </r>
      </text>
    </comment>
    <comment ref="E968" authorId="1" shapeId="0" xr:uid="{00000000-0006-0000-0100-0000B3020000}">
      <text>
        <r>
          <rPr>
            <sz val="11"/>
            <color theme="1"/>
            <rFont val="Calibri"/>
            <family val="2"/>
            <scheme val="minor"/>
          </rPr>
          <t>Seleccione un valor de la lista</t>
        </r>
      </text>
    </comment>
    <comment ref="F968" authorId="1" shapeId="0" xr:uid="{00000000-0006-0000-0100-0000B4020000}">
      <text>
        <r>
          <rPr>
            <sz val="11"/>
            <color theme="1"/>
            <rFont val="Calibri"/>
            <family val="2"/>
            <scheme val="minor"/>
          </rPr>
          <t>Introduzca el código SNIP</t>
        </r>
      </text>
    </comment>
    <comment ref="C969" authorId="1" shapeId="0" xr:uid="{00000000-0006-0000-0100-0000B5020000}">
      <text>
        <r>
          <rPr>
            <sz val="11"/>
            <color theme="1"/>
            <rFont val="Calibri"/>
            <family val="2"/>
            <scheme val="minor"/>
          </rPr>
          <t>Introduzca la fecha de inicio del proceso, en formato dd-mm-aaaa</t>
        </r>
      </text>
    </comment>
    <comment ref="F969"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0" authorId="1" shapeId="0" xr:uid="{00000000-0006-0000-0100-0000B8020000}">
      <text/>
    </comment>
    <comment ref="C971" authorId="1" shapeId="0" xr:uid="{00000000-0006-0000-0100-0000B6020000}">
      <text>
        <r>
          <rPr>
            <sz val="11"/>
            <color theme="1"/>
            <rFont val="Calibri"/>
            <family val="2"/>
            <scheme val="minor"/>
          </rPr>
          <t>Introduzca la fecha prevista de adjudicación, en formato dd-mm-aaaa</t>
        </r>
      </text>
    </comment>
    <comment ref="F971" authorId="1" shapeId="0" xr:uid="{00000000-0006-0000-0100-0000B9020000}">
      <text/>
    </comment>
    <comment ref="F972" authorId="1" shapeId="0" xr:uid="{00000000-0006-0000-0100-0000BA020000}">
      <text/>
    </comment>
    <comment ref="A974" authorId="1" shapeId="0" xr:uid="{00000000-0006-0000-0100-0000BB020000}">
      <text>
        <r>
          <rPr>
            <sz val="11"/>
            <color theme="1"/>
            <rFont val="Calibri"/>
            <family val="2"/>
            <scheme val="minor"/>
          </rPr>
          <t>Introduzca un codigo UNSPSC</t>
        </r>
      </text>
    </comment>
    <comment ref="B974" authorId="1" shapeId="0" xr:uid="{00000000-0006-0000-0100-0000BC020000}">
      <text>
        <r>
          <rPr>
            <sz val="11"/>
            <color theme="1"/>
            <rFont val="Calibri"/>
            <family val="2"/>
            <scheme val="minor"/>
          </rPr>
          <t>Descripción calculada automáticamente a partir de código del artículo</t>
        </r>
      </text>
    </comment>
    <comment ref="C974" authorId="1" shapeId="0" xr:uid="{00000000-0006-0000-0100-0000BD020000}">
      <text>
        <r>
          <rPr>
            <sz val="11"/>
            <color theme="1"/>
            <rFont val="Calibri"/>
            <family val="2"/>
            <scheme val="minor"/>
          </rPr>
          <t>Seleccione un valor de la lista</t>
        </r>
      </text>
    </comment>
    <comment ref="D974" authorId="1" shapeId="0" xr:uid="{00000000-0006-0000-0100-0000BE020000}">
      <text>
        <r>
          <rPr>
            <sz val="11"/>
            <color theme="1"/>
            <rFont val="Calibri"/>
            <family val="2"/>
            <scheme val="minor"/>
          </rPr>
          <t>Introduzca un número con dos decimales como máximo. Debe ser igual o mayor a la "Cantidad Real Consumida"</t>
        </r>
      </text>
    </comment>
    <comment ref="E974" authorId="1" shapeId="0" xr:uid="{00000000-0006-0000-0100-0000BF020000}">
      <text>
        <r>
          <rPr>
            <sz val="11"/>
            <color theme="1"/>
            <rFont val="Calibri"/>
            <family val="2"/>
            <scheme val="minor"/>
          </rPr>
          <t>Introduzca un número con dos decimales como máximo</t>
        </r>
      </text>
    </comment>
    <comment ref="F974" authorId="1" shapeId="0" xr:uid="{00000000-0006-0000-0100-0000C0020000}">
      <text>
        <r>
          <rPr>
            <sz val="11"/>
            <color theme="1"/>
            <rFont val="Calibri"/>
            <family val="2"/>
            <scheme val="minor"/>
          </rPr>
          <t>Monto calculado automáticamente por el sistema</t>
        </r>
      </text>
    </comment>
    <comment ref="A982" authorId="1" shapeId="0" xr:uid="{00000000-0006-0000-0100-0000C1020000}">
      <text>
        <r>
          <rPr>
            <sz val="11"/>
            <color theme="1"/>
            <rFont val="Calibri"/>
            <family val="2"/>
            <scheme val="minor"/>
          </rPr>
          <t>Introducir un texto con el nombre o referencia de la contratación</t>
        </r>
      </text>
    </comment>
    <comment ref="B982" authorId="1" shapeId="0" xr:uid="{00000000-0006-0000-0100-0000C2020000}">
      <text>
        <r>
          <rPr>
            <sz val="11"/>
            <color theme="1"/>
            <rFont val="Calibri"/>
            <family val="2"/>
            <scheme val="minor"/>
          </rPr>
          <t>Introduzca un texto con la finalidad de la contratación</t>
        </r>
      </text>
    </comment>
    <comment ref="C982" authorId="1" shapeId="0" xr:uid="{00000000-0006-0000-0100-0000C3020000}">
      <text>
        <r>
          <rPr>
            <sz val="11"/>
            <color theme="1"/>
            <rFont val="Calibri"/>
            <family val="2"/>
            <scheme val="minor"/>
          </rPr>
          <t>Seleccionar un valor del listado</t>
        </r>
      </text>
    </comment>
    <comment ref="D982" authorId="1" shapeId="0" xr:uid="{00000000-0006-0000-0100-0000C4020000}">
      <text>
        <r>
          <rPr>
            <sz val="11"/>
            <color theme="1"/>
            <rFont val="Calibri"/>
            <family val="2"/>
            <scheme val="minor"/>
          </rPr>
          <t>Seleccione el tipo de procedimiento</t>
        </r>
      </text>
    </comment>
    <comment ref="E982" authorId="1" shapeId="0" xr:uid="{00000000-0006-0000-0100-0000C5020000}">
      <text>
        <r>
          <rPr>
            <sz val="11"/>
            <color theme="1"/>
            <rFont val="Calibri"/>
            <family val="2"/>
            <scheme val="minor"/>
          </rPr>
          <t>Seleccione un valor de la lista</t>
        </r>
      </text>
    </comment>
    <comment ref="F982" authorId="1" shapeId="0" xr:uid="{00000000-0006-0000-0100-0000C6020000}">
      <text>
        <r>
          <rPr>
            <sz val="11"/>
            <color theme="1"/>
            <rFont val="Calibri"/>
            <family val="2"/>
            <scheme val="minor"/>
          </rPr>
          <t>Introduzca el código SNIP</t>
        </r>
      </text>
    </comment>
    <comment ref="C983" authorId="1" shapeId="0" xr:uid="{00000000-0006-0000-0100-0000C7020000}">
      <text>
        <r>
          <rPr>
            <sz val="11"/>
            <color theme="1"/>
            <rFont val="Calibri"/>
            <family val="2"/>
            <scheme val="minor"/>
          </rPr>
          <t>Introduzca la fecha de inicio del proceso, en formato dd-mm-aaaa</t>
        </r>
      </text>
    </comment>
    <comment ref="F983"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4" authorId="1" shapeId="0" xr:uid="{00000000-0006-0000-0100-0000CA020000}">
      <text/>
    </comment>
    <comment ref="C985" authorId="1" shapeId="0" xr:uid="{00000000-0006-0000-0100-0000C8020000}">
      <text>
        <r>
          <rPr>
            <sz val="11"/>
            <color theme="1"/>
            <rFont val="Calibri"/>
            <family val="2"/>
            <scheme val="minor"/>
          </rPr>
          <t>Introduzca la fecha prevista de adjudicación, en formato dd-mm-aaaa</t>
        </r>
      </text>
    </comment>
    <comment ref="F985" authorId="1" shapeId="0" xr:uid="{00000000-0006-0000-0100-0000CB020000}">
      <text/>
    </comment>
    <comment ref="F986" authorId="1" shapeId="0" xr:uid="{00000000-0006-0000-0100-0000CC020000}">
      <text/>
    </comment>
    <comment ref="A988" authorId="1" shapeId="0" xr:uid="{00000000-0006-0000-0100-0000CD020000}">
      <text>
        <r>
          <rPr>
            <sz val="11"/>
            <color theme="1"/>
            <rFont val="Calibri"/>
            <family val="2"/>
            <scheme val="minor"/>
          </rPr>
          <t>Introduzca un codigo UNSPSC</t>
        </r>
      </text>
    </comment>
    <comment ref="B988" authorId="1" shapeId="0" xr:uid="{00000000-0006-0000-0100-0000CE020000}">
      <text>
        <r>
          <rPr>
            <sz val="11"/>
            <color theme="1"/>
            <rFont val="Calibri"/>
            <family val="2"/>
            <scheme val="minor"/>
          </rPr>
          <t>Descripción calculada automáticamente a partir de código del artículo</t>
        </r>
      </text>
    </comment>
    <comment ref="C988" authorId="1" shapeId="0" xr:uid="{00000000-0006-0000-0100-0000CF020000}">
      <text>
        <r>
          <rPr>
            <sz val="11"/>
            <color theme="1"/>
            <rFont val="Calibri"/>
            <family val="2"/>
            <scheme val="minor"/>
          </rPr>
          <t>Seleccione un valor de la lista</t>
        </r>
      </text>
    </comment>
    <comment ref="D988" authorId="1" shapeId="0" xr:uid="{00000000-0006-0000-0100-0000D0020000}">
      <text>
        <r>
          <rPr>
            <sz val="11"/>
            <color theme="1"/>
            <rFont val="Calibri"/>
            <family val="2"/>
            <scheme val="minor"/>
          </rPr>
          <t>Introduzca un número con dos decimales como máximo. Debe ser igual o mayor a la "Cantidad Real Consumida"</t>
        </r>
      </text>
    </comment>
    <comment ref="E988" authorId="1" shapeId="0" xr:uid="{00000000-0006-0000-0100-0000D1020000}">
      <text>
        <r>
          <rPr>
            <sz val="11"/>
            <color theme="1"/>
            <rFont val="Calibri"/>
            <family val="2"/>
            <scheme val="minor"/>
          </rPr>
          <t>Introduzca un número con dos decimales como máximo</t>
        </r>
      </text>
    </comment>
    <comment ref="F988" authorId="1" shapeId="0" xr:uid="{00000000-0006-0000-0100-0000D2020000}">
      <text>
        <r>
          <rPr>
            <sz val="11"/>
            <color theme="1"/>
            <rFont val="Calibri"/>
            <family val="2"/>
            <scheme val="minor"/>
          </rPr>
          <t>Monto calculado automáticamente por el sistema</t>
        </r>
      </text>
    </comment>
    <comment ref="A993" authorId="1" shapeId="0" xr:uid="{00000000-0006-0000-0100-0000D3020000}">
      <text>
        <r>
          <rPr>
            <sz val="11"/>
            <color theme="1"/>
            <rFont val="Calibri"/>
            <family val="2"/>
            <scheme val="minor"/>
          </rPr>
          <t>Introducir un texto con el nombre o referencia de la contratación</t>
        </r>
      </text>
    </comment>
    <comment ref="B993" authorId="1" shapeId="0" xr:uid="{00000000-0006-0000-0100-0000D4020000}">
      <text>
        <r>
          <rPr>
            <sz val="11"/>
            <color theme="1"/>
            <rFont val="Calibri"/>
            <family val="2"/>
            <scheme val="minor"/>
          </rPr>
          <t>Introduzca un texto con la finalidad de la contratación</t>
        </r>
      </text>
    </comment>
    <comment ref="C993" authorId="1" shapeId="0" xr:uid="{00000000-0006-0000-0100-0000D5020000}">
      <text>
        <r>
          <rPr>
            <sz val="11"/>
            <color theme="1"/>
            <rFont val="Calibri"/>
            <family val="2"/>
            <scheme val="minor"/>
          </rPr>
          <t>Seleccionar un valor del listado</t>
        </r>
      </text>
    </comment>
    <comment ref="D993" authorId="1" shapeId="0" xr:uid="{00000000-0006-0000-0100-0000D6020000}">
      <text>
        <r>
          <rPr>
            <sz val="11"/>
            <color theme="1"/>
            <rFont val="Calibri"/>
            <family val="2"/>
            <scheme val="minor"/>
          </rPr>
          <t>Seleccione el tipo de procedimiento</t>
        </r>
      </text>
    </comment>
    <comment ref="E993" authorId="1" shapeId="0" xr:uid="{00000000-0006-0000-0100-0000D7020000}">
      <text>
        <r>
          <rPr>
            <sz val="11"/>
            <color theme="1"/>
            <rFont val="Calibri"/>
            <family val="2"/>
            <scheme val="minor"/>
          </rPr>
          <t>Seleccione un valor de la lista</t>
        </r>
      </text>
    </comment>
    <comment ref="F993" authorId="1" shapeId="0" xr:uid="{00000000-0006-0000-0100-0000D8020000}">
      <text>
        <r>
          <rPr>
            <sz val="11"/>
            <color theme="1"/>
            <rFont val="Calibri"/>
            <family val="2"/>
            <scheme val="minor"/>
          </rPr>
          <t>Introduzca el código SNIP</t>
        </r>
      </text>
    </comment>
    <comment ref="C994" authorId="1" shapeId="0" xr:uid="{00000000-0006-0000-0100-0000D9020000}">
      <text>
        <r>
          <rPr>
            <sz val="11"/>
            <color theme="1"/>
            <rFont val="Calibri"/>
            <family val="2"/>
            <scheme val="minor"/>
          </rPr>
          <t>Introduzca la fecha de inicio del proceso, en formato dd-mm-aaaa</t>
        </r>
      </text>
    </comment>
    <comment ref="F994"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5" authorId="1" shapeId="0" xr:uid="{00000000-0006-0000-0100-0000DC020000}">
      <text/>
    </comment>
    <comment ref="C996" authorId="1" shapeId="0" xr:uid="{00000000-0006-0000-0100-0000DA020000}">
      <text>
        <r>
          <rPr>
            <sz val="11"/>
            <color theme="1"/>
            <rFont val="Calibri"/>
            <family val="2"/>
            <scheme val="minor"/>
          </rPr>
          <t>Introduzca la fecha prevista de adjudicación, en formato dd-mm-aaaa</t>
        </r>
      </text>
    </comment>
    <comment ref="F996" authorId="1" shapeId="0" xr:uid="{00000000-0006-0000-0100-0000DD020000}">
      <text/>
    </comment>
    <comment ref="F997" authorId="1" shapeId="0" xr:uid="{00000000-0006-0000-0100-0000DE020000}">
      <text/>
    </comment>
    <comment ref="A999" authorId="1" shapeId="0" xr:uid="{00000000-0006-0000-0100-0000DF020000}">
      <text>
        <r>
          <rPr>
            <sz val="11"/>
            <color theme="1"/>
            <rFont val="Calibri"/>
            <family val="2"/>
            <scheme val="minor"/>
          </rPr>
          <t>Introduzca un codigo UNSPSC</t>
        </r>
      </text>
    </comment>
    <comment ref="B999" authorId="1" shapeId="0" xr:uid="{00000000-0006-0000-0100-0000E0020000}">
      <text>
        <r>
          <rPr>
            <sz val="11"/>
            <color theme="1"/>
            <rFont val="Calibri"/>
            <family val="2"/>
            <scheme val="minor"/>
          </rPr>
          <t>Descripción calculada automáticamente a partir de código del artículo</t>
        </r>
      </text>
    </comment>
    <comment ref="C999" authorId="1" shapeId="0" xr:uid="{00000000-0006-0000-0100-0000E1020000}">
      <text>
        <r>
          <rPr>
            <sz val="11"/>
            <color theme="1"/>
            <rFont val="Calibri"/>
            <family val="2"/>
            <scheme val="minor"/>
          </rPr>
          <t>Seleccione un valor de la lista</t>
        </r>
      </text>
    </comment>
    <comment ref="D999" authorId="1" shapeId="0" xr:uid="{00000000-0006-0000-0100-0000E2020000}">
      <text>
        <r>
          <rPr>
            <sz val="11"/>
            <color theme="1"/>
            <rFont val="Calibri"/>
            <family val="2"/>
            <scheme val="minor"/>
          </rPr>
          <t>Introduzca un número con dos decimales como máximo. Debe ser igual o mayor a la "Cantidad Real Consumida"</t>
        </r>
      </text>
    </comment>
    <comment ref="E999" authorId="1" shapeId="0" xr:uid="{00000000-0006-0000-0100-0000E3020000}">
      <text>
        <r>
          <rPr>
            <sz val="11"/>
            <color theme="1"/>
            <rFont val="Calibri"/>
            <family val="2"/>
            <scheme val="minor"/>
          </rPr>
          <t>Introduzca un número con dos decimales como máximo</t>
        </r>
      </text>
    </comment>
    <comment ref="F999" authorId="1" shapeId="0" xr:uid="{00000000-0006-0000-0100-0000E4020000}">
      <text>
        <r>
          <rPr>
            <sz val="11"/>
            <color theme="1"/>
            <rFont val="Calibri"/>
            <family val="2"/>
            <scheme val="minor"/>
          </rPr>
          <t>Monto calculado automáticamente por el sistema</t>
        </r>
      </text>
    </comment>
    <comment ref="A1005" authorId="1" shapeId="0" xr:uid="{00000000-0006-0000-0100-0000E5020000}">
      <text>
        <r>
          <rPr>
            <sz val="11"/>
            <color theme="1"/>
            <rFont val="Calibri"/>
            <family val="2"/>
            <scheme val="minor"/>
          </rPr>
          <t>Introducir un texto con el nombre o referencia de la contratación</t>
        </r>
      </text>
    </comment>
    <comment ref="B1005" authorId="1" shapeId="0" xr:uid="{00000000-0006-0000-0100-0000E6020000}">
      <text>
        <r>
          <rPr>
            <sz val="11"/>
            <color theme="1"/>
            <rFont val="Calibri"/>
            <family val="2"/>
            <scheme val="minor"/>
          </rPr>
          <t>Introduzca un texto con la finalidad de la contratación</t>
        </r>
      </text>
    </comment>
    <comment ref="C1005" authorId="1" shapeId="0" xr:uid="{00000000-0006-0000-0100-0000E7020000}">
      <text>
        <r>
          <rPr>
            <sz val="11"/>
            <color theme="1"/>
            <rFont val="Calibri"/>
            <family val="2"/>
            <scheme val="minor"/>
          </rPr>
          <t>Seleccionar un valor del listado</t>
        </r>
      </text>
    </comment>
    <comment ref="D1005" authorId="1" shapeId="0" xr:uid="{00000000-0006-0000-0100-0000E8020000}">
      <text>
        <r>
          <rPr>
            <sz val="11"/>
            <color theme="1"/>
            <rFont val="Calibri"/>
            <family val="2"/>
            <scheme val="minor"/>
          </rPr>
          <t>Seleccione el tipo de procedimiento</t>
        </r>
      </text>
    </comment>
    <comment ref="E1005" authorId="1" shapeId="0" xr:uid="{00000000-0006-0000-0100-0000E9020000}">
      <text>
        <r>
          <rPr>
            <sz val="11"/>
            <color theme="1"/>
            <rFont val="Calibri"/>
            <family val="2"/>
            <scheme val="minor"/>
          </rPr>
          <t>Seleccione un valor de la lista</t>
        </r>
      </text>
    </comment>
    <comment ref="F1005" authorId="1" shapeId="0" xr:uid="{00000000-0006-0000-0100-0000EA020000}">
      <text>
        <r>
          <rPr>
            <sz val="11"/>
            <color theme="1"/>
            <rFont val="Calibri"/>
            <family val="2"/>
            <scheme val="minor"/>
          </rPr>
          <t>Introduzca el código SNIP</t>
        </r>
      </text>
    </comment>
    <comment ref="C1006" authorId="1" shapeId="0" xr:uid="{00000000-0006-0000-0100-0000EB020000}">
      <text>
        <r>
          <rPr>
            <sz val="11"/>
            <color theme="1"/>
            <rFont val="Calibri"/>
            <family val="2"/>
            <scheme val="minor"/>
          </rPr>
          <t>Introduzca la fecha de inicio del proceso, en formato dd-mm-aaaa</t>
        </r>
      </text>
    </comment>
    <comment ref="F1006"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7" authorId="1" shapeId="0" xr:uid="{00000000-0006-0000-0100-0000EE020000}">
      <text/>
    </comment>
    <comment ref="C1008" authorId="1" shapeId="0" xr:uid="{00000000-0006-0000-0100-0000EC020000}">
      <text>
        <r>
          <rPr>
            <sz val="11"/>
            <color theme="1"/>
            <rFont val="Calibri"/>
            <family val="2"/>
            <scheme val="minor"/>
          </rPr>
          <t>Introduzca la fecha prevista de adjudicación, en formato dd-mm-aaaa</t>
        </r>
      </text>
    </comment>
    <comment ref="F1008" authorId="1" shapeId="0" xr:uid="{00000000-0006-0000-0100-0000EF020000}">
      <text/>
    </comment>
    <comment ref="F1009" authorId="1" shapeId="0" xr:uid="{00000000-0006-0000-0100-0000F0020000}">
      <text/>
    </comment>
    <comment ref="A1011" authorId="1" shapeId="0" xr:uid="{00000000-0006-0000-0100-0000F1020000}">
      <text>
        <r>
          <rPr>
            <sz val="11"/>
            <color theme="1"/>
            <rFont val="Calibri"/>
            <family val="2"/>
            <scheme val="minor"/>
          </rPr>
          <t>Introduzca un codigo UNSPSC</t>
        </r>
      </text>
    </comment>
    <comment ref="B1011" authorId="1" shapeId="0" xr:uid="{00000000-0006-0000-0100-0000F2020000}">
      <text>
        <r>
          <rPr>
            <sz val="11"/>
            <color theme="1"/>
            <rFont val="Calibri"/>
            <family val="2"/>
            <scheme val="minor"/>
          </rPr>
          <t>Descripción calculada automáticamente a partir de código del artículo</t>
        </r>
      </text>
    </comment>
    <comment ref="C1011" authorId="1" shapeId="0" xr:uid="{00000000-0006-0000-0100-0000F3020000}">
      <text>
        <r>
          <rPr>
            <sz val="11"/>
            <color theme="1"/>
            <rFont val="Calibri"/>
            <family val="2"/>
            <scheme val="minor"/>
          </rPr>
          <t>Seleccione un valor de la lista</t>
        </r>
      </text>
    </comment>
    <comment ref="D1011" authorId="1" shapeId="0" xr:uid="{00000000-0006-0000-0100-0000F4020000}">
      <text>
        <r>
          <rPr>
            <sz val="11"/>
            <color theme="1"/>
            <rFont val="Calibri"/>
            <family val="2"/>
            <scheme val="minor"/>
          </rPr>
          <t>Introduzca un número con dos decimales como máximo. Debe ser igual o mayor a la "Cantidad Real Consumida"</t>
        </r>
      </text>
    </comment>
    <comment ref="E1011" authorId="1" shapeId="0" xr:uid="{00000000-0006-0000-0100-0000F5020000}">
      <text>
        <r>
          <rPr>
            <sz val="11"/>
            <color theme="1"/>
            <rFont val="Calibri"/>
            <family val="2"/>
            <scheme val="minor"/>
          </rPr>
          <t>Introduzca un número con dos decimales como máximo</t>
        </r>
      </text>
    </comment>
    <comment ref="F1011" authorId="1" shapeId="0" xr:uid="{00000000-0006-0000-0100-0000F6020000}">
      <text>
        <r>
          <rPr>
            <sz val="11"/>
            <color theme="1"/>
            <rFont val="Calibri"/>
            <family val="2"/>
            <scheme val="minor"/>
          </rPr>
          <t>Monto calculado automáticamente por el sistema</t>
        </r>
      </text>
    </comment>
    <comment ref="A1016" authorId="1" shapeId="0" xr:uid="{00000000-0006-0000-0100-0000F7020000}">
      <text>
        <r>
          <rPr>
            <sz val="11"/>
            <color theme="1"/>
            <rFont val="Calibri"/>
            <family val="2"/>
            <scheme val="minor"/>
          </rPr>
          <t>Introducir un texto con el nombre o referencia de la contratación</t>
        </r>
      </text>
    </comment>
    <comment ref="B1016" authorId="1" shapeId="0" xr:uid="{00000000-0006-0000-0100-0000F8020000}">
      <text>
        <r>
          <rPr>
            <sz val="11"/>
            <color theme="1"/>
            <rFont val="Calibri"/>
            <family val="2"/>
            <scheme val="minor"/>
          </rPr>
          <t>Introduzca un texto con la finalidad de la contratación</t>
        </r>
      </text>
    </comment>
    <comment ref="C1016" authorId="1" shapeId="0" xr:uid="{00000000-0006-0000-0100-0000F9020000}">
      <text>
        <r>
          <rPr>
            <sz val="11"/>
            <color theme="1"/>
            <rFont val="Calibri"/>
            <family val="2"/>
            <scheme val="minor"/>
          </rPr>
          <t>Seleccionar un valor del listado</t>
        </r>
      </text>
    </comment>
    <comment ref="D1016" authorId="1" shapeId="0" xr:uid="{00000000-0006-0000-0100-0000FA020000}">
      <text>
        <r>
          <rPr>
            <sz val="11"/>
            <color theme="1"/>
            <rFont val="Calibri"/>
            <family val="2"/>
            <scheme val="minor"/>
          </rPr>
          <t>Seleccione el tipo de procedimiento</t>
        </r>
      </text>
    </comment>
    <comment ref="E1016" authorId="1" shapeId="0" xr:uid="{00000000-0006-0000-0100-0000FB020000}">
      <text>
        <r>
          <rPr>
            <sz val="11"/>
            <color theme="1"/>
            <rFont val="Calibri"/>
            <family val="2"/>
            <scheme val="minor"/>
          </rPr>
          <t>Seleccione un valor de la lista</t>
        </r>
      </text>
    </comment>
    <comment ref="F1016" authorId="1" shapeId="0" xr:uid="{00000000-0006-0000-0100-0000FC020000}">
      <text>
        <r>
          <rPr>
            <sz val="11"/>
            <color theme="1"/>
            <rFont val="Calibri"/>
            <family val="2"/>
            <scheme val="minor"/>
          </rPr>
          <t>Introduzca el código SNIP</t>
        </r>
      </text>
    </comment>
    <comment ref="C1017" authorId="1" shapeId="0" xr:uid="{00000000-0006-0000-0100-0000FD020000}">
      <text>
        <r>
          <rPr>
            <sz val="11"/>
            <color theme="1"/>
            <rFont val="Calibri"/>
            <family val="2"/>
            <scheme val="minor"/>
          </rPr>
          <t>Introduzca la fecha de inicio del proceso, en formato dd-mm-aaaa</t>
        </r>
      </text>
    </comment>
    <comment ref="F1017"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8" authorId="1" shapeId="0" xr:uid="{00000000-0006-0000-0100-000000030000}">
      <text/>
    </comment>
    <comment ref="C1019" authorId="1" shapeId="0" xr:uid="{00000000-0006-0000-0100-0000FE020000}">
      <text>
        <r>
          <rPr>
            <sz val="11"/>
            <color theme="1"/>
            <rFont val="Calibri"/>
            <family val="2"/>
            <scheme val="minor"/>
          </rPr>
          <t>Introduzca la fecha prevista de adjudicación, en formato dd-mm-aaaa</t>
        </r>
      </text>
    </comment>
    <comment ref="F1019" authorId="1" shapeId="0" xr:uid="{00000000-0006-0000-0100-000001030000}">
      <text/>
    </comment>
    <comment ref="F1020" authorId="1" shapeId="0" xr:uid="{00000000-0006-0000-0100-000002030000}">
      <text/>
    </comment>
    <comment ref="A1022" authorId="1" shapeId="0" xr:uid="{00000000-0006-0000-0100-000003030000}">
      <text>
        <r>
          <rPr>
            <sz val="11"/>
            <color theme="1"/>
            <rFont val="Calibri"/>
            <family val="2"/>
            <scheme val="minor"/>
          </rPr>
          <t>Introduzca un codigo UNSPSC</t>
        </r>
      </text>
    </comment>
    <comment ref="B1022" authorId="1" shapeId="0" xr:uid="{00000000-0006-0000-0100-000004030000}">
      <text>
        <r>
          <rPr>
            <sz val="11"/>
            <color theme="1"/>
            <rFont val="Calibri"/>
            <family val="2"/>
            <scheme val="minor"/>
          </rPr>
          <t>Descripción calculada automáticamente a partir de código del artículo</t>
        </r>
      </text>
    </comment>
    <comment ref="C1022" authorId="1" shapeId="0" xr:uid="{00000000-0006-0000-0100-000005030000}">
      <text>
        <r>
          <rPr>
            <sz val="11"/>
            <color theme="1"/>
            <rFont val="Calibri"/>
            <family val="2"/>
            <scheme val="minor"/>
          </rPr>
          <t>Seleccione un valor de la lista</t>
        </r>
      </text>
    </comment>
    <comment ref="D1022" authorId="1" shapeId="0" xr:uid="{00000000-0006-0000-0100-000006030000}">
      <text>
        <r>
          <rPr>
            <sz val="11"/>
            <color theme="1"/>
            <rFont val="Calibri"/>
            <family val="2"/>
            <scheme val="minor"/>
          </rPr>
          <t>Introduzca un número con dos decimales como máximo. Debe ser igual o mayor a la "Cantidad Real Consumida"</t>
        </r>
      </text>
    </comment>
    <comment ref="E1022" authorId="1" shapeId="0" xr:uid="{00000000-0006-0000-0100-000007030000}">
      <text>
        <r>
          <rPr>
            <sz val="11"/>
            <color theme="1"/>
            <rFont val="Calibri"/>
            <family val="2"/>
            <scheme val="minor"/>
          </rPr>
          <t>Introduzca un número con dos decimales como máximo</t>
        </r>
      </text>
    </comment>
    <comment ref="F1022" authorId="1" shapeId="0" xr:uid="{00000000-0006-0000-0100-000008030000}">
      <text>
        <r>
          <rPr>
            <sz val="11"/>
            <color theme="1"/>
            <rFont val="Calibri"/>
            <family val="2"/>
            <scheme val="minor"/>
          </rPr>
          <t>Monto calculado automáticamente por el sistema</t>
        </r>
      </text>
    </comment>
    <comment ref="A1027" authorId="1" shapeId="0" xr:uid="{00000000-0006-0000-0100-000009030000}">
      <text>
        <r>
          <rPr>
            <sz val="11"/>
            <color theme="1"/>
            <rFont val="Calibri"/>
            <family val="2"/>
            <scheme val="minor"/>
          </rPr>
          <t>Introducir un texto con el nombre o referencia de la contratación</t>
        </r>
      </text>
    </comment>
    <comment ref="B1027" authorId="1" shapeId="0" xr:uid="{00000000-0006-0000-0100-00000A030000}">
      <text>
        <r>
          <rPr>
            <sz val="11"/>
            <color theme="1"/>
            <rFont val="Calibri"/>
            <family val="2"/>
            <scheme val="minor"/>
          </rPr>
          <t>Introduzca un texto con la finalidad de la contratación</t>
        </r>
      </text>
    </comment>
    <comment ref="C1027" authorId="1" shapeId="0" xr:uid="{00000000-0006-0000-0100-00000B030000}">
      <text>
        <r>
          <rPr>
            <sz val="11"/>
            <color theme="1"/>
            <rFont val="Calibri"/>
            <family val="2"/>
            <scheme val="minor"/>
          </rPr>
          <t>Seleccionar un valor del listado</t>
        </r>
      </text>
    </comment>
    <comment ref="D1027" authorId="1" shapeId="0" xr:uid="{00000000-0006-0000-0100-00000C030000}">
      <text>
        <r>
          <rPr>
            <sz val="11"/>
            <color theme="1"/>
            <rFont val="Calibri"/>
            <family val="2"/>
            <scheme val="minor"/>
          </rPr>
          <t>Seleccione el tipo de procedimiento</t>
        </r>
      </text>
    </comment>
    <comment ref="E1027" authorId="1" shapeId="0" xr:uid="{00000000-0006-0000-0100-00000D030000}">
      <text>
        <r>
          <rPr>
            <sz val="11"/>
            <color theme="1"/>
            <rFont val="Calibri"/>
            <family val="2"/>
            <scheme val="minor"/>
          </rPr>
          <t>Seleccione un valor de la lista</t>
        </r>
      </text>
    </comment>
    <comment ref="F1027" authorId="1" shapeId="0" xr:uid="{00000000-0006-0000-0100-00000E030000}">
      <text>
        <r>
          <rPr>
            <sz val="11"/>
            <color theme="1"/>
            <rFont val="Calibri"/>
            <family val="2"/>
            <scheme val="minor"/>
          </rPr>
          <t>Introduzca el código SNIP</t>
        </r>
      </text>
    </comment>
    <comment ref="C1028" authorId="1" shapeId="0" xr:uid="{00000000-0006-0000-0100-00000F030000}">
      <text>
        <r>
          <rPr>
            <sz val="11"/>
            <color theme="1"/>
            <rFont val="Calibri"/>
            <family val="2"/>
            <scheme val="minor"/>
          </rPr>
          <t>Introduzca la fecha de inicio del proceso, en formato dd-mm-aaaa</t>
        </r>
      </text>
    </comment>
    <comment ref="F1028"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9" authorId="1" shapeId="0" xr:uid="{00000000-0006-0000-0100-000012030000}">
      <text/>
    </comment>
    <comment ref="C1030" authorId="1" shapeId="0" xr:uid="{00000000-0006-0000-0100-000010030000}">
      <text>
        <r>
          <rPr>
            <sz val="11"/>
            <color theme="1"/>
            <rFont val="Calibri"/>
            <family val="2"/>
            <scheme val="minor"/>
          </rPr>
          <t>Introduzca la fecha prevista de adjudicación, en formato dd-mm-aaaa</t>
        </r>
      </text>
    </comment>
    <comment ref="F1030" authorId="1" shapeId="0" xr:uid="{00000000-0006-0000-0100-000013030000}">
      <text/>
    </comment>
    <comment ref="F1031" authorId="1" shapeId="0" xr:uid="{00000000-0006-0000-0100-000014030000}">
      <text/>
    </comment>
    <comment ref="A1033" authorId="1" shapeId="0" xr:uid="{00000000-0006-0000-0100-000015030000}">
      <text>
        <r>
          <rPr>
            <sz val="11"/>
            <color theme="1"/>
            <rFont val="Calibri"/>
            <family val="2"/>
            <scheme val="minor"/>
          </rPr>
          <t>Introduzca un codigo UNSPSC</t>
        </r>
      </text>
    </comment>
    <comment ref="B1033" authorId="1" shapeId="0" xr:uid="{00000000-0006-0000-0100-000016030000}">
      <text>
        <r>
          <rPr>
            <sz val="11"/>
            <color theme="1"/>
            <rFont val="Calibri"/>
            <family val="2"/>
            <scheme val="minor"/>
          </rPr>
          <t>Descripción calculada automáticamente a partir de código del artículo</t>
        </r>
      </text>
    </comment>
    <comment ref="C1033" authorId="1" shapeId="0" xr:uid="{00000000-0006-0000-0100-000017030000}">
      <text>
        <r>
          <rPr>
            <sz val="11"/>
            <color theme="1"/>
            <rFont val="Calibri"/>
            <family val="2"/>
            <scheme val="minor"/>
          </rPr>
          <t>Seleccione un valor de la lista</t>
        </r>
      </text>
    </comment>
    <comment ref="D1033" authorId="1" shapeId="0" xr:uid="{00000000-0006-0000-0100-000018030000}">
      <text>
        <r>
          <rPr>
            <sz val="11"/>
            <color theme="1"/>
            <rFont val="Calibri"/>
            <family val="2"/>
            <scheme val="minor"/>
          </rPr>
          <t>Introduzca un número con dos decimales como máximo. Debe ser igual o mayor a la "Cantidad Real Consumida"</t>
        </r>
      </text>
    </comment>
    <comment ref="E1033" authorId="1" shapeId="0" xr:uid="{00000000-0006-0000-0100-000019030000}">
      <text>
        <r>
          <rPr>
            <sz val="11"/>
            <color theme="1"/>
            <rFont val="Calibri"/>
            <family val="2"/>
            <scheme val="minor"/>
          </rPr>
          <t>Introduzca un número con dos decimales como máximo</t>
        </r>
      </text>
    </comment>
    <comment ref="F1033" authorId="1" shapeId="0" xr:uid="{00000000-0006-0000-0100-00001A030000}">
      <text>
        <r>
          <rPr>
            <sz val="11"/>
            <color theme="1"/>
            <rFont val="Calibri"/>
            <family val="2"/>
            <scheme val="minor"/>
          </rPr>
          <t>Monto calculado automáticamente por el sistema</t>
        </r>
      </text>
    </comment>
    <comment ref="A1042" authorId="1" shapeId="0" xr:uid="{00000000-0006-0000-0100-00001B030000}">
      <text>
        <r>
          <rPr>
            <sz val="11"/>
            <color theme="1"/>
            <rFont val="Calibri"/>
            <family val="2"/>
            <scheme val="minor"/>
          </rPr>
          <t>Introducir un texto con el nombre o referencia de la contratación</t>
        </r>
      </text>
    </comment>
    <comment ref="B1042" authorId="1" shapeId="0" xr:uid="{00000000-0006-0000-0100-00001C030000}">
      <text>
        <r>
          <rPr>
            <sz val="11"/>
            <color theme="1"/>
            <rFont val="Calibri"/>
            <family val="2"/>
            <scheme val="minor"/>
          </rPr>
          <t>Introduzca un texto con la finalidad de la contratación</t>
        </r>
      </text>
    </comment>
    <comment ref="C1042" authorId="1" shapeId="0" xr:uid="{00000000-0006-0000-0100-00001D030000}">
      <text>
        <r>
          <rPr>
            <sz val="11"/>
            <color theme="1"/>
            <rFont val="Calibri"/>
            <family val="2"/>
            <scheme val="minor"/>
          </rPr>
          <t>Seleccionar un valor del listado</t>
        </r>
      </text>
    </comment>
    <comment ref="D1042" authorId="1" shapeId="0" xr:uid="{00000000-0006-0000-0100-00001E030000}">
      <text>
        <r>
          <rPr>
            <sz val="11"/>
            <color theme="1"/>
            <rFont val="Calibri"/>
            <family val="2"/>
            <scheme val="minor"/>
          </rPr>
          <t>Seleccione el tipo de procedimiento</t>
        </r>
      </text>
    </comment>
    <comment ref="E1042" authorId="1" shapeId="0" xr:uid="{00000000-0006-0000-0100-00001F030000}">
      <text>
        <r>
          <rPr>
            <sz val="11"/>
            <color theme="1"/>
            <rFont val="Calibri"/>
            <family val="2"/>
            <scheme val="minor"/>
          </rPr>
          <t>Seleccione un valor de la lista</t>
        </r>
      </text>
    </comment>
    <comment ref="F1042" authorId="1" shapeId="0" xr:uid="{00000000-0006-0000-0100-000020030000}">
      <text>
        <r>
          <rPr>
            <sz val="11"/>
            <color theme="1"/>
            <rFont val="Calibri"/>
            <family val="2"/>
            <scheme val="minor"/>
          </rPr>
          <t>Introduzca el código SNIP</t>
        </r>
      </text>
    </comment>
    <comment ref="C1043" authorId="1" shapeId="0" xr:uid="{00000000-0006-0000-0100-000021030000}">
      <text>
        <r>
          <rPr>
            <sz val="11"/>
            <color theme="1"/>
            <rFont val="Calibri"/>
            <family val="2"/>
            <scheme val="minor"/>
          </rPr>
          <t>Introduzca la fecha de inicio del proceso, en formato dd-mm-aaaa</t>
        </r>
      </text>
    </comment>
    <comment ref="F1043"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4" authorId="1" shapeId="0" xr:uid="{00000000-0006-0000-0100-000024030000}">
      <text/>
    </comment>
    <comment ref="C1045" authorId="1" shapeId="0" xr:uid="{00000000-0006-0000-0100-000022030000}">
      <text>
        <r>
          <rPr>
            <sz val="11"/>
            <color theme="1"/>
            <rFont val="Calibri"/>
            <family val="2"/>
            <scheme val="minor"/>
          </rPr>
          <t>Introduzca la fecha prevista de adjudicación, en formato dd-mm-aaaa</t>
        </r>
      </text>
    </comment>
    <comment ref="F1045" authorId="1" shapeId="0" xr:uid="{00000000-0006-0000-0100-000025030000}">
      <text/>
    </comment>
    <comment ref="F1046" authorId="1" shapeId="0" xr:uid="{00000000-0006-0000-0100-000026030000}">
      <text/>
    </comment>
    <comment ref="A1048" authorId="1" shapeId="0" xr:uid="{00000000-0006-0000-0100-000027030000}">
      <text>
        <r>
          <rPr>
            <sz val="11"/>
            <color theme="1"/>
            <rFont val="Calibri"/>
            <family val="2"/>
            <scheme val="minor"/>
          </rPr>
          <t>Introduzca un codigo UNSPSC</t>
        </r>
      </text>
    </comment>
    <comment ref="B1048" authorId="1" shapeId="0" xr:uid="{00000000-0006-0000-0100-000028030000}">
      <text>
        <r>
          <rPr>
            <sz val="11"/>
            <color theme="1"/>
            <rFont val="Calibri"/>
            <family val="2"/>
            <scheme val="minor"/>
          </rPr>
          <t>Descripción calculada automáticamente a partir de código del artículo</t>
        </r>
      </text>
    </comment>
    <comment ref="C1048" authorId="1" shapeId="0" xr:uid="{00000000-0006-0000-0100-000029030000}">
      <text>
        <r>
          <rPr>
            <sz val="11"/>
            <color theme="1"/>
            <rFont val="Calibri"/>
            <family val="2"/>
            <scheme val="minor"/>
          </rPr>
          <t>Seleccione un valor de la lista</t>
        </r>
      </text>
    </comment>
    <comment ref="D1048" authorId="1" shapeId="0" xr:uid="{00000000-0006-0000-0100-00002A030000}">
      <text>
        <r>
          <rPr>
            <sz val="11"/>
            <color theme="1"/>
            <rFont val="Calibri"/>
            <family val="2"/>
            <scheme val="minor"/>
          </rPr>
          <t>Introduzca un número con dos decimales como máximo. Debe ser igual o mayor a la "Cantidad Real Consumida"</t>
        </r>
      </text>
    </comment>
    <comment ref="E1048" authorId="1" shapeId="0" xr:uid="{00000000-0006-0000-0100-00002B030000}">
      <text>
        <r>
          <rPr>
            <sz val="11"/>
            <color theme="1"/>
            <rFont val="Calibri"/>
            <family val="2"/>
            <scheme val="minor"/>
          </rPr>
          <t>Introduzca un número con dos decimales como máximo</t>
        </r>
      </text>
    </comment>
    <comment ref="F1048" authorId="1" shapeId="0" xr:uid="{00000000-0006-0000-0100-00002C030000}">
      <text>
        <r>
          <rPr>
            <sz val="11"/>
            <color theme="1"/>
            <rFont val="Calibri"/>
            <family val="2"/>
            <scheme val="minor"/>
          </rPr>
          <t>Monto calculado automáticamente por el sistema</t>
        </r>
      </text>
    </comment>
    <comment ref="A1100" authorId="1" shapeId="0" xr:uid="{00000000-0006-0000-0100-00002D030000}">
      <text>
        <r>
          <rPr>
            <sz val="11"/>
            <color theme="1"/>
            <rFont val="Calibri"/>
            <family val="2"/>
            <scheme val="minor"/>
          </rPr>
          <t>Introducir un texto con el nombre o referencia de la contratación</t>
        </r>
      </text>
    </comment>
    <comment ref="B1100" authorId="1" shapeId="0" xr:uid="{00000000-0006-0000-0100-00002E030000}">
      <text>
        <r>
          <rPr>
            <sz val="11"/>
            <color theme="1"/>
            <rFont val="Calibri"/>
            <family val="2"/>
            <scheme val="minor"/>
          </rPr>
          <t>Introduzca un texto con la finalidad de la contratación</t>
        </r>
      </text>
    </comment>
    <comment ref="C1100" authorId="1" shapeId="0" xr:uid="{00000000-0006-0000-0100-00002F030000}">
      <text>
        <r>
          <rPr>
            <sz val="11"/>
            <color theme="1"/>
            <rFont val="Calibri"/>
            <family val="2"/>
            <scheme val="minor"/>
          </rPr>
          <t>Seleccionar un valor del listado</t>
        </r>
      </text>
    </comment>
    <comment ref="D1100" authorId="1" shapeId="0" xr:uid="{00000000-0006-0000-0100-000030030000}">
      <text>
        <r>
          <rPr>
            <sz val="11"/>
            <color theme="1"/>
            <rFont val="Calibri"/>
            <family val="2"/>
            <scheme val="minor"/>
          </rPr>
          <t>Seleccione el tipo de procedimiento</t>
        </r>
      </text>
    </comment>
    <comment ref="E1100" authorId="1" shapeId="0" xr:uid="{00000000-0006-0000-0100-000031030000}">
      <text>
        <r>
          <rPr>
            <sz val="11"/>
            <color theme="1"/>
            <rFont val="Calibri"/>
            <family val="2"/>
            <scheme val="minor"/>
          </rPr>
          <t>Seleccione un valor de la lista</t>
        </r>
      </text>
    </comment>
    <comment ref="F1100" authorId="1" shapeId="0" xr:uid="{00000000-0006-0000-0100-000032030000}">
      <text>
        <r>
          <rPr>
            <sz val="11"/>
            <color theme="1"/>
            <rFont val="Calibri"/>
            <family val="2"/>
            <scheme val="minor"/>
          </rPr>
          <t>Introduzca el código SNIP</t>
        </r>
      </text>
    </comment>
    <comment ref="C1101" authorId="1" shapeId="0" xr:uid="{00000000-0006-0000-0100-000033030000}">
      <text>
        <r>
          <rPr>
            <sz val="11"/>
            <color theme="1"/>
            <rFont val="Calibri"/>
            <family val="2"/>
            <scheme val="minor"/>
          </rPr>
          <t>Introduzca la fecha de inicio del proceso, en formato dd-mm-aaaa</t>
        </r>
      </text>
    </comment>
    <comment ref="F1101"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2" authorId="1" shapeId="0" xr:uid="{00000000-0006-0000-0100-000036030000}">
      <text/>
    </comment>
    <comment ref="C1103" authorId="1" shapeId="0" xr:uid="{00000000-0006-0000-0100-000034030000}">
      <text>
        <r>
          <rPr>
            <sz val="11"/>
            <color theme="1"/>
            <rFont val="Calibri"/>
            <family val="2"/>
            <scheme val="minor"/>
          </rPr>
          <t>Introduzca la fecha prevista de adjudicación, en formato dd-mm-aaaa</t>
        </r>
      </text>
    </comment>
    <comment ref="F1103" authorId="1" shapeId="0" xr:uid="{00000000-0006-0000-0100-000037030000}">
      <text/>
    </comment>
    <comment ref="F1104" authorId="1" shapeId="0" xr:uid="{00000000-0006-0000-0100-000038030000}">
      <text/>
    </comment>
    <comment ref="A1106" authorId="1" shapeId="0" xr:uid="{00000000-0006-0000-0100-000039030000}">
      <text>
        <r>
          <rPr>
            <sz val="11"/>
            <color theme="1"/>
            <rFont val="Calibri"/>
            <family val="2"/>
            <scheme val="minor"/>
          </rPr>
          <t>Introduzca un codigo UNSPSC</t>
        </r>
      </text>
    </comment>
    <comment ref="B1106" authorId="1" shapeId="0" xr:uid="{00000000-0006-0000-0100-00003A030000}">
      <text>
        <r>
          <rPr>
            <sz val="11"/>
            <color theme="1"/>
            <rFont val="Calibri"/>
            <family val="2"/>
            <scheme val="minor"/>
          </rPr>
          <t>Descripción calculada automáticamente a partir de código del artículo</t>
        </r>
      </text>
    </comment>
    <comment ref="C1106" authorId="1" shapeId="0" xr:uid="{00000000-0006-0000-0100-00003B030000}">
      <text>
        <r>
          <rPr>
            <sz val="11"/>
            <color theme="1"/>
            <rFont val="Calibri"/>
            <family val="2"/>
            <scheme val="minor"/>
          </rPr>
          <t>Seleccione un valor de la lista</t>
        </r>
      </text>
    </comment>
    <comment ref="D1106" authorId="1" shapeId="0" xr:uid="{00000000-0006-0000-0100-00003C030000}">
      <text>
        <r>
          <rPr>
            <sz val="11"/>
            <color theme="1"/>
            <rFont val="Calibri"/>
            <family val="2"/>
            <scheme val="minor"/>
          </rPr>
          <t>Introduzca un número con dos decimales como máximo. Debe ser igual o mayor a la "Cantidad Real Consumida"</t>
        </r>
      </text>
    </comment>
    <comment ref="E1106" authorId="1" shapeId="0" xr:uid="{00000000-0006-0000-0100-00003D030000}">
      <text>
        <r>
          <rPr>
            <sz val="11"/>
            <color theme="1"/>
            <rFont val="Calibri"/>
            <family val="2"/>
            <scheme val="minor"/>
          </rPr>
          <t>Introduzca un número con dos decimales como máximo</t>
        </r>
      </text>
    </comment>
    <comment ref="F1106" authorId="1" shapeId="0" xr:uid="{00000000-0006-0000-0100-00003E030000}">
      <text>
        <r>
          <rPr>
            <sz val="11"/>
            <color theme="1"/>
            <rFont val="Calibri"/>
            <family val="2"/>
            <scheme val="minor"/>
          </rPr>
          <t>Monto calculado automáticamente por el sistema</t>
        </r>
      </text>
    </comment>
    <comment ref="A1126" authorId="1" shapeId="0" xr:uid="{00000000-0006-0000-0100-00003F030000}">
      <text>
        <r>
          <rPr>
            <sz val="11"/>
            <color theme="1"/>
            <rFont val="Calibri"/>
            <family val="2"/>
            <scheme val="minor"/>
          </rPr>
          <t>Introducir un texto con el nombre o referencia de la contratación</t>
        </r>
      </text>
    </comment>
    <comment ref="B1126" authorId="1" shapeId="0" xr:uid="{00000000-0006-0000-0100-000040030000}">
      <text>
        <r>
          <rPr>
            <sz val="11"/>
            <color theme="1"/>
            <rFont val="Calibri"/>
            <family val="2"/>
            <scheme val="minor"/>
          </rPr>
          <t>Introduzca un texto con la finalidad de la contratación</t>
        </r>
      </text>
    </comment>
    <comment ref="C1126" authorId="1" shapeId="0" xr:uid="{00000000-0006-0000-0100-000041030000}">
      <text>
        <r>
          <rPr>
            <sz val="11"/>
            <color theme="1"/>
            <rFont val="Calibri"/>
            <family val="2"/>
            <scheme val="minor"/>
          </rPr>
          <t>Seleccionar un valor del listado</t>
        </r>
      </text>
    </comment>
    <comment ref="D1126" authorId="1" shapeId="0" xr:uid="{00000000-0006-0000-0100-000042030000}">
      <text>
        <r>
          <rPr>
            <sz val="11"/>
            <color theme="1"/>
            <rFont val="Calibri"/>
            <family val="2"/>
            <scheme val="minor"/>
          </rPr>
          <t>Seleccione el tipo de procedimiento</t>
        </r>
      </text>
    </comment>
    <comment ref="E1126" authorId="1" shapeId="0" xr:uid="{00000000-0006-0000-0100-000043030000}">
      <text>
        <r>
          <rPr>
            <sz val="11"/>
            <color theme="1"/>
            <rFont val="Calibri"/>
            <family val="2"/>
            <scheme val="minor"/>
          </rPr>
          <t>Seleccione un valor de la lista</t>
        </r>
      </text>
    </comment>
    <comment ref="F1126" authorId="1" shapeId="0" xr:uid="{00000000-0006-0000-0100-000044030000}">
      <text>
        <r>
          <rPr>
            <sz val="11"/>
            <color theme="1"/>
            <rFont val="Calibri"/>
            <family val="2"/>
            <scheme val="minor"/>
          </rPr>
          <t>Introduzca el código SNIP</t>
        </r>
      </text>
    </comment>
    <comment ref="C1127" authorId="1" shapeId="0" xr:uid="{00000000-0006-0000-0100-000045030000}">
      <text>
        <r>
          <rPr>
            <sz val="11"/>
            <color theme="1"/>
            <rFont val="Calibri"/>
            <family val="2"/>
            <scheme val="minor"/>
          </rPr>
          <t>Introduzca la fecha de inicio del proceso, en formato dd-mm-aaaa</t>
        </r>
      </text>
    </comment>
    <comment ref="F1127"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8" authorId="1" shapeId="0" xr:uid="{00000000-0006-0000-0100-000048030000}">
      <text/>
    </comment>
    <comment ref="C1129" authorId="1" shapeId="0" xr:uid="{00000000-0006-0000-0100-000046030000}">
      <text>
        <r>
          <rPr>
            <sz val="11"/>
            <color theme="1"/>
            <rFont val="Calibri"/>
            <family val="2"/>
            <scheme val="minor"/>
          </rPr>
          <t>Introduzca la fecha prevista de adjudicación, en formato dd-mm-aaaa</t>
        </r>
      </text>
    </comment>
    <comment ref="F1129" authorId="1" shapeId="0" xr:uid="{00000000-0006-0000-0100-000049030000}">
      <text/>
    </comment>
    <comment ref="F1130" authorId="1" shapeId="0" xr:uid="{00000000-0006-0000-0100-00004A030000}">
      <text/>
    </comment>
    <comment ref="A1132" authorId="1" shapeId="0" xr:uid="{00000000-0006-0000-0100-00004B030000}">
      <text>
        <r>
          <rPr>
            <sz val="11"/>
            <color theme="1"/>
            <rFont val="Calibri"/>
            <family val="2"/>
            <scheme val="minor"/>
          </rPr>
          <t>Introduzca un codigo UNSPSC</t>
        </r>
      </text>
    </comment>
    <comment ref="B1132" authorId="1" shapeId="0" xr:uid="{00000000-0006-0000-0100-00004C030000}">
      <text>
        <r>
          <rPr>
            <sz val="11"/>
            <color theme="1"/>
            <rFont val="Calibri"/>
            <family val="2"/>
            <scheme val="minor"/>
          </rPr>
          <t>Descripción calculada automáticamente a partir de código del artículo</t>
        </r>
      </text>
    </comment>
    <comment ref="C1132" authorId="1" shapeId="0" xr:uid="{00000000-0006-0000-0100-00004D030000}">
      <text>
        <r>
          <rPr>
            <sz val="11"/>
            <color theme="1"/>
            <rFont val="Calibri"/>
            <family val="2"/>
            <scheme val="minor"/>
          </rPr>
          <t>Seleccione un valor de la lista</t>
        </r>
      </text>
    </comment>
    <comment ref="D1132" authorId="1" shapeId="0" xr:uid="{00000000-0006-0000-0100-00004E030000}">
      <text>
        <r>
          <rPr>
            <sz val="11"/>
            <color theme="1"/>
            <rFont val="Calibri"/>
            <family val="2"/>
            <scheme val="minor"/>
          </rPr>
          <t>Introduzca un número con dos decimales como máximo. Debe ser igual o mayor a la "Cantidad Real Consumida"</t>
        </r>
      </text>
    </comment>
    <comment ref="E1132" authorId="1" shapeId="0" xr:uid="{00000000-0006-0000-0100-00004F030000}">
      <text>
        <r>
          <rPr>
            <sz val="11"/>
            <color theme="1"/>
            <rFont val="Calibri"/>
            <family val="2"/>
            <scheme val="minor"/>
          </rPr>
          <t>Introduzca un número con dos decimales como máximo</t>
        </r>
      </text>
    </comment>
    <comment ref="F1132" authorId="1" shapeId="0" xr:uid="{00000000-0006-0000-0100-000050030000}">
      <text>
        <r>
          <rPr>
            <sz val="11"/>
            <color theme="1"/>
            <rFont val="Calibri"/>
            <family val="2"/>
            <scheme val="minor"/>
          </rPr>
          <t>Monto calculado automáticamente por el sistema</t>
        </r>
      </text>
    </comment>
    <comment ref="A1138" authorId="1" shapeId="0" xr:uid="{00000000-0006-0000-0100-000051030000}">
      <text>
        <r>
          <rPr>
            <sz val="11"/>
            <color theme="1"/>
            <rFont val="Calibri"/>
            <family val="2"/>
            <scheme val="minor"/>
          </rPr>
          <t>Introducir un texto con el nombre o referencia de la contratación</t>
        </r>
      </text>
    </comment>
    <comment ref="B1138" authorId="1" shapeId="0" xr:uid="{00000000-0006-0000-0100-000052030000}">
      <text>
        <r>
          <rPr>
            <sz val="11"/>
            <color theme="1"/>
            <rFont val="Calibri"/>
            <family val="2"/>
            <scheme val="minor"/>
          </rPr>
          <t>Introduzca un texto con la finalidad de la contratación</t>
        </r>
      </text>
    </comment>
    <comment ref="C1138" authorId="1" shapeId="0" xr:uid="{00000000-0006-0000-0100-000053030000}">
      <text>
        <r>
          <rPr>
            <sz val="11"/>
            <color theme="1"/>
            <rFont val="Calibri"/>
            <family val="2"/>
            <scheme val="minor"/>
          </rPr>
          <t>Seleccionar un valor del listado</t>
        </r>
      </text>
    </comment>
    <comment ref="D1138" authorId="1" shapeId="0" xr:uid="{00000000-0006-0000-0100-000054030000}">
      <text>
        <r>
          <rPr>
            <sz val="11"/>
            <color theme="1"/>
            <rFont val="Calibri"/>
            <family val="2"/>
            <scheme val="minor"/>
          </rPr>
          <t>Seleccione el tipo de procedimiento</t>
        </r>
      </text>
    </comment>
    <comment ref="E1138" authorId="1" shapeId="0" xr:uid="{00000000-0006-0000-0100-000055030000}">
      <text>
        <r>
          <rPr>
            <sz val="11"/>
            <color theme="1"/>
            <rFont val="Calibri"/>
            <family val="2"/>
            <scheme val="minor"/>
          </rPr>
          <t>Seleccione un valor de la lista</t>
        </r>
      </text>
    </comment>
    <comment ref="F1138" authorId="1" shapeId="0" xr:uid="{00000000-0006-0000-0100-000056030000}">
      <text>
        <r>
          <rPr>
            <sz val="11"/>
            <color theme="1"/>
            <rFont val="Calibri"/>
            <family val="2"/>
            <scheme val="minor"/>
          </rPr>
          <t>Introduzca el código SNIP</t>
        </r>
      </text>
    </comment>
    <comment ref="C1139" authorId="1" shapeId="0" xr:uid="{00000000-0006-0000-0100-000057030000}">
      <text>
        <r>
          <rPr>
            <sz val="11"/>
            <color theme="1"/>
            <rFont val="Calibri"/>
            <family val="2"/>
            <scheme val="minor"/>
          </rPr>
          <t>Introduzca la fecha de inicio del proceso, en formato dd-mm-aaaa</t>
        </r>
      </text>
    </comment>
    <comment ref="F1139"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0" authorId="1" shapeId="0" xr:uid="{00000000-0006-0000-0100-00005A030000}">
      <text/>
    </comment>
    <comment ref="C1141" authorId="1" shapeId="0" xr:uid="{00000000-0006-0000-0100-000058030000}">
      <text>
        <r>
          <rPr>
            <sz val="11"/>
            <color theme="1"/>
            <rFont val="Calibri"/>
            <family val="2"/>
            <scheme val="minor"/>
          </rPr>
          <t>Introduzca la fecha prevista de adjudicación, en formato dd-mm-aaaa</t>
        </r>
      </text>
    </comment>
    <comment ref="F1141" authorId="1" shapeId="0" xr:uid="{00000000-0006-0000-0100-00005B030000}">
      <text/>
    </comment>
    <comment ref="F1142" authorId="1" shapeId="0" xr:uid="{00000000-0006-0000-0100-00005C030000}">
      <text/>
    </comment>
    <comment ref="A1144" authorId="1" shapeId="0" xr:uid="{00000000-0006-0000-0100-00005D030000}">
      <text>
        <r>
          <rPr>
            <sz val="11"/>
            <color theme="1"/>
            <rFont val="Calibri"/>
            <family val="2"/>
            <scheme val="minor"/>
          </rPr>
          <t>Introduzca un codigo UNSPSC</t>
        </r>
      </text>
    </comment>
    <comment ref="B1144" authorId="1" shapeId="0" xr:uid="{00000000-0006-0000-0100-00005E030000}">
      <text>
        <r>
          <rPr>
            <sz val="11"/>
            <color theme="1"/>
            <rFont val="Calibri"/>
            <family val="2"/>
            <scheme val="minor"/>
          </rPr>
          <t>Descripción calculada automáticamente a partir de código del artículo</t>
        </r>
      </text>
    </comment>
    <comment ref="C1144" authorId="1" shapeId="0" xr:uid="{00000000-0006-0000-0100-00005F030000}">
      <text>
        <r>
          <rPr>
            <sz val="11"/>
            <color theme="1"/>
            <rFont val="Calibri"/>
            <family val="2"/>
            <scheme val="minor"/>
          </rPr>
          <t>Seleccione un valor de la lista</t>
        </r>
      </text>
    </comment>
    <comment ref="D1144" authorId="1" shapeId="0" xr:uid="{00000000-0006-0000-0100-000060030000}">
      <text>
        <r>
          <rPr>
            <sz val="11"/>
            <color theme="1"/>
            <rFont val="Calibri"/>
            <family val="2"/>
            <scheme val="minor"/>
          </rPr>
          <t>Introduzca un número con dos decimales como máximo. Debe ser igual o mayor a la "Cantidad Real Consumida"</t>
        </r>
      </text>
    </comment>
    <comment ref="E1144" authorId="1" shapeId="0" xr:uid="{00000000-0006-0000-0100-000061030000}">
      <text>
        <r>
          <rPr>
            <sz val="11"/>
            <color theme="1"/>
            <rFont val="Calibri"/>
            <family val="2"/>
            <scheme val="minor"/>
          </rPr>
          <t>Introduzca un número con dos decimales como máximo</t>
        </r>
      </text>
    </comment>
    <comment ref="F1144" authorId="1" shapeId="0" xr:uid="{00000000-0006-0000-0100-000062030000}">
      <text>
        <r>
          <rPr>
            <sz val="11"/>
            <color theme="1"/>
            <rFont val="Calibri"/>
            <family val="2"/>
            <scheme val="minor"/>
          </rPr>
          <t>Monto calculado automáticamente por el sistema</t>
        </r>
      </text>
    </comment>
    <comment ref="A1153" authorId="1" shapeId="0" xr:uid="{00000000-0006-0000-0100-000063030000}">
      <text>
        <r>
          <rPr>
            <sz val="11"/>
            <color theme="1"/>
            <rFont val="Calibri"/>
            <family val="2"/>
            <scheme val="minor"/>
          </rPr>
          <t>Introducir un texto con el nombre o referencia de la contratación</t>
        </r>
      </text>
    </comment>
    <comment ref="B1153" authorId="1" shapeId="0" xr:uid="{00000000-0006-0000-0100-000064030000}">
      <text>
        <r>
          <rPr>
            <sz val="11"/>
            <color theme="1"/>
            <rFont val="Calibri"/>
            <family val="2"/>
            <scheme val="minor"/>
          </rPr>
          <t>Introduzca un texto con la finalidad de la contratación</t>
        </r>
      </text>
    </comment>
    <comment ref="C1153" authorId="1" shapeId="0" xr:uid="{00000000-0006-0000-0100-000065030000}">
      <text>
        <r>
          <rPr>
            <sz val="11"/>
            <color theme="1"/>
            <rFont val="Calibri"/>
            <family val="2"/>
            <scheme val="minor"/>
          </rPr>
          <t>Seleccionar un valor del listado</t>
        </r>
      </text>
    </comment>
    <comment ref="D1153" authorId="1" shapeId="0" xr:uid="{00000000-0006-0000-0100-000066030000}">
      <text>
        <r>
          <rPr>
            <sz val="11"/>
            <color theme="1"/>
            <rFont val="Calibri"/>
            <family val="2"/>
            <scheme val="minor"/>
          </rPr>
          <t>Seleccione el tipo de procedimiento</t>
        </r>
      </text>
    </comment>
    <comment ref="E1153" authorId="1" shapeId="0" xr:uid="{00000000-0006-0000-0100-000067030000}">
      <text>
        <r>
          <rPr>
            <sz val="11"/>
            <color theme="1"/>
            <rFont val="Calibri"/>
            <family val="2"/>
            <scheme val="minor"/>
          </rPr>
          <t>Seleccione un valor de la lista</t>
        </r>
      </text>
    </comment>
    <comment ref="F1153" authorId="1" shapeId="0" xr:uid="{00000000-0006-0000-0100-000068030000}">
      <text>
        <r>
          <rPr>
            <sz val="11"/>
            <color theme="1"/>
            <rFont val="Calibri"/>
            <family val="2"/>
            <scheme val="minor"/>
          </rPr>
          <t>Introduzca el código SNIP</t>
        </r>
      </text>
    </comment>
    <comment ref="C1154" authorId="1" shapeId="0" xr:uid="{00000000-0006-0000-0100-000069030000}">
      <text>
        <r>
          <rPr>
            <sz val="11"/>
            <color theme="1"/>
            <rFont val="Calibri"/>
            <family val="2"/>
            <scheme val="minor"/>
          </rPr>
          <t>Introduzca la fecha de inicio del proceso, en formato dd-mm-aaaa</t>
        </r>
      </text>
    </comment>
    <comment ref="F1154"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5" authorId="1" shapeId="0" xr:uid="{00000000-0006-0000-0100-00006C030000}">
      <text/>
    </comment>
    <comment ref="C1156" authorId="1" shapeId="0" xr:uid="{00000000-0006-0000-0100-00006A030000}">
      <text>
        <r>
          <rPr>
            <sz val="11"/>
            <color theme="1"/>
            <rFont val="Calibri"/>
            <family val="2"/>
            <scheme val="minor"/>
          </rPr>
          <t>Introduzca la fecha prevista de adjudicación, en formato dd-mm-aaaa</t>
        </r>
      </text>
    </comment>
    <comment ref="F1156" authorId="1" shapeId="0" xr:uid="{00000000-0006-0000-0100-00006D030000}">
      <text/>
    </comment>
    <comment ref="F1157" authorId="1" shapeId="0" xr:uid="{00000000-0006-0000-0100-00006E030000}">
      <text/>
    </comment>
    <comment ref="A1159" authorId="1" shapeId="0" xr:uid="{00000000-0006-0000-0100-00006F030000}">
      <text>
        <r>
          <rPr>
            <sz val="11"/>
            <color theme="1"/>
            <rFont val="Calibri"/>
            <family val="2"/>
            <scheme val="minor"/>
          </rPr>
          <t>Introduzca un codigo UNSPSC</t>
        </r>
      </text>
    </comment>
    <comment ref="B1159" authorId="1" shapeId="0" xr:uid="{00000000-0006-0000-0100-000070030000}">
      <text>
        <r>
          <rPr>
            <sz val="11"/>
            <color theme="1"/>
            <rFont val="Calibri"/>
            <family val="2"/>
            <scheme val="minor"/>
          </rPr>
          <t>Descripción calculada automáticamente a partir de código del artículo</t>
        </r>
      </text>
    </comment>
    <comment ref="C1159" authorId="1" shapeId="0" xr:uid="{00000000-0006-0000-0100-000071030000}">
      <text>
        <r>
          <rPr>
            <sz val="11"/>
            <color theme="1"/>
            <rFont val="Calibri"/>
            <family val="2"/>
            <scheme val="minor"/>
          </rPr>
          <t>Seleccione un valor de la lista</t>
        </r>
      </text>
    </comment>
    <comment ref="D1159" authorId="1" shapeId="0" xr:uid="{00000000-0006-0000-0100-000072030000}">
      <text>
        <r>
          <rPr>
            <sz val="11"/>
            <color theme="1"/>
            <rFont val="Calibri"/>
            <family val="2"/>
            <scheme val="minor"/>
          </rPr>
          <t>Introduzca un número con dos decimales como máximo. Debe ser igual o mayor a la "Cantidad Real Consumida"</t>
        </r>
      </text>
    </comment>
    <comment ref="E1159" authorId="1" shapeId="0" xr:uid="{00000000-0006-0000-0100-000073030000}">
      <text>
        <r>
          <rPr>
            <sz val="11"/>
            <color theme="1"/>
            <rFont val="Calibri"/>
            <family val="2"/>
            <scheme val="minor"/>
          </rPr>
          <t>Introduzca un número con dos decimales como máximo</t>
        </r>
      </text>
    </comment>
    <comment ref="F1159" authorId="1" shapeId="0" xr:uid="{00000000-0006-0000-0100-000074030000}">
      <text>
        <r>
          <rPr>
            <sz val="11"/>
            <color theme="1"/>
            <rFont val="Calibri"/>
            <family val="2"/>
            <scheme val="minor"/>
          </rPr>
          <t>Monto calculado automáticamente por el sistema</t>
        </r>
      </text>
    </comment>
    <comment ref="A1164" authorId="1" shapeId="0" xr:uid="{00000000-0006-0000-0100-000075030000}">
      <text>
        <r>
          <rPr>
            <sz val="11"/>
            <color theme="1"/>
            <rFont val="Calibri"/>
            <family val="2"/>
            <scheme val="minor"/>
          </rPr>
          <t>Introducir un texto con el nombre o referencia de la contratación</t>
        </r>
      </text>
    </comment>
    <comment ref="B1164" authorId="1" shapeId="0" xr:uid="{00000000-0006-0000-0100-000076030000}">
      <text>
        <r>
          <rPr>
            <sz val="11"/>
            <color theme="1"/>
            <rFont val="Calibri"/>
            <family val="2"/>
            <scheme val="minor"/>
          </rPr>
          <t>Introduzca un texto con la finalidad de la contratación</t>
        </r>
      </text>
    </comment>
    <comment ref="C1164" authorId="1" shapeId="0" xr:uid="{00000000-0006-0000-0100-000077030000}">
      <text>
        <r>
          <rPr>
            <sz val="11"/>
            <color theme="1"/>
            <rFont val="Calibri"/>
            <family val="2"/>
            <scheme val="minor"/>
          </rPr>
          <t>Seleccionar un valor del listado</t>
        </r>
      </text>
    </comment>
    <comment ref="D1164" authorId="1" shapeId="0" xr:uid="{00000000-0006-0000-0100-000078030000}">
      <text>
        <r>
          <rPr>
            <sz val="11"/>
            <color theme="1"/>
            <rFont val="Calibri"/>
            <family val="2"/>
            <scheme val="minor"/>
          </rPr>
          <t>Seleccione el tipo de procedimiento</t>
        </r>
      </text>
    </comment>
    <comment ref="E1164" authorId="1" shapeId="0" xr:uid="{00000000-0006-0000-0100-000079030000}">
      <text>
        <r>
          <rPr>
            <sz val="11"/>
            <color theme="1"/>
            <rFont val="Calibri"/>
            <family val="2"/>
            <scheme val="minor"/>
          </rPr>
          <t>Seleccione un valor de la lista</t>
        </r>
      </text>
    </comment>
    <comment ref="F1164" authorId="1" shapeId="0" xr:uid="{00000000-0006-0000-0100-00007A030000}">
      <text>
        <r>
          <rPr>
            <sz val="11"/>
            <color theme="1"/>
            <rFont val="Calibri"/>
            <family val="2"/>
            <scheme val="minor"/>
          </rPr>
          <t>Introduzca el código SNIP</t>
        </r>
      </text>
    </comment>
    <comment ref="C1165" authorId="1" shapeId="0" xr:uid="{00000000-0006-0000-0100-00007B030000}">
      <text>
        <r>
          <rPr>
            <sz val="11"/>
            <color theme="1"/>
            <rFont val="Calibri"/>
            <family val="2"/>
            <scheme val="minor"/>
          </rPr>
          <t>Introduzca la fecha de inicio del proceso, en formato dd-mm-aaaa</t>
        </r>
      </text>
    </comment>
    <comment ref="F1165"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6" authorId="1" shapeId="0" xr:uid="{00000000-0006-0000-0100-00007E030000}">
      <text/>
    </comment>
    <comment ref="C1167" authorId="1" shapeId="0" xr:uid="{00000000-0006-0000-0100-00007C030000}">
      <text>
        <r>
          <rPr>
            <sz val="11"/>
            <color theme="1"/>
            <rFont val="Calibri"/>
            <family val="2"/>
            <scheme val="minor"/>
          </rPr>
          <t>Introduzca la fecha prevista de adjudicación, en formato dd-mm-aaaa</t>
        </r>
      </text>
    </comment>
    <comment ref="F1167" authorId="1" shapeId="0" xr:uid="{00000000-0006-0000-0100-00007F030000}">
      <text/>
    </comment>
    <comment ref="F1168" authorId="1" shapeId="0" xr:uid="{00000000-0006-0000-0100-000080030000}">
      <text/>
    </comment>
    <comment ref="A1170" authorId="1" shapeId="0" xr:uid="{00000000-0006-0000-0100-000081030000}">
      <text>
        <r>
          <rPr>
            <sz val="11"/>
            <color theme="1"/>
            <rFont val="Calibri"/>
            <family val="2"/>
            <scheme val="minor"/>
          </rPr>
          <t>Introduzca un codigo UNSPSC</t>
        </r>
      </text>
    </comment>
    <comment ref="B1170" authorId="1" shapeId="0" xr:uid="{00000000-0006-0000-0100-000082030000}">
      <text>
        <r>
          <rPr>
            <sz val="11"/>
            <color theme="1"/>
            <rFont val="Calibri"/>
            <family val="2"/>
            <scheme val="minor"/>
          </rPr>
          <t>Descripción calculada automáticamente a partir de código del artículo</t>
        </r>
      </text>
    </comment>
    <comment ref="C1170" authorId="1" shapeId="0" xr:uid="{00000000-0006-0000-0100-000083030000}">
      <text>
        <r>
          <rPr>
            <sz val="11"/>
            <color theme="1"/>
            <rFont val="Calibri"/>
            <family val="2"/>
            <scheme val="minor"/>
          </rPr>
          <t>Seleccione un valor de la lista</t>
        </r>
      </text>
    </comment>
    <comment ref="D1170" authorId="1" shapeId="0" xr:uid="{00000000-0006-0000-0100-000084030000}">
      <text>
        <r>
          <rPr>
            <sz val="11"/>
            <color theme="1"/>
            <rFont val="Calibri"/>
            <family val="2"/>
            <scheme val="minor"/>
          </rPr>
          <t>Introduzca un número con dos decimales como máximo. Debe ser igual o mayor a la "Cantidad Real Consumida"</t>
        </r>
      </text>
    </comment>
    <comment ref="E1170" authorId="1" shapeId="0" xr:uid="{00000000-0006-0000-0100-000085030000}">
      <text>
        <r>
          <rPr>
            <sz val="11"/>
            <color theme="1"/>
            <rFont val="Calibri"/>
            <family val="2"/>
            <scheme val="minor"/>
          </rPr>
          <t>Introduzca un número con dos decimales como máximo</t>
        </r>
      </text>
    </comment>
    <comment ref="F1170" authorId="1" shapeId="0" xr:uid="{00000000-0006-0000-0100-000086030000}">
      <text>
        <r>
          <rPr>
            <sz val="11"/>
            <color theme="1"/>
            <rFont val="Calibri"/>
            <family val="2"/>
            <scheme val="minor"/>
          </rPr>
          <t>Monto calculado automáticamente por el sistema</t>
        </r>
      </text>
    </comment>
    <comment ref="A1179" authorId="1" shapeId="0" xr:uid="{00000000-0006-0000-0100-000087030000}">
      <text>
        <r>
          <rPr>
            <sz val="11"/>
            <color theme="1"/>
            <rFont val="Calibri"/>
            <family val="2"/>
            <scheme val="minor"/>
          </rPr>
          <t>Introducir un texto con el nombre o referencia de la contratación</t>
        </r>
      </text>
    </comment>
    <comment ref="B1179" authorId="1" shapeId="0" xr:uid="{00000000-0006-0000-0100-000088030000}">
      <text>
        <r>
          <rPr>
            <sz val="11"/>
            <color theme="1"/>
            <rFont val="Calibri"/>
            <family val="2"/>
            <scheme val="minor"/>
          </rPr>
          <t>Introduzca un texto con la finalidad de la contratación</t>
        </r>
      </text>
    </comment>
    <comment ref="C1179" authorId="1" shapeId="0" xr:uid="{00000000-0006-0000-0100-000089030000}">
      <text>
        <r>
          <rPr>
            <sz val="11"/>
            <color theme="1"/>
            <rFont val="Calibri"/>
            <family val="2"/>
            <scheme val="minor"/>
          </rPr>
          <t>Seleccionar un valor del listado</t>
        </r>
      </text>
    </comment>
    <comment ref="D1179" authorId="1" shapeId="0" xr:uid="{00000000-0006-0000-0100-00008A030000}">
      <text>
        <r>
          <rPr>
            <sz val="11"/>
            <color theme="1"/>
            <rFont val="Calibri"/>
            <family val="2"/>
            <scheme val="minor"/>
          </rPr>
          <t>Seleccione el tipo de procedimiento</t>
        </r>
      </text>
    </comment>
    <comment ref="E1179" authorId="1" shapeId="0" xr:uid="{00000000-0006-0000-0100-00008B030000}">
      <text>
        <r>
          <rPr>
            <sz val="11"/>
            <color theme="1"/>
            <rFont val="Calibri"/>
            <family val="2"/>
            <scheme val="minor"/>
          </rPr>
          <t>Seleccione un valor de la lista</t>
        </r>
      </text>
    </comment>
    <comment ref="F1179" authorId="1" shapeId="0" xr:uid="{00000000-0006-0000-0100-00008C030000}">
      <text>
        <r>
          <rPr>
            <sz val="11"/>
            <color theme="1"/>
            <rFont val="Calibri"/>
            <family val="2"/>
            <scheme val="minor"/>
          </rPr>
          <t>Introduzca el código SNIP</t>
        </r>
      </text>
    </comment>
    <comment ref="C1180" authorId="1" shapeId="0" xr:uid="{00000000-0006-0000-0100-00008D030000}">
      <text>
        <r>
          <rPr>
            <sz val="11"/>
            <color theme="1"/>
            <rFont val="Calibri"/>
            <family val="2"/>
            <scheme val="minor"/>
          </rPr>
          <t>Introduzca la fecha de inicio del proceso, en formato dd-mm-aaaa</t>
        </r>
      </text>
    </comment>
    <comment ref="F1180"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1" authorId="1" shapeId="0" xr:uid="{00000000-0006-0000-0100-000090030000}">
      <text/>
    </comment>
    <comment ref="C1182" authorId="1" shapeId="0" xr:uid="{00000000-0006-0000-0100-00008E030000}">
      <text>
        <r>
          <rPr>
            <sz val="11"/>
            <color theme="1"/>
            <rFont val="Calibri"/>
            <family val="2"/>
            <scheme val="minor"/>
          </rPr>
          <t>Introduzca la fecha prevista de adjudicación, en formato dd-mm-aaaa</t>
        </r>
      </text>
    </comment>
    <comment ref="F1182" authorId="1" shapeId="0" xr:uid="{00000000-0006-0000-0100-000091030000}">
      <text/>
    </comment>
    <comment ref="F1183" authorId="1" shapeId="0" xr:uid="{00000000-0006-0000-0100-000092030000}">
      <text/>
    </comment>
    <comment ref="A1185" authorId="1" shapeId="0" xr:uid="{00000000-0006-0000-0100-000093030000}">
      <text>
        <r>
          <rPr>
            <sz val="11"/>
            <color theme="1"/>
            <rFont val="Calibri"/>
            <family val="2"/>
            <scheme val="minor"/>
          </rPr>
          <t>Introduzca un codigo UNSPSC</t>
        </r>
      </text>
    </comment>
    <comment ref="B1185" authorId="1" shapeId="0" xr:uid="{00000000-0006-0000-0100-000094030000}">
      <text>
        <r>
          <rPr>
            <sz val="11"/>
            <color theme="1"/>
            <rFont val="Calibri"/>
            <family val="2"/>
            <scheme val="minor"/>
          </rPr>
          <t>Descripción calculada automáticamente a partir de código del artículo</t>
        </r>
      </text>
    </comment>
    <comment ref="C1185" authorId="1" shapeId="0" xr:uid="{00000000-0006-0000-0100-000095030000}">
      <text>
        <r>
          <rPr>
            <sz val="11"/>
            <color theme="1"/>
            <rFont val="Calibri"/>
            <family val="2"/>
            <scheme val="minor"/>
          </rPr>
          <t>Seleccione un valor de la lista</t>
        </r>
      </text>
    </comment>
    <comment ref="D1185" authorId="1" shapeId="0" xr:uid="{00000000-0006-0000-0100-000096030000}">
      <text>
        <r>
          <rPr>
            <sz val="11"/>
            <color theme="1"/>
            <rFont val="Calibri"/>
            <family val="2"/>
            <scheme val="minor"/>
          </rPr>
          <t>Introduzca un número con dos decimales como máximo. Debe ser igual o mayor a la "Cantidad Real Consumida"</t>
        </r>
      </text>
    </comment>
    <comment ref="E1185" authorId="1" shapeId="0" xr:uid="{00000000-0006-0000-0100-000097030000}">
      <text>
        <r>
          <rPr>
            <sz val="11"/>
            <color theme="1"/>
            <rFont val="Calibri"/>
            <family val="2"/>
            <scheme val="minor"/>
          </rPr>
          <t>Introduzca un número con dos decimales como máximo</t>
        </r>
      </text>
    </comment>
    <comment ref="F1185" authorId="1" shapeId="0" xr:uid="{00000000-0006-0000-0100-000098030000}">
      <text>
        <r>
          <rPr>
            <sz val="11"/>
            <color theme="1"/>
            <rFont val="Calibri"/>
            <family val="2"/>
            <scheme val="minor"/>
          </rPr>
          <t>Monto calculado automáticamente por el sistema</t>
        </r>
      </text>
    </comment>
    <comment ref="A1201" authorId="1" shapeId="0" xr:uid="{00000000-0006-0000-0100-000099030000}">
      <text>
        <r>
          <rPr>
            <sz val="11"/>
            <color theme="1"/>
            <rFont val="Calibri"/>
            <family val="2"/>
            <scheme val="minor"/>
          </rPr>
          <t>Introducir un texto con el nombre o referencia de la contratación</t>
        </r>
      </text>
    </comment>
    <comment ref="B1201" authorId="1" shapeId="0" xr:uid="{00000000-0006-0000-0100-00009A030000}">
      <text>
        <r>
          <rPr>
            <sz val="11"/>
            <color theme="1"/>
            <rFont val="Calibri"/>
            <family val="2"/>
            <scheme val="minor"/>
          </rPr>
          <t>Introduzca un texto con la finalidad de la contratación</t>
        </r>
      </text>
    </comment>
    <comment ref="C1201" authorId="1" shapeId="0" xr:uid="{00000000-0006-0000-0100-00009B030000}">
      <text>
        <r>
          <rPr>
            <sz val="11"/>
            <color theme="1"/>
            <rFont val="Calibri"/>
            <family val="2"/>
            <scheme val="minor"/>
          </rPr>
          <t>Seleccionar un valor del listado</t>
        </r>
      </text>
    </comment>
    <comment ref="D1201" authorId="1" shapeId="0" xr:uid="{00000000-0006-0000-0100-00009C030000}">
      <text>
        <r>
          <rPr>
            <sz val="11"/>
            <color theme="1"/>
            <rFont val="Calibri"/>
            <family val="2"/>
            <scheme val="minor"/>
          </rPr>
          <t>Seleccione el tipo de procedimiento</t>
        </r>
      </text>
    </comment>
    <comment ref="E1201" authorId="1" shapeId="0" xr:uid="{00000000-0006-0000-0100-00009D030000}">
      <text>
        <r>
          <rPr>
            <sz val="11"/>
            <color theme="1"/>
            <rFont val="Calibri"/>
            <family val="2"/>
            <scheme val="minor"/>
          </rPr>
          <t>Seleccione un valor de la lista</t>
        </r>
      </text>
    </comment>
    <comment ref="F1201" authorId="1" shapeId="0" xr:uid="{00000000-0006-0000-0100-00009E030000}">
      <text>
        <r>
          <rPr>
            <sz val="11"/>
            <color theme="1"/>
            <rFont val="Calibri"/>
            <family val="2"/>
            <scheme val="minor"/>
          </rPr>
          <t>Introduzca el código SNIP</t>
        </r>
      </text>
    </comment>
    <comment ref="C1202" authorId="1" shapeId="0" xr:uid="{00000000-0006-0000-0100-00009F030000}">
      <text>
        <r>
          <rPr>
            <sz val="11"/>
            <color theme="1"/>
            <rFont val="Calibri"/>
            <family val="2"/>
            <scheme val="minor"/>
          </rPr>
          <t>Introduzca la fecha de inicio del proceso, en formato dd-mm-aaaa</t>
        </r>
      </text>
    </comment>
    <comment ref="F1202"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3" authorId="1" shapeId="0" xr:uid="{00000000-0006-0000-0100-0000A2030000}">
      <text/>
    </comment>
    <comment ref="C1204" authorId="1" shapeId="0" xr:uid="{00000000-0006-0000-0100-0000A0030000}">
      <text>
        <r>
          <rPr>
            <sz val="11"/>
            <color theme="1"/>
            <rFont val="Calibri"/>
            <family val="2"/>
            <scheme val="minor"/>
          </rPr>
          <t>Introduzca la fecha prevista de adjudicación, en formato dd-mm-aaaa</t>
        </r>
      </text>
    </comment>
    <comment ref="F1204" authorId="1" shapeId="0" xr:uid="{00000000-0006-0000-0100-0000A3030000}">
      <text/>
    </comment>
    <comment ref="F1205" authorId="1" shapeId="0" xr:uid="{00000000-0006-0000-0100-0000A4030000}">
      <text/>
    </comment>
    <comment ref="A1207" authorId="1" shapeId="0" xr:uid="{00000000-0006-0000-0100-0000A5030000}">
      <text>
        <r>
          <rPr>
            <sz val="11"/>
            <color theme="1"/>
            <rFont val="Calibri"/>
            <family val="2"/>
            <scheme val="minor"/>
          </rPr>
          <t>Introduzca un codigo UNSPSC</t>
        </r>
      </text>
    </comment>
    <comment ref="B1207" authorId="1" shapeId="0" xr:uid="{00000000-0006-0000-0100-0000A6030000}">
      <text>
        <r>
          <rPr>
            <sz val="11"/>
            <color theme="1"/>
            <rFont val="Calibri"/>
            <family val="2"/>
            <scheme val="minor"/>
          </rPr>
          <t>Descripción calculada automáticamente a partir de código del artículo</t>
        </r>
      </text>
    </comment>
    <comment ref="C1207" authorId="1" shapeId="0" xr:uid="{00000000-0006-0000-0100-0000A7030000}">
      <text>
        <r>
          <rPr>
            <sz val="11"/>
            <color theme="1"/>
            <rFont val="Calibri"/>
            <family val="2"/>
            <scheme val="minor"/>
          </rPr>
          <t>Seleccione un valor de la lista</t>
        </r>
      </text>
    </comment>
    <comment ref="D1207" authorId="1" shapeId="0" xr:uid="{00000000-0006-0000-0100-0000A8030000}">
      <text>
        <r>
          <rPr>
            <sz val="11"/>
            <color theme="1"/>
            <rFont val="Calibri"/>
            <family val="2"/>
            <scheme val="minor"/>
          </rPr>
          <t>Introduzca un número con dos decimales como máximo. Debe ser igual o mayor a la "Cantidad Real Consumida"</t>
        </r>
      </text>
    </comment>
    <comment ref="E1207" authorId="1" shapeId="0" xr:uid="{00000000-0006-0000-0100-0000A9030000}">
      <text>
        <r>
          <rPr>
            <sz val="11"/>
            <color theme="1"/>
            <rFont val="Calibri"/>
            <family val="2"/>
            <scheme val="minor"/>
          </rPr>
          <t>Introduzca un número con dos decimales como máximo</t>
        </r>
      </text>
    </comment>
    <comment ref="F1207" authorId="1" shapeId="0" xr:uid="{00000000-0006-0000-0100-0000AA030000}">
      <text>
        <r>
          <rPr>
            <sz val="11"/>
            <color theme="1"/>
            <rFont val="Calibri"/>
            <family val="2"/>
            <scheme val="minor"/>
          </rPr>
          <t>Monto calculado automáticamente por el sistema</t>
        </r>
      </text>
    </comment>
    <comment ref="A1212" authorId="1" shapeId="0" xr:uid="{00000000-0006-0000-0100-0000AB030000}">
      <text>
        <r>
          <rPr>
            <sz val="11"/>
            <color theme="1"/>
            <rFont val="Calibri"/>
            <family val="2"/>
            <scheme val="minor"/>
          </rPr>
          <t>Introducir un texto con el nombre o referencia de la contratación</t>
        </r>
      </text>
    </comment>
    <comment ref="B1212" authorId="1" shapeId="0" xr:uid="{00000000-0006-0000-0100-0000AC030000}">
      <text>
        <r>
          <rPr>
            <sz val="11"/>
            <color theme="1"/>
            <rFont val="Calibri"/>
            <family val="2"/>
            <scheme val="minor"/>
          </rPr>
          <t>Introduzca un texto con la finalidad de la contratación</t>
        </r>
      </text>
    </comment>
    <comment ref="C1212" authorId="1" shapeId="0" xr:uid="{00000000-0006-0000-0100-0000AD030000}">
      <text>
        <r>
          <rPr>
            <sz val="11"/>
            <color theme="1"/>
            <rFont val="Calibri"/>
            <family val="2"/>
            <scheme val="minor"/>
          </rPr>
          <t>Seleccionar un valor del listado</t>
        </r>
      </text>
    </comment>
    <comment ref="D1212" authorId="1" shapeId="0" xr:uid="{00000000-0006-0000-0100-0000AE030000}">
      <text>
        <r>
          <rPr>
            <sz val="11"/>
            <color theme="1"/>
            <rFont val="Calibri"/>
            <family val="2"/>
            <scheme val="minor"/>
          </rPr>
          <t>Seleccione el tipo de procedimiento</t>
        </r>
      </text>
    </comment>
    <comment ref="E1212" authorId="1" shapeId="0" xr:uid="{00000000-0006-0000-0100-0000AF030000}">
      <text>
        <r>
          <rPr>
            <sz val="11"/>
            <color theme="1"/>
            <rFont val="Calibri"/>
            <family val="2"/>
            <scheme val="minor"/>
          </rPr>
          <t>Seleccione un valor de la lista</t>
        </r>
      </text>
    </comment>
    <comment ref="F1212" authorId="1" shapeId="0" xr:uid="{00000000-0006-0000-0100-0000B0030000}">
      <text>
        <r>
          <rPr>
            <sz val="11"/>
            <color theme="1"/>
            <rFont val="Calibri"/>
            <family val="2"/>
            <scheme val="minor"/>
          </rPr>
          <t>Introduzca el código SNIP</t>
        </r>
      </text>
    </comment>
    <comment ref="C1213" authorId="1" shapeId="0" xr:uid="{00000000-0006-0000-0100-0000B1030000}">
      <text>
        <r>
          <rPr>
            <sz val="11"/>
            <color theme="1"/>
            <rFont val="Calibri"/>
            <family val="2"/>
            <scheme val="minor"/>
          </rPr>
          <t>Introduzca la fecha de inicio del proceso, en formato dd-mm-aaaa</t>
        </r>
      </text>
    </comment>
    <comment ref="F1213"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4" authorId="1" shapeId="0" xr:uid="{00000000-0006-0000-0100-0000B4030000}">
      <text/>
    </comment>
    <comment ref="C1215" authorId="1" shapeId="0" xr:uid="{00000000-0006-0000-0100-0000B2030000}">
      <text>
        <r>
          <rPr>
            <sz val="11"/>
            <color theme="1"/>
            <rFont val="Calibri"/>
            <family val="2"/>
            <scheme val="minor"/>
          </rPr>
          <t>Introduzca la fecha prevista de adjudicación, en formato dd-mm-aaaa</t>
        </r>
      </text>
    </comment>
    <comment ref="F1215" authorId="1" shapeId="0" xr:uid="{00000000-0006-0000-0100-0000B5030000}">
      <text/>
    </comment>
    <comment ref="F1216" authorId="1" shapeId="0" xr:uid="{00000000-0006-0000-0100-0000B6030000}">
      <text/>
    </comment>
    <comment ref="A1218" authorId="1" shapeId="0" xr:uid="{00000000-0006-0000-0100-0000B7030000}">
      <text>
        <r>
          <rPr>
            <sz val="11"/>
            <color theme="1"/>
            <rFont val="Calibri"/>
            <family val="2"/>
            <scheme val="minor"/>
          </rPr>
          <t>Introduzca un codigo UNSPSC</t>
        </r>
      </text>
    </comment>
    <comment ref="B1218" authorId="1" shapeId="0" xr:uid="{00000000-0006-0000-0100-0000B8030000}">
      <text>
        <r>
          <rPr>
            <sz val="11"/>
            <color theme="1"/>
            <rFont val="Calibri"/>
            <family val="2"/>
            <scheme val="minor"/>
          </rPr>
          <t>Descripción calculada automáticamente a partir de código del artículo</t>
        </r>
      </text>
    </comment>
    <comment ref="C1218" authorId="1" shapeId="0" xr:uid="{00000000-0006-0000-0100-0000B9030000}">
      <text>
        <r>
          <rPr>
            <sz val="11"/>
            <color theme="1"/>
            <rFont val="Calibri"/>
            <family val="2"/>
            <scheme val="minor"/>
          </rPr>
          <t>Seleccione un valor de la lista</t>
        </r>
      </text>
    </comment>
    <comment ref="D1218" authorId="1" shapeId="0" xr:uid="{00000000-0006-0000-0100-0000BA030000}">
      <text>
        <r>
          <rPr>
            <sz val="11"/>
            <color theme="1"/>
            <rFont val="Calibri"/>
            <family val="2"/>
            <scheme val="minor"/>
          </rPr>
          <t>Introduzca un número con dos decimales como máximo. Debe ser igual o mayor a la "Cantidad Real Consumida"</t>
        </r>
      </text>
    </comment>
    <comment ref="E1218" authorId="1" shapeId="0" xr:uid="{00000000-0006-0000-0100-0000BB030000}">
      <text>
        <r>
          <rPr>
            <sz val="11"/>
            <color theme="1"/>
            <rFont val="Calibri"/>
            <family val="2"/>
            <scheme val="minor"/>
          </rPr>
          <t>Introduzca un número con dos decimales como máximo</t>
        </r>
      </text>
    </comment>
    <comment ref="F1218" authorId="1" shapeId="0" xr:uid="{00000000-0006-0000-0100-0000BC030000}">
      <text>
        <r>
          <rPr>
            <sz val="11"/>
            <color theme="1"/>
            <rFont val="Calibri"/>
            <family val="2"/>
            <scheme val="minor"/>
          </rPr>
          <t>Monto calculado automáticamente por el sistema</t>
        </r>
      </text>
    </comment>
    <comment ref="A1223" authorId="1" shapeId="0" xr:uid="{00000000-0006-0000-0100-0000BD030000}">
      <text>
        <r>
          <rPr>
            <sz val="11"/>
            <color theme="1"/>
            <rFont val="Calibri"/>
            <family val="2"/>
            <scheme val="minor"/>
          </rPr>
          <t>Introducir un texto con el nombre o referencia de la contratación</t>
        </r>
      </text>
    </comment>
    <comment ref="B1223" authorId="1" shapeId="0" xr:uid="{00000000-0006-0000-0100-0000BE030000}">
      <text>
        <r>
          <rPr>
            <sz val="11"/>
            <color theme="1"/>
            <rFont val="Calibri"/>
            <family val="2"/>
            <scheme val="minor"/>
          </rPr>
          <t>Introduzca un texto con la finalidad de la contratación</t>
        </r>
      </text>
    </comment>
    <comment ref="C1223" authorId="1" shapeId="0" xr:uid="{00000000-0006-0000-0100-0000BF030000}">
      <text>
        <r>
          <rPr>
            <sz val="11"/>
            <color theme="1"/>
            <rFont val="Calibri"/>
            <family val="2"/>
            <scheme val="minor"/>
          </rPr>
          <t>Seleccionar un valor del listado</t>
        </r>
      </text>
    </comment>
    <comment ref="D1223" authorId="1" shapeId="0" xr:uid="{00000000-0006-0000-0100-0000C0030000}">
      <text>
        <r>
          <rPr>
            <sz val="11"/>
            <color theme="1"/>
            <rFont val="Calibri"/>
            <family val="2"/>
            <scheme val="minor"/>
          </rPr>
          <t>Seleccione el tipo de procedimiento</t>
        </r>
      </text>
    </comment>
    <comment ref="E1223" authorId="1" shapeId="0" xr:uid="{00000000-0006-0000-0100-0000C1030000}">
      <text>
        <r>
          <rPr>
            <sz val="11"/>
            <color theme="1"/>
            <rFont val="Calibri"/>
            <family val="2"/>
            <scheme val="minor"/>
          </rPr>
          <t>Seleccione un valor de la lista</t>
        </r>
      </text>
    </comment>
    <comment ref="F1223" authorId="1" shapeId="0" xr:uid="{00000000-0006-0000-0100-0000C2030000}">
      <text>
        <r>
          <rPr>
            <sz val="11"/>
            <color theme="1"/>
            <rFont val="Calibri"/>
            <family val="2"/>
            <scheme val="minor"/>
          </rPr>
          <t>Introduzca el código SNIP</t>
        </r>
      </text>
    </comment>
    <comment ref="C1224" authorId="1" shapeId="0" xr:uid="{00000000-0006-0000-0100-0000C3030000}">
      <text>
        <r>
          <rPr>
            <sz val="11"/>
            <color theme="1"/>
            <rFont val="Calibri"/>
            <family val="2"/>
            <scheme val="minor"/>
          </rPr>
          <t>Introduzca la fecha de inicio del proceso, en formato dd-mm-aaaa</t>
        </r>
      </text>
    </comment>
    <comment ref="F1224"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5" authorId="1" shapeId="0" xr:uid="{00000000-0006-0000-0100-0000C6030000}">
      <text/>
    </comment>
    <comment ref="C1226" authorId="1" shapeId="0" xr:uid="{00000000-0006-0000-0100-0000C4030000}">
      <text>
        <r>
          <rPr>
            <sz val="11"/>
            <color theme="1"/>
            <rFont val="Calibri"/>
            <family val="2"/>
            <scheme val="minor"/>
          </rPr>
          <t>Introduzca la fecha prevista de adjudicación, en formato dd-mm-aaaa</t>
        </r>
      </text>
    </comment>
    <comment ref="F1226" authorId="1" shapeId="0" xr:uid="{00000000-0006-0000-0100-0000C7030000}">
      <text/>
    </comment>
    <comment ref="F1227" authorId="1" shapeId="0" xr:uid="{00000000-0006-0000-0100-0000C8030000}">
      <text/>
    </comment>
    <comment ref="A1229" authorId="1" shapeId="0" xr:uid="{00000000-0006-0000-0100-0000C9030000}">
      <text>
        <r>
          <rPr>
            <sz val="11"/>
            <color theme="1"/>
            <rFont val="Calibri"/>
            <family val="2"/>
            <scheme val="minor"/>
          </rPr>
          <t>Introduzca un codigo UNSPSC</t>
        </r>
      </text>
    </comment>
    <comment ref="B1229" authorId="1" shapeId="0" xr:uid="{00000000-0006-0000-0100-0000CA030000}">
      <text>
        <r>
          <rPr>
            <sz val="11"/>
            <color theme="1"/>
            <rFont val="Calibri"/>
            <family val="2"/>
            <scheme val="minor"/>
          </rPr>
          <t>Descripción calculada automáticamente a partir de código del artículo</t>
        </r>
      </text>
    </comment>
    <comment ref="C1229" authorId="1" shapeId="0" xr:uid="{00000000-0006-0000-0100-0000CB030000}">
      <text>
        <r>
          <rPr>
            <sz val="11"/>
            <color theme="1"/>
            <rFont val="Calibri"/>
            <family val="2"/>
            <scheme val="minor"/>
          </rPr>
          <t>Seleccione un valor de la lista</t>
        </r>
      </text>
    </comment>
    <comment ref="D1229" authorId="1" shapeId="0" xr:uid="{00000000-0006-0000-0100-0000CC030000}">
      <text>
        <r>
          <rPr>
            <sz val="11"/>
            <color theme="1"/>
            <rFont val="Calibri"/>
            <family val="2"/>
            <scheme val="minor"/>
          </rPr>
          <t>Introduzca un número con dos decimales como máximo. Debe ser igual o mayor a la "Cantidad Real Consumida"</t>
        </r>
      </text>
    </comment>
    <comment ref="E1229" authorId="1" shapeId="0" xr:uid="{00000000-0006-0000-0100-0000CD030000}">
      <text>
        <r>
          <rPr>
            <sz val="11"/>
            <color theme="1"/>
            <rFont val="Calibri"/>
            <family val="2"/>
            <scheme val="minor"/>
          </rPr>
          <t>Introduzca un número con dos decimales como máximo</t>
        </r>
      </text>
    </comment>
    <comment ref="F1229" authorId="1" shapeId="0" xr:uid="{00000000-0006-0000-0100-0000CE030000}">
      <text>
        <r>
          <rPr>
            <sz val="11"/>
            <color theme="1"/>
            <rFont val="Calibri"/>
            <family val="2"/>
            <scheme val="minor"/>
          </rPr>
          <t>Monto calculado automáticamente por el sistema</t>
        </r>
      </text>
    </comment>
    <comment ref="A1273" authorId="1" shapeId="0" xr:uid="{00000000-0006-0000-0100-0000CF030000}">
      <text>
        <r>
          <rPr>
            <sz val="11"/>
            <color theme="1"/>
            <rFont val="Calibri"/>
            <family val="2"/>
            <scheme val="minor"/>
          </rPr>
          <t>Introducir un texto con el nombre o referencia de la contratación</t>
        </r>
      </text>
    </comment>
    <comment ref="B1273" authorId="1" shapeId="0" xr:uid="{00000000-0006-0000-0100-0000D0030000}">
      <text>
        <r>
          <rPr>
            <sz val="11"/>
            <color theme="1"/>
            <rFont val="Calibri"/>
            <family val="2"/>
            <scheme val="minor"/>
          </rPr>
          <t>Introduzca un texto con la finalidad de la contratación</t>
        </r>
      </text>
    </comment>
    <comment ref="C1273" authorId="1" shapeId="0" xr:uid="{00000000-0006-0000-0100-0000D1030000}">
      <text>
        <r>
          <rPr>
            <sz val="11"/>
            <color theme="1"/>
            <rFont val="Calibri"/>
            <family val="2"/>
            <scheme val="minor"/>
          </rPr>
          <t>Seleccionar un valor del listado</t>
        </r>
      </text>
    </comment>
    <comment ref="D1273" authorId="1" shapeId="0" xr:uid="{00000000-0006-0000-0100-0000D2030000}">
      <text>
        <r>
          <rPr>
            <sz val="11"/>
            <color theme="1"/>
            <rFont val="Calibri"/>
            <family val="2"/>
            <scheme val="minor"/>
          </rPr>
          <t>Seleccione el tipo de procedimiento</t>
        </r>
      </text>
    </comment>
    <comment ref="E1273" authorId="1" shapeId="0" xr:uid="{00000000-0006-0000-0100-0000D3030000}">
      <text>
        <r>
          <rPr>
            <sz val="11"/>
            <color theme="1"/>
            <rFont val="Calibri"/>
            <family val="2"/>
            <scheme val="minor"/>
          </rPr>
          <t>Seleccione un valor de la lista</t>
        </r>
      </text>
    </comment>
    <comment ref="F1273" authorId="1" shapeId="0" xr:uid="{00000000-0006-0000-0100-0000D4030000}">
      <text>
        <r>
          <rPr>
            <sz val="11"/>
            <color theme="1"/>
            <rFont val="Calibri"/>
            <family val="2"/>
            <scheme val="minor"/>
          </rPr>
          <t>Introduzca el código SNIP</t>
        </r>
      </text>
    </comment>
    <comment ref="C1274" authorId="1" shapeId="0" xr:uid="{00000000-0006-0000-0100-0000D5030000}">
      <text>
        <r>
          <rPr>
            <sz val="11"/>
            <color theme="1"/>
            <rFont val="Calibri"/>
            <family val="2"/>
            <scheme val="minor"/>
          </rPr>
          <t>Introduzca la fecha de inicio del proceso, en formato dd-mm-aaaa</t>
        </r>
      </text>
    </comment>
    <comment ref="F1274"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5" authorId="1" shapeId="0" xr:uid="{00000000-0006-0000-0100-0000D8030000}">
      <text/>
    </comment>
    <comment ref="C1276" authorId="1" shapeId="0" xr:uid="{00000000-0006-0000-0100-0000D6030000}">
      <text>
        <r>
          <rPr>
            <sz val="11"/>
            <color theme="1"/>
            <rFont val="Calibri"/>
            <family val="2"/>
            <scheme val="minor"/>
          </rPr>
          <t>Introduzca la fecha prevista de adjudicación, en formato dd-mm-aaaa</t>
        </r>
      </text>
    </comment>
    <comment ref="F1276" authorId="1" shapeId="0" xr:uid="{00000000-0006-0000-0100-0000D9030000}">
      <text/>
    </comment>
    <comment ref="F1277" authorId="1" shapeId="0" xr:uid="{00000000-0006-0000-0100-0000DA030000}">
      <text/>
    </comment>
    <comment ref="A1279" authorId="1" shapeId="0" xr:uid="{00000000-0006-0000-0100-0000DB030000}">
      <text>
        <r>
          <rPr>
            <sz val="11"/>
            <color theme="1"/>
            <rFont val="Calibri"/>
            <family val="2"/>
            <scheme val="minor"/>
          </rPr>
          <t>Introduzca un codigo UNSPSC</t>
        </r>
      </text>
    </comment>
    <comment ref="B1279" authorId="1" shapeId="0" xr:uid="{00000000-0006-0000-0100-0000DC030000}">
      <text>
        <r>
          <rPr>
            <sz val="11"/>
            <color theme="1"/>
            <rFont val="Calibri"/>
            <family val="2"/>
            <scheme val="minor"/>
          </rPr>
          <t>Descripción calculada automáticamente a partir de código del artículo</t>
        </r>
      </text>
    </comment>
    <comment ref="C1279" authorId="1" shapeId="0" xr:uid="{00000000-0006-0000-0100-0000DD030000}">
      <text>
        <r>
          <rPr>
            <sz val="11"/>
            <color theme="1"/>
            <rFont val="Calibri"/>
            <family val="2"/>
            <scheme val="minor"/>
          </rPr>
          <t>Seleccione un valor de la lista</t>
        </r>
      </text>
    </comment>
    <comment ref="D1279" authorId="1" shapeId="0" xr:uid="{00000000-0006-0000-0100-0000DE030000}">
      <text>
        <r>
          <rPr>
            <sz val="11"/>
            <color theme="1"/>
            <rFont val="Calibri"/>
            <family val="2"/>
            <scheme val="minor"/>
          </rPr>
          <t>Introduzca un número con dos decimales como máximo. Debe ser igual o mayor a la "Cantidad Real Consumida"</t>
        </r>
      </text>
    </comment>
    <comment ref="E1279" authorId="1" shapeId="0" xr:uid="{00000000-0006-0000-0100-0000DF030000}">
      <text>
        <r>
          <rPr>
            <sz val="11"/>
            <color theme="1"/>
            <rFont val="Calibri"/>
            <family val="2"/>
            <scheme val="minor"/>
          </rPr>
          <t>Introduzca un número con dos decimales como máximo</t>
        </r>
      </text>
    </comment>
    <comment ref="F1279" authorId="1" shapeId="0" xr:uid="{00000000-0006-0000-0100-0000E0030000}">
      <text>
        <r>
          <rPr>
            <sz val="11"/>
            <color theme="1"/>
            <rFont val="Calibri"/>
            <family val="2"/>
            <scheme val="minor"/>
          </rPr>
          <t>Monto calculado automáticamente por el sistema</t>
        </r>
      </text>
    </comment>
    <comment ref="A1293" authorId="1" shapeId="0" xr:uid="{00000000-0006-0000-0100-0000E1030000}">
      <text>
        <r>
          <rPr>
            <sz val="11"/>
            <color theme="1"/>
            <rFont val="Calibri"/>
            <family val="2"/>
            <scheme val="minor"/>
          </rPr>
          <t>Introducir un texto con el nombre o referencia de la contratación</t>
        </r>
      </text>
    </comment>
    <comment ref="B1293" authorId="1" shapeId="0" xr:uid="{00000000-0006-0000-0100-0000E2030000}">
      <text>
        <r>
          <rPr>
            <sz val="11"/>
            <color theme="1"/>
            <rFont val="Calibri"/>
            <family val="2"/>
            <scheme val="minor"/>
          </rPr>
          <t>Introduzca un texto con la finalidad de la contratación</t>
        </r>
      </text>
    </comment>
    <comment ref="C1293" authorId="1" shapeId="0" xr:uid="{00000000-0006-0000-0100-0000E3030000}">
      <text>
        <r>
          <rPr>
            <sz val="11"/>
            <color theme="1"/>
            <rFont val="Calibri"/>
            <family val="2"/>
            <scheme val="minor"/>
          </rPr>
          <t>Seleccionar un valor del listado</t>
        </r>
      </text>
    </comment>
    <comment ref="D1293" authorId="1" shapeId="0" xr:uid="{00000000-0006-0000-0100-0000E4030000}">
      <text>
        <r>
          <rPr>
            <sz val="11"/>
            <color theme="1"/>
            <rFont val="Calibri"/>
            <family val="2"/>
            <scheme val="minor"/>
          </rPr>
          <t>Seleccione el tipo de procedimiento</t>
        </r>
      </text>
    </comment>
    <comment ref="E1293" authorId="1" shapeId="0" xr:uid="{00000000-0006-0000-0100-0000E5030000}">
      <text>
        <r>
          <rPr>
            <sz val="11"/>
            <color theme="1"/>
            <rFont val="Calibri"/>
            <family val="2"/>
            <scheme val="minor"/>
          </rPr>
          <t>Seleccione un valor de la lista</t>
        </r>
      </text>
    </comment>
    <comment ref="F1293" authorId="1" shapeId="0" xr:uid="{00000000-0006-0000-0100-0000E6030000}">
      <text>
        <r>
          <rPr>
            <sz val="11"/>
            <color theme="1"/>
            <rFont val="Calibri"/>
            <family val="2"/>
            <scheme val="minor"/>
          </rPr>
          <t>Introduzca el código SNIP</t>
        </r>
      </text>
    </comment>
    <comment ref="C1294" authorId="1" shapeId="0" xr:uid="{00000000-0006-0000-0100-0000E7030000}">
      <text>
        <r>
          <rPr>
            <sz val="11"/>
            <color theme="1"/>
            <rFont val="Calibri"/>
            <family val="2"/>
            <scheme val="minor"/>
          </rPr>
          <t>Introduzca la fecha de inicio del proceso, en formato dd-mm-aaaa</t>
        </r>
      </text>
    </comment>
    <comment ref="F1294"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5" authorId="1" shapeId="0" xr:uid="{00000000-0006-0000-0100-0000EA030000}">
      <text/>
    </comment>
    <comment ref="C1296" authorId="1" shapeId="0" xr:uid="{00000000-0006-0000-0100-0000E8030000}">
      <text>
        <r>
          <rPr>
            <sz val="11"/>
            <color theme="1"/>
            <rFont val="Calibri"/>
            <family val="2"/>
            <scheme val="minor"/>
          </rPr>
          <t>Introduzca la fecha prevista de adjudicación, en formato dd-mm-aaaa</t>
        </r>
      </text>
    </comment>
    <comment ref="F1296" authorId="1" shapeId="0" xr:uid="{00000000-0006-0000-0100-0000EB030000}">
      <text/>
    </comment>
    <comment ref="F1297" authorId="1" shapeId="0" xr:uid="{00000000-0006-0000-0100-0000EC030000}">
      <text/>
    </comment>
    <comment ref="A1299" authorId="1" shapeId="0" xr:uid="{00000000-0006-0000-0100-0000ED030000}">
      <text>
        <r>
          <rPr>
            <sz val="11"/>
            <color theme="1"/>
            <rFont val="Calibri"/>
            <family val="2"/>
            <scheme val="minor"/>
          </rPr>
          <t>Introduzca un codigo UNSPSC</t>
        </r>
      </text>
    </comment>
    <comment ref="B1299" authorId="1" shapeId="0" xr:uid="{00000000-0006-0000-0100-0000EE030000}">
      <text>
        <r>
          <rPr>
            <sz val="11"/>
            <color theme="1"/>
            <rFont val="Calibri"/>
            <family val="2"/>
            <scheme val="minor"/>
          </rPr>
          <t>Descripción calculada automáticamente a partir de código del artículo</t>
        </r>
      </text>
    </comment>
    <comment ref="C1299" authorId="1" shapeId="0" xr:uid="{00000000-0006-0000-0100-0000EF030000}">
      <text>
        <r>
          <rPr>
            <sz val="11"/>
            <color theme="1"/>
            <rFont val="Calibri"/>
            <family val="2"/>
            <scheme val="minor"/>
          </rPr>
          <t>Seleccione un valor de la lista</t>
        </r>
      </text>
    </comment>
    <comment ref="D1299" authorId="1" shapeId="0" xr:uid="{00000000-0006-0000-0100-0000F0030000}">
      <text>
        <r>
          <rPr>
            <sz val="11"/>
            <color theme="1"/>
            <rFont val="Calibri"/>
            <family val="2"/>
            <scheme val="minor"/>
          </rPr>
          <t>Introduzca un número con dos decimales como máximo. Debe ser igual o mayor a la "Cantidad Real Consumida"</t>
        </r>
      </text>
    </comment>
    <comment ref="E1299" authorId="1" shapeId="0" xr:uid="{00000000-0006-0000-0100-0000F1030000}">
      <text>
        <r>
          <rPr>
            <sz val="11"/>
            <color theme="1"/>
            <rFont val="Calibri"/>
            <family val="2"/>
            <scheme val="minor"/>
          </rPr>
          <t>Introduzca un número con dos decimales como máximo</t>
        </r>
      </text>
    </comment>
    <comment ref="F1299" authorId="1" shapeId="0" xr:uid="{00000000-0006-0000-0100-0000F2030000}">
      <text>
        <r>
          <rPr>
            <sz val="11"/>
            <color theme="1"/>
            <rFont val="Calibri"/>
            <family val="2"/>
            <scheme val="minor"/>
          </rPr>
          <t>Monto calculado automáticamente por el sistema</t>
        </r>
      </text>
    </comment>
    <comment ref="A1318" authorId="1" shapeId="0" xr:uid="{00000000-0006-0000-0100-0000F3030000}">
      <text>
        <r>
          <rPr>
            <sz val="11"/>
            <color theme="1"/>
            <rFont val="Calibri"/>
            <family val="2"/>
            <scheme val="minor"/>
          </rPr>
          <t>Introducir un texto con el nombre o referencia de la contratación</t>
        </r>
      </text>
    </comment>
    <comment ref="B1318" authorId="1" shapeId="0" xr:uid="{00000000-0006-0000-0100-0000F4030000}">
      <text>
        <r>
          <rPr>
            <sz val="11"/>
            <color theme="1"/>
            <rFont val="Calibri"/>
            <family val="2"/>
            <scheme val="minor"/>
          </rPr>
          <t>Introduzca un texto con la finalidad de la contratación</t>
        </r>
      </text>
    </comment>
    <comment ref="C1318" authorId="1" shapeId="0" xr:uid="{00000000-0006-0000-0100-0000F5030000}">
      <text>
        <r>
          <rPr>
            <sz val="11"/>
            <color theme="1"/>
            <rFont val="Calibri"/>
            <family val="2"/>
            <scheme val="minor"/>
          </rPr>
          <t>Seleccionar un valor del listado</t>
        </r>
      </text>
    </comment>
    <comment ref="D1318" authorId="1" shapeId="0" xr:uid="{00000000-0006-0000-0100-0000F6030000}">
      <text>
        <r>
          <rPr>
            <sz val="11"/>
            <color theme="1"/>
            <rFont val="Calibri"/>
            <family val="2"/>
            <scheme val="minor"/>
          </rPr>
          <t>Seleccione el tipo de procedimiento</t>
        </r>
      </text>
    </comment>
    <comment ref="E1318" authorId="1" shapeId="0" xr:uid="{00000000-0006-0000-0100-0000F7030000}">
      <text>
        <r>
          <rPr>
            <sz val="11"/>
            <color theme="1"/>
            <rFont val="Calibri"/>
            <family val="2"/>
            <scheme val="minor"/>
          </rPr>
          <t>Seleccione un valor de la lista</t>
        </r>
      </text>
    </comment>
    <comment ref="F1318" authorId="1" shapeId="0" xr:uid="{00000000-0006-0000-0100-0000F8030000}">
      <text>
        <r>
          <rPr>
            <sz val="11"/>
            <color theme="1"/>
            <rFont val="Calibri"/>
            <family val="2"/>
            <scheme val="minor"/>
          </rPr>
          <t>Introduzca el código SNIP</t>
        </r>
      </text>
    </comment>
    <comment ref="C1319" authorId="1" shapeId="0" xr:uid="{00000000-0006-0000-0100-0000F9030000}">
      <text>
        <r>
          <rPr>
            <sz val="11"/>
            <color theme="1"/>
            <rFont val="Calibri"/>
            <family val="2"/>
            <scheme val="minor"/>
          </rPr>
          <t>Introduzca la fecha de inicio del proceso, en formato dd-mm-aaaa</t>
        </r>
      </text>
    </comment>
    <comment ref="F1319"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0" authorId="1" shapeId="0" xr:uid="{00000000-0006-0000-0100-0000FC030000}">
      <text/>
    </comment>
    <comment ref="C1321" authorId="1" shapeId="0" xr:uid="{00000000-0006-0000-0100-0000FA030000}">
      <text>
        <r>
          <rPr>
            <sz val="11"/>
            <color theme="1"/>
            <rFont val="Calibri"/>
            <family val="2"/>
            <scheme val="minor"/>
          </rPr>
          <t>Introduzca la fecha prevista de adjudicación, en formato dd-mm-aaaa</t>
        </r>
      </text>
    </comment>
    <comment ref="F1321" authorId="1" shapeId="0" xr:uid="{00000000-0006-0000-0100-0000FD030000}">
      <text/>
    </comment>
    <comment ref="F1322" authorId="1" shapeId="0" xr:uid="{00000000-0006-0000-0100-0000FE030000}">
      <text/>
    </comment>
    <comment ref="A1324" authorId="1" shapeId="0" xr:uid="{00000000-0006-0000-0100-0000FF030000}">
      <text>
        <r>
          <rPr>
            <sz val="11"/>
            <color theme="1"/>
            <rFont val="Calibri"/>
            <family val="2"/>
            <scheme val="minor"/>
          </rPr>
          <t>Introduzca un codigo UNSPSC</t>
        </r>
      </text>
    </comment>
    <comment ref="B1324" authorId="1" shapeId="0" xr:uid="{00000000-0006-0000-0100-000000040000}">
      <text>
        <r>
          <rPr>
            <sz val="11"/>
            <color theme="1"/>
            <rFont val="Calibri"/>
            <family val="2"/>
            <scheme val="minor"/>
          </rPr>
          <t>Descripción calculada automáticamente a partir de código del artículo</t>
        </r>
      </text>
    </comment>
    <comment ref="C1324" authorId="1" shapeId="0" xr:uid="{00000000-0006-0000-0100-000001040000}">
      <text>
        <r>
          <rPr>
            <sz val="11"/>
            <color theme="1"/>
            <rFont val="Calibri"/>
            <family val="2"/>
            <scheme val="minor"/>
          </rPr>
          <t>Seleccione un valor de la lista</t>
        </r>
      </text>
    </comment>
    <comment ref="D1324" authorId="1" shapeId="0" xr:uid="{00000000-0006-0000-0100-000002040000}">
      <text>
        <r>
          <rPr>
            <sz val="11"/>
            <color theme="1"/>
            <rFont val="Calibri"/>
            <family val="2"/>
            <scheme val="minor"/>
          </rPr>
          <t>Introduzca un número con dos decimales como máximo. Debe ser igual o mayor a la "Cantidad Real Consumida"</t>
        </r>
      </text>
    </comment>
    <comment ref="E1324" authorId="1" shapeId="0" xr:uid="{00000000-0006-0000-0100-000003040000}">
      <text>
        <r>
          <rPr>
            <sz val="11"/>
            <color theme="1"/>
            <rFont val="Calibri"/>
            <family val="2"/>
            <scheme val="minor"/>
          </rPr>
          <t>Introduzca un número con dos decimales como máximo</t>
        </r>
      </text>
    </comment>
    <comment ref="F1324" authorId="1" shapeId="0" xr:uid="{00000000-0006-0000-0100-000004040000}">
      <text>
        <r>
          <rPr>
            <sz val="11"/>
            <color theme="1"/>
            <rFont val="Calibri"/>
            <family val="2"/>
            <scheme val="minor"/>
          </rPr>
          <t>Monto calculado automáticamente por el sistema</t>
        </r>
      </text>
    </comment>
    <comment ref="A1334" authorId="1" shapeId="0" xr:uid="{00000000-0006-0000-0100-000005040000}">
      <text>
        <r>
          <rPr>
            <sz val="11"/>
            <color theme="1"/>
            <rFont val="Calibri"/>
            <family val="2"/>
            <scheme val="minor"/>
          </rPr>
          <t>Introducir un texto con el nombre o referencia de la contratación</t>
        </r>
      </text>
    </comment>
    <comment ref="B1334" authorId="1" shapeId="0" xr:uid="{00000000-0006-0000-0100-000006040000}">
      <text>
        <r>
          <rPr>
            <sz val="11"/>
            <color theme="1"/>
            <rFont val="Calibri"/>
            <family val="2"/>
            <scheme val="minor"/>
          </rPr>
          <t>Introduzca un texto con la finalidad de la contratación</t>
        </r>
      </text>
    </comment>
    <comment ref="C1334" authorId="1" shapeId="0" xr:uid="{00000000-0006-0000-0100-000007040000}">
      <text>
        <r>
          <rPr>
            <sz val="11"/>
            <color theme="1"/>
            <rFont val="Calibri"/>
            <family val="2"/>
            <scheme val="minor"/>
          </rPr>
          <t>Seleccionar un valor del listado</t>
        </r>
      </text>
    </comment>
    <comment ref="D1334" authorId="1" shapeId="0" xr:uid="{00000000-0006-0000-0100-000008040000}">
      <text>
        <r>
          <rPr>
            <sz val="11"/>
            <color theme="1"/>
            <rFont val="Calibri"/>
            <family val="2"/>
            <scheme val="minor"/>
          </rPr>
          <t>Seleccione el tipo de procedimiento</t>
        </r>
      </text>
    </comment>
    <comment ref="E1334" authorId="1" shapeId="0" xr:uid="{00000000-0006-0000-0100-000009040000}">
      <text>
        <r>
          <rPr>
            <sz val="11"/>
            <color theme="1"/>
            <rFont val="Calibri"/>
            <family val="2"/>
            <scheme val="minor"/>
          </rPr>
          <t>Seleccione un valor de la lista</t>
        </r>
      </text>
    </comment>
    <comment ref="F1334" authorId="1" shapeId="0" xr:uid="{00000000-0006-0000-0100-00000A040000}">
      <text>
        <r>
          <rPr>
            <sz val="11"/>
            <color theme="1"/>
            <rFont val="Calibri"/>
            <family val="2"/>
            <scheme val="minor"/>
          </rPr>
          <t>Introduzca el código SNIP</t>
        </r>
      </text>
    </comment>
    <comment ref="C1335" authorId="1" shapeId="0" xr:uid="{00000000-0006-0000-0100-00000B040000}">
      <text>
        <r>
          <rPr>
            <sz val="11"/>
            <color theme="1"/>
            <rFont val="Calibri"/>
            <family val="2"/>
            <scheme val="minor"/>
          </rPr>
          <t>Introduzca la fecha de inicio del proceso, en formato dd-mm-aaaa</t>
        </r>
      </text>
    </comment>
    <comment ref="F1335"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6" authorId="1" shapeId="0" xr:uid="{00000000-0006-0000-0100-00000E040000}">
      <text/>
    </comment>
    <comment ref="C1337" authorId="1" shapeId="0" xr:uid="{00000000-0006-0000-0100-00000C040000}">
      <text>
        <r>
          <rPr>
            <sz val="11"/>
            <color theme="1"/>
            <rFont val="Calibri"/>
            <family val="2"/>
            <scheme val="minor"/>
          </rPr>
          <t>Introduzca la fecha prevista de adjudicación, en formato dd-mm-aaaa</t>
        </r>
      </text>
    </comment>
    <comment ref="F1337" authorId="1" shapeId="0" xr:uid="{00000000-0006-0000-0100-00000F040000}">
      <text/>
    </comment>
    <comment ref="F1338" authorId="1" shapeId="0" xr:uid="{00000000-0006-0000-0100-000010040000}">
      <text/>
    </comment>
    <comment ref="A1340" authorId="1" shapeId="0" xr:uid="{00000000-0006-0000-0100-000011040000}">
      <text>
        <r>
          <rPr>
            <sz val="11"/>
            <color theme="1"/>
            <rFont val="Calibri"/>
            <family val="2"/>
            <scheme val="minor"/>
          </rPr>
          <t>Introduzca un codigo UNSPSC</t>
        </r>
      </text>
    </comment>
    <comment ref="B1340" authorId="1" shapeId="0" xr:uid="{00000000-0006-0000-0100-000012040000}">
      <text>
        <r>
          <rPr>
            <sz val="11"/>
            <color theme="1"/>
            <rFont val="Calibri"/>
            <family val="2"/>
            <scheme val="minor"/>
          </rPr>
          <t>Descripción calculada automáticamente a partir de código del artículo</t>
        </r>
      </text>
    </comment>
    <comment ref="C1340" authorId="1" shapeId="0" xr:uid="{00000000-0006-0000-0100-000013040000}">
      <text>
        <r>
          <rPr>
            <sz val="11"/>
            <color theme="1"/>
            <rFont val="Calibri"/>
            <family val="2"/>
            <scheme val="minor"/>
          </rPr>
          <t>Seleccione un valor de la lista</t>
        </r>
      </text>
    </comment>
    <comment ref="D1340" authorId="1" shapeId="0" xr:uid="{00000000-0006-0000-0100-000014040000}">
      <text>
        <r>
          <rPr>
            <sz val="11"/>
            <color theme="1"/>
            <rFont val="Calibri"/>
            <family val="2"/>
            <scheme val="minor"/>
          </rPr>
          <t>Introduzca un número con dos decimales como máximo. Debe ser igual o mayor a la "Cantidad Real Consumida"</t>
        </r>
      </text>
    </comment>
    <comment ref="E1340" authorId="1" shapeId="0" xr:uid="{00000000-0006-0000-0100-000015040000}">
      <text>
        <r>
          <rPr>
            <sz val="11"/>
            <color theme="1"/>
            <rFont val="Calibri"/>
            <family val="2"/>
            <scheme val="minor"/>
          </rPr>
          <t>Introduzca un número con dos decimales como máximo</t>
        </r>
      </text>
    </comment>
    <comment ref="F1340" authorId="1" shapeId="0" xr:uid="{00000000-0006-0000-0100-000016040000}">
      <text>
        <r>
          <rPr>
            <sz val="11"/>
            <color theme="1"/>
            <rFont val="Calibri"/>
            <family val="2"/>
            <scheme val="minor"/>
          </rPr>
          <t>Monto calculado automáticamente por el sistema</t>
        </r>
      </text>
    </comment>
    <comment ref="A1345" authorId="1" shapeId="0" xr:uid="{00000000-0006-0000-0100-000017040000}">
      <text>
        <r>
          <rPr>
            <sz val="11"/>
            <color theme="1"/>
            <rFont val="Calibri"/>
            <family val="2"/>
            <scheme val="minor"/>
          </rPr>
          <t>Introducir un texto con el nombre o referencia de la contratación</t>
        </r>
      </text>
    </comment>
    <comment ref="B1345" authorId="1" shapeId="0" xr:uid="{00000000-0006-0000-0100-000018040000}">
      <text>
        <r>
          <rPr>
            <sz val="11"/>
            <color theme="1"/>
            <rFont val="Calibri"/>
            <family val="2"/>
            <scheme val="minor"/>
          </rPr>
          <t>Introduzca un texto con la finalidad de la contratación</t>
        </r>
      </text>
    </comment>
    <comment ref="C1345" authorId="1" shapeId="0" xr:uid="{00000000-0006-0000-0100-000019040000}">
      <text>
        <r>
          <rPr>
            <sz val="11"/>
            <color theme="1"/>
            <rFont val="Calibri"/>
            <family val="2"/>
            <scheme val="minor"/>
          </rPr>
          <t>Seleccionar un valor del listado</t>
        </r>
      </text>
    </comment>
    <comment ref="D1345" authorId="1" shapeId="0" xr:uid="{00000000-0006-0000-0100-00001A040000}">
      <text>
        <r>
          <rPr>
            <sz val="11"/>
            <color theme="1"/>
            <rFont val="Calibri"/>
            <family val="2"/>
            <scheme val="minor"/>
          </rPr>
          <t>Seleccione el tipo de procedimiento</t>
        </r>
      </text>
    </comment>
    <comment ref="E1345" authorId="1" shapeId="0" xr:uid="{00000000-0006-0000-0100-00001B040000}">
      <text>
        <r>
          <rPr>
            <sz val="11"/>
            <color theme="1"/>
            <rFont val="Calibri"/>
            <family val="2"/>
            <scheme val="minor"/>
          </rPr>
          <t>Seleccione un valor de la lista</t>
        </r>
      </text>
    </comment>
    <comment ref="F1345" authorId="1" shapeId="0" xr:uid="{00000000-0006-0000-0100-00001C040000}">
      <text>
        <r>
          <rPr>
            <sz val="11"/>
            <color theme="1"/>
            <rFont val="Calibri"/>
            <family val="2"/>
            <scheme val="minor"/>
          </rPr>
          <t>Introduzca el código SNIP</t>
        </r>
      </text>
    </comment>
    <comment ref="C1346" authorId="1" shapeId="0" xr:uid="{00000000-0006-0000-0100-00001D040000}">
      <text>
        <r>
          <rPr>
            <sz val="11"/>
            <color theme="1"/>
            <rFont val="Calibri"/>
            <family val="2"/>
            <scheme val="minor"/>
          </rPr>
          <t>Introduzca la fecha de inicio del proceso, en formato dd-mm-aaaa</t>
        </r>
      </text>
    </comment>
    <comment ref="F1346"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7" authorId="1" shapeId="0" xr:uid="{00000000-0006-0000-0100-000020040000}">
      <text/>
    </comment>
    <comment ref="C1348" authorId="1" shapeId="0" xr:uid="{00000000-0006-0000-0100-00001E040000}">
      <text>
        <r>
          <rPr>
            <sz val="11"/>
            <color theme="1"/>
            <rFont val="Calibri"/>
            <family val="2"/>
            <scheme val="minor"/>
          </rPr>
          <t>Introduzca la fecha prevista de adjudicación, en formato dd-mm-aaaa</t>
        </r>
      </text>
    </comment>
    <comment ref="F1348" authorId="1" shapeId="0" xr:uid="{00000000-0006-0000-0100-000021040000}">
      <text/>
    </comment>
    <comment ref="F1349" authorId="1" shapeId="0" xr:uid="{00000000-0006-0000-0100-000022040000}">
      <text/>
    </comment>
    <comment ref="A1351" authorId="1" shapeId="0" xr:uid="{00000000-0006-0000-0100-000023040000}">
      <text>
        <r>
          <rPr>
            <sz val="11"/>
            <color theme="1"/>
            <rFont val="Calibri"/>
            <family val="2"/>
            <scheme val="minor"/>
          </rPr>
          <t>Introduzca un codigo UNSPSC</t>
        </r>
      </text>
    </comment>
    <comment ref="B1351" authorId="1" shapeId="0" xr:uid="{00000000-0006-0000-0100-000024040000}">
      <text>
        <r>
          <rPr>
            <sz val="11"/>
            <color theme="1"/>
            <rFont val="Calibri"/>
            <family val="2"/>
            <scheme val="minor"/>
          </rPr>
          <t>Descripción calculada automáticamente a partir de código del artículo</t>
        </r>
      </text>
    </comment>
    <comment ref="C1351" authorId="1" shapeId="0" xr:uid="{00000000-0006-0000-0100-000025040000}">
      <text>
        <r>
          <rPr>
            <sz val="11"/>
            <color theme="1"/>
            <rFont val="Calibri"/>
            <family val="2"/>
            <scheme val="minor"/>
          </rPr>
          <t>Seleccione un valor de la lista</t>
        </r>
      </text>
    </comment>
    <comment ref="D1351" authorId="1" shapeId="0" xr:uid="{00000000-0006-0000-0100-000026040000}">
      <text>
        <r>
          <rPr>
            <sz val="11"/>
            <color theme="1"/>
            <rFont val="Calibri"/>
            <family val="2"/>
            <scheme val="minor"/>
          </rPr>
          <t>Introduzca un número con dos decimales como máximo. Debe ser igual o mayor a la "Cantidad Real Consumida"</t>
        </r>
      </text>
    </comment>
    <comment ref="E1351" authorId="1" shapeId="0" xr:uid="{00000000-0006-0000-0100-000027040000}">
      <text>
        <r>
          <rPr>
            <sz val="11"/>
            <color theme="1"/>
            <rFont val="Calibri"/>
            <family val="2"/>
            <scheme val="minor"/>
          </rPr>
          <t>Introduzca un número con dos decimales como máximo</t>
        </r>
      </text>
    </comment>
    <comment ref="F1351" authorId="1" shapeId="0" xr:uid="{00000000-0006-0000-0100-000028040000}">
      <text>
        <r>
          <rPr>
            <sz val="11"/>
            <color theme="1"/>
            <rFont val="Calibri"/>
            <family val="2"/>
            <scheme val="minor"/>
          </rPr>
          <t>Monto calculado automáticamente por el sistema</t>
        </r>
      </text>
    </comment>
    <comment ref="A1358" authorId="1" shapeId="0" xr:uid="{00000000-0006-0000-0100-000029040000}">
      <text>
        <r>
          <rPr>
            <sz val="11"/>
            <color theme="1"/>
            <rFont val="Calibri"/>
            <family val="2"/>
            <scheme val="minor"/>
          </rPr>
          <t>Introducir un texto con el nombre o referencia de la contratación</t>
        </r>
      </text>
    </comment>
    <comment ref="B1358" authorId="1" shapeId="0" xr:uid="{00000000-0006-0000-0100-00002A040000}">
      <text>
        <r>
          <rPr>
            <sz val="11"/>
            <color theme="1"/>
            <rFont val="Calibri"/>
            <family val="2"/>
            <scheme val="minor"/>
          </rPr>
          <t>Introduzca un texto con la finalidad de la contratación</t>
        </r>
      </text>
    </comment>
    <comment ref="C1358" authorId="1" shapeId="0" xr:uid="{00000000-0006-0000-0100-00002B040000}">
      <text>
        <r>
          <rPr>
            <sz val="11"/>
            <color theme="1"/>
            <rFont val="Calibri"/>
            <family val="2"/>
            <scheme val="minor"/>
          </rPr>
          <t>Seleccionar un valor del listado</t>
        </r>
      </text>
    </comment>
    <comment ref="D1358" authorId="1" shapeId="0" xr:uid="{00000000-0006-0000-0100-00002C040000}">
      <text>
        <r>
          <rPr>
            <sz val="11"/>
            <color theme="1"/>
            <rFont val="Calibri"/>
            <family val="2"/>
            <scheme val="minor"/>
          </rPr>
          <t>Seleccione el tipo de procedimiento</t>
        </r>
      </text>
    </comment>
    <comment ref="E1358" authorId="1" shapeId="0" xr:uid="{00000000-0006-0000-0100-00002D040000}">
      <text>
        <r>
          <rPr>
            <sz val="11"/>
            <color theme="1"/>
            <rFont val="Calibri"/>
            <family val="2"/>
            <scheme val="minor"/>
          </rPr>
          <t>Seleccione un valor de la lista</t>
        </r>
      </text>
    </comment>
    <comment ref="F1358" authorId="1" shapeId="0" xr:uid="{00000000-0006-0000-0100-00002E040000}">
      <text>
        <r>
          <rPr>
            <sz val="11"/>
            <color theme="1"/>
            <rFont val="Calibri"/>
            <family val="2"/>
            <scheme val="minor"/>
          </rPr>
          <t>Introduzca el código SNIP</t>
        </r>
      </text>
    </comment>
    <comment ref="C1359" authorId="1" shapeId="0" xr:uid="{00000000-0006-0000-0100-00002F040000}">
      <text>
        <r>
          <rPr>
            <sz val="11"/>
            <color theme="1"/>
            <rFont val="Calibri"/>
            <family val="2"/>
            <scheme val="minor"/>
          </rPr>
          <t>Introduzca la fecha de inicio del proceso, en formato dd-mm-aaaa</t>
        </r>
      </text>
    </comment>
    <comment ref="F1359"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0" authorId="1" shapeId="0" xr:uid="{00000000-0006-0000-0100-000032040000}">
      <text/>
    </comment>
    <comment ref="C1361" authorId="1" shapeId="0" xr:uid="{00000000-0006-0000-0100-000030040000}">
      <text>
        <r>
          <rPr>
            <sz val="11"/>
            <color theme="1"/>
            <rFont val="Calibri"/>
            <family val="2"/>
            <scheme val="minor"/>
          </rPr>
          <t>Introduzca la fecha prevista de adjudicación, en formato dd-mm-aaaa</t>
        </r>
      </text>
    </comment>
    <comment ref="F1361" authorId="1" shapeId="0" xr:uid="{00000000-0006-0000-0100-000033040000}">
      <text/>
    </comment>
    <comment ref="F1362" authorId="1" shapeId="0" xr:uid="{00000000-0006-0000-0100-000034040000}">
      <text/>
    </comment>
    <comment ref="A1364" authorId="1" shapeId="0" xr:uid="{00000000-0006-0000-0100-000035040000}">
      <text>
        <r>
          <rPr>
            <sz val="11"/>
            <color theme="1"/>
            <rFont val="Calibri"/>
            <family val="2"/>
            <scheme val="minor"/>
          </rPr>
          <t>Introduzca un codigo UNSPSC</t>
        </r>
      </text>
    </comment>
    <comment ref="B1364" authorId="1" shapeId="0" xr:uid="{00000000-0006-0000-0100-000036040000}">
      <text>
        <r>
          <rPr>
            <sz val="11"/>
            <color theme="1"/>
            <rFont val="Calibri"/>
            <family val="2"/>
            <scheme val="minor"/>
          </rPr>
          <t>Descripción calculada automáticamente a partir de código del artículo</t>
        </r>
      </text>
    </comment>
    <comment ref="C1364" authorId="1" shapeId="0" xr:uid="{00000000-0006-0000-0100-000037040000}">
      <text>
        <r>
          <rPr>
            <sz val="11"/>
            <color theme="1"/>
            <rFont val="Calibri"/>
            <family val="2"/>
            <scheme val="minor"/>
          </rPr>
          <t>Seleccione un valor de la lista</t>
        </r>
      </text>
    </comment>
    <comment ref="D1364" authorId="1" shapeId="0" xr:uid="{00000000-0006-0000-0100-000038040000}">
      <text>
        <r>
          <rPr>
            <sz val="11"/>
            <color theme="1"/>
            <rFont val="Calibri"/>
            <family val="2"/>
            <scheme val="minor"/>
          </rPr>
          <t>Introduzca un número con dos decimales como máximo. Debe ser igual o mayor a la "Cantidad Real Consumida"</t>
        </r>
      </text>
    </comment>
    <comment ref="E1364" authorId="1" shapeId="0" xr:uid="{00000000-0006-0000-0100-000039040000}">
      <text>
        <r>
          <rPr>
            <sz val="11"/>
            <color theme="1"/>
            <rFont val="Calibri"/>
            <family val="2"/>
            <scheme val="minor"/>
          </rPr>
          <t>Introduzca un número con dos decimales como máximo</t>
        </r>
      </text>
    </comment>
    <comment ref="F1364" authorId="1" shapeId="0" xr:uid="{00000000-0006-0000-0100-00003A040000}">
      <text>
        <r>
          <rPr>
            <sz val="11"/>
            <color theme="1"/>
            <rFont val="Calibri"/>
            <family val="2"/>
            <scheme val="minor"/>
          </rPr>
          <t>Monto calculado automáticamente por el sistema</t>
        </r>
      </text>
    </comment>
    <comment ref="A1369" authorId="1" shapeId="0" xr:uid="{00000000-0006-0000-0100-00003B040000}">
      <text>
        <r>
          <rPr>
            <sz val="11"/>
            <color theme="1"/>
            <rFont val="Calibri"/>
            <family val="2"/>
            <scheme val="minor"/>
          </rPr>
          <t>Introducir un texto con el nombre o referencia de la contratación</t>
        </r>
      </text>
    </comment>
    <comment ref="B1369" authorId="1" shapeId="0" xr:uid="{00000000-0006-0000-0100-00003C040000}">
      <text>
        <r>
          <rPr>
            <sz val="11"/>
            <color theme="1"/>
            <rFont val="Calibri"/>
            <family val="2"/>
            <scheme val="minor"/>
          </rPr>
          <t>Introduzca un texto con la finalidad de la contratación</t>
        </r>
      </text>
    </comment>
    <comment ref="C1369" authorId="1" shapeId="0" xr:uid="{00000000-0006-0000-0100-00003D040000}">
      <text>
        <r>
          <rPr>
            <sz val="11"/>
            <color theme="1"/>
            <rFont val="Calibri"/>
            <family val="2"/>
            <scheme val="minor"/>
          </rPr>
          <t>Seleccionar un valor del listado</t>
        </r>
      </text>
    </comment>
    <comment ref="D1369" authorId="1" shapeId="0" xr:uid="{00000000-0006-0000-0100-00003E040000}">
      <text>
        <r>
          <rPr>
            <sz val="11"/>
            <color theme="1"/>
            <rFont val="Calibri"/>
            <family val="2"/>
            <scheme val="minor"/>
          </rPr>
          <t>Seleccione el tipo de procedimiento</t>
        </r>
      </text>
    </comment>
    <comment ref="E1369" authorId="1" shapeId="0" xr:uid="{00000000-0006-0000-0100-00003F040000}">
      <text>
        <r>
          <rPr>
            <sz val="11"/>
            <color theme="1"/>
            <rFont val="Calibri"/>
            <family val="2"/>
            <scheme val="minor"/>
          </rPr>
          <t>Seleccione un valor de la lista</t>
        </r>
      </text>
    </comment>
    <comment ref="F1369" authorId="1" shapeId="0" xr:uid="{00000000-0006-0000-0100-000040040000}">
      <text>
        <r>
          <rPr>
            <sz val="11"/>
            <color theme="1"/>
            <rFont val="Calibri"/>
            <family val="2"/>
            <scheme val="minor"/>
          </rPr>
          <t>Introduzca el código SNIP</t>
        </r>
      </text>
    </comment>
    <comment ref="C1370" authorId="1" shapeId="0" xr:uid="{00000000-0006-0000-0100-000041040000}">
      <text>
        <r>
          <rPr>
            <sz val="11"/>
            <color theme="1"/>
            <rFont val="Calibri"/>
            <family val="2"/>
            <scheme val="minor"/>
          </rPr>
          <t>Introduzca la fecha de inicio del proceso, en formato dd-mm-aaaa</t>
        </r>
      </text>
    </comment>
    <comment ref="F1370"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1" authorId="1" shapeId="0" xr:uid="{00000000-0006-0000-0100-000044040000}">
      <text/>
    </comment>
    <comment ref="C1372" authorId="1" shapeId="0" xr:uid="{00000000-0006-0000-0100-000042040000}">
      <text>
        <r>
          <rPr>
            <sz val="11"/>
            <color theme="1"/>
            <rFont val="Calibri"/>
            <family val="2"/>
            <scheme val="minor"/>
          </rPr>
          <t>Introduzca la fecha prevista de adjudicación, en formato dd-mm-aaaa</t>
        </r>
      </text>
    </comment>
    <comment ref="F1372" authorId="1" shapeId="0" xr:uid="{00000000-0006-0000-0100-000045040000}">
      <text/>
    </comment>
    <comment ref="F1373" authorId="1" shapeId="0" xr:uid="{00000000-0006-0000-0100-000046040000}">
      <text/>
    </comment>
    <comment ref="A1375" authorId="1" shapeId="0" xr:uid="{00000000-0006-0000-0100-000047040000}">
      <text>
        <r>
          <rPr>
            <sz val="11"/>
            <color theme="1"/>
            <rFont val="Calibri"/>
            <family val="2"/>
            <scheme val="minor"/>
          </rPr>
          <t>Introduzca un codigo UNSPSC</t>
        </r>
      </text>
    </comment>
    <comment ref="B1375" authorId="1" shapeId="0" xr:uid="{00000000-0006-0000-0100-000048040000}">
      <text>
        <r>
          <rPr>
            <sz val="11"/>
            <color theme="1"/>
            <rFont val="Calibri"/>
            <family val="2"/>
            <scheme val="minor"/>
          </rPr>
          <t>Descripción calculada automáticamente a partir de código del artículo</t>
        </r>
      </text>
    </comment>
    <comment ref="C1375" authorId="1" shapeId="0" xr:uid="{00000000-0006-0000-0100-000049040000}">
      <text>
        <r>
          <rPr>
            <sz val="11"/>
            <color theme="1"/>
            <rFont val="Calibri"/>
            <family val="2"/>
            <scheme val="minor"/>
          </rPr>
          <t>Seleccione un valor de la lista</t>
        </r>
      </text>
    </comment>
    <comment ref="D1375" authorId="1" shapeId="0" xr:uid="{00000000-0006-0000-0100-00004A040000}">
      <text>
        <r>
          <rPr>
            <sz val="11"/>
            <color theme="1"/>
            <rFont val="Calibri"/>
            <family val="2"/>
            <scheme val="minor"/>
          </rPr>
          <t>Introduzca un número con dos decimales como máximo. Debe ser igual o mayor a la "Cantidad Real Consumida"</t>
        </r>
      </text>
    </comment>
    <comment ref="E1375" authorId="1" shapeId="0" xr:uid="{00000000-0006-0000-0100-00004B040000}">
      <text>
        <r>
          <rPr>
            <sz val="11"/>
            <color theme="1"/>
            <rFont val="Calibri"/>
            <family val="2"/>
            <scheme val="minor"/>
          </rPr>
          <t>Introduzca un número con dos decimales como máximo</t>
        </r>
      </text>
    </comment>
    <comment ref="F1375" authorId="1" shapeId="0" xr:uid="{00000000-0006-0000-0100-00004C040000}">
      <text>
        <r>
          <rPr>
            <sz val="11"/>
            <color theme="1"/>
            <rFont val="Calibri"/>
            <family val="2"/>
            <scheme val="minor"/>
          </rPr>
          <t>Monto calculado automáticamente por el sistema</t>
        </r>
      </text>
    </comment>
    <comment ref="A1380" authorId="1" shapeId="0" xr:uid="{00000000-0006-0000-0100-00004D040000}">
      <text>
        <r>
          <rPr>
            <sz val="11"/>
            <color theme="1"/>
            <rFont val="Calibri"/>
            <family val="2"/>
            <scheme val="minor"/>
          </rPr>
          <t>Introducir un texto con el nombre o referencia de la contratación</t>
        </r>
      </text>
    </comment>
    <comment ref="B1380" authorId="1" shapeId="0" xr:uid="{00000000-0006-0000-0100-00004E040000}">
      <text>
        <r>
          <rPr>
            <sz val="11"/>
            <color theme="1"/>
            <rFont val="Calibri"/>
            <family val="2"/>
            <scheme val="minor"/>
          </rPr>
          <t>Introduzca un texto con la finalidad de la contratación</t>
        </r>
      </text>
    </comment>
    <comment ref="C1380" authorId="1" shapeId="0" xr:uid="{00000000-0006-0000-0100-00004F040000}">
      <text>
        <r>
          <rPr>
            <sz val="11"/>
            <color theme="1"/>
            <rFont val="Calibri"/>
            <family val="2"/>
            <scheme val="minor"/>
          </rPr>
          <t>Seleccionar un valor del listado</t>
        </r>
      </text>
    </comment>
    <comment ref="D1380" authorId="1" shapeId="0" xr:uid="{00000000-0006-0000-0100-000050040000}">
      <text>
        <r>
          <rPr>
            <sz val="11"/>
            <color theme="1"/>
            <rFont val="Calibri"/>
            <family val="2"/>
            <scheme val="minor"/>
          </rPr>
          <t>Seleccione el tipo de procedimiento</t>
        </r>
      </text>
    </comment>
    <comment ref="E1380" authorId="1" shapeId="0" xr:uid="{00000000-0006-0000-0100-000051040000}">
      <text>
        <r>
          <rPr>
            <sz val="11"/>
            <color theme="1"/>
            <rFont val="Calibri"/>
            <family val="2"/>
            <scheme val="minor"/>
          </rPr>
          <t>Seleccione un valor de la lista</t>
        </r>
      </text>
    </comment>
    <comment ref="F1380" authorId="1" shapeId="0" xr:uid="{00000000-0006-0000-0100-000052040000}">
      <text>
        <r>
          <rPr>
            <sz val="11"/>
            <color theme="1"/>
            <rFont val="Calibri"/>
            <family val="2"/>
            <scheme val="minor"/>
          </rPr>
          <t>Introduzca el código SNIP</t>
        </r>
      </text>
    </comment>
    <comment ref="C1381" authorId="1" shapeId="0" xr:uid="{00000000-0006-0000-0100-000053040000}">
      <text>
        <r>
          <rPr>
            <sz val="11"/>
            <color theme="1"/>
            <rFont val="Calibri"/>
            <family val="2"/>
            <scheme val="minor"/>
          </rPr>
          <t>Introduzca la fecha de inicio del proceso, en formato dd-mm-aaaa</t>
        </r>
      </text>
    </comment>
    <comment ref="F1381"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2" authorId="1" shapeId="0" xr:uid="{00000000-0006-0000-0100-000056040000}">
      <text/>
    </comment>
    <comment ref="C1383" authorId="1" shapeId="0" xr:uid="{00000000-0006-0000-0100-000054040000}">
      <text>
        <r>
          <rPr>
            <sz val="11"/>
            <color theme="1"/>
            <rFont val="Calibri"/>
            <family val="2"/>
            <scheme val="minor"/>
          </rPr>
          <t>Introduzca la fecha prevista de adjudicación, en formato dd-mm-aaaa</t>
        </r>
      </text>
    </comment>
    <comment ref="F1383" authorId="1" shapeId="0" xr:uid="{00000000-0006-0000-0100-000057040000}">
      <text/>
    </comment>
    <comment ref="F1384" authorId="1" shapeId="0" xr:uid="{00000000-0006-0000-0100-000058040000}">
      <text/>
    </comment>
    <comment ref="A1386" authorId="1" shapeId="0" xr:uid="{00000000-0006-0000-0100-000059040000}">
      <text>
        <r>
          <rPr>
            <sz val="11"/>
            <color theme="1"/>
            <rFont val="Calibri"/>
            <family val="2"/>
            <scheme val="minor"/>
          </rPr>
          <t>Introduzca un codigo UNSPSC</t>
        </r>
      </text>
    </comment>
    <comment ref="B1386" authorId="1" shapeId="0" xr:uid="{00000000-0006-0000-0100-00005A040000}">
      <text>
        <r>
          <rPr>
            <sz val="11"/>
            <color theme="1"/>
            <rFont val="Calibri"/>
            <family val="2"/>
            <scheme val="minor"/>
          </rPr>
          <t>Descripción calculada automáticamente a partir de código del artículo</t>
        </r>
      </text>
    </comment>
    <comment ref="C1386" authorId="1" shapeId="0" xr:uid="{00000000-0006-0000-0100-00005B040000}">
      <text>
        <r>
          <rPr>
            <sz val="11"/>
            <color theme="1"/>
            <rFont val="Calibri"/>
            <family val="2"/>
            <scheme val="minor"/>
          </rPr>
          <t>Seleccione un valor de la lista</t>
        </r>
      </text>
    </comment>
    <comment ref="D1386" authorId="1" shapeId="0" xr:uid="{00000000-0006-0000-0100-00005C040000}">
      <text>
        <r>
          <rPr>
            <sz val="11"/>
            <color theme="1"/>
            <rFont val="Calibri"/>
            <family val="2"/>
            <scheme val="minor"/>
          </rPr>
          <t>Introduzca un número con dos decimales como máximo. Debe ser igual o mayor a la "Cantidad Real Consumida"</t>
        </r>
      </text>
    </comment>
    <comment ref="E1386" authorId="1" shapeId="0" xr:uid="{00000000-0006-0000-0100-00005D040000}">
      <text>
        <r>
          <rPr>
            <sz val="11"/>
            <color theme="1"/>
            <rFont val="Calibri"/>
            <family val="2"/>
            <scheme val="minor"/>
          </rPr>
          <t>Introduzca un número con dos decimales como máximo</t>
        </r>
      </text>
    </comment>
    <comment ref="F1386" authorId="1" shapeId="0" xr:uid="{00000000-0006-0000-0100-00005E040000}">
      <text>
        <r>
          <rPr>
            <sz val="11"/>
            <color theme="1"/>
            <rFont val="Calibri"/>
            <family val="2"/>
            <scheme val="minor"/>
          </rPr>
          <t>Monto calculado automáticamente por el sistema</t>
        </r>
      </text>
    </comment>
    <comment ref="A1391" authorId="1" shapeId="0" xr:uid="{00000000-0006-0000-0100-00005F040000}">
      <text>
        <r>
          <rPr>
            <sz val="11"/>
            <color theme="1"/>
            <rFont val="Calibri"/>
            <family val="2"/>
            <scheme val="minor"/>
          </rPr>
          <t>Introducir un texto con el nombre o referencia de la contratación</t>
        </r>
      </text>
    </comment>
    <comment ref="B1391" authorId="1" shapeId="0" xr:uid="{00000000-0006-0000-0100-000060040000}">
      <text>
        <r>
          <rPr>
            <sz val="11"/>
            <color theme="1"/>
            <rFont val="Calibri"/>
            <family val="2"/>
            <scheme val="minor"/>
          </rPr>
          <t>Introduzca un texto con la finalidad de la contratación</t>
        </r>
      </text>
    </comment>
    <comment ref="C1391" authorId="1" shapeId="0" xr:uid="{00000000-0006-0000-0100-000061040000}">
      <text>
        <r>
          <rPr>
            <sz val="11"/>
            <color theme="1"/>
            <rFont val="Calibri"/>
            <family val="2"/>
            <scheme val="minor"/>
          </rPr>
          <t>Seleccionar un valor del listado</t>
        </r>
      </text>
    </comment>
    <comment ref="D1391" authorId="1" shapeId="0" xr:uid="{00000000-0006-0000-0100-000062040000}">
      <text>
        <r>
          <rPr>
            <sz val="11"/>
            <color theme="1"/>
            <rFont val="Calibri"/>
            <family val="2"/>
            <scheme val="minor"/>
          </rPr>
          <t>Seleccione el tipo de procedimiento</t>
        </r>
      </text>
    </comment>
    <comment ref="E1391" authorId="1" shapeId="0" xr:uid="{00000000-0006-0000-0100-000063040000}">
      <text>
        <r>
          <rPr>
            <sz val="11"/>
            <color theme="1"/>
            <rFont val="Calibri"/>
            <family val="2"/>
            <scheme val="minor"/>
          </rPr>
          <t>Seleccione un valor de la lista</t>
        </r>
      </text>
    </comment>
    <comment ref="F1391" authorId="1" shapeId="0" xr:uid="{00000000-0006-0000-0100-000064040000}">
      <text>
        <r>
          <rPr>
            <sz val="11"/>
            <color theme="1"/>
            <rFont val="Calibri"/>
            <family val="2"/>
            <scheme val="minor"/>
          </rPr>
          <t>Introduzca el código SNIP</t>
        </r>
      </text>
    </comment>
    <comment ref="C1392" authorId="1" shapeId="0" xr:uid="{00000000-0006-0000-0100-000065040000}">
      <text>
        <r>
          <rPr>
            <sz val="11"/>
            <color theme="1"/>
            <rFont val="Calibri"/>
            <family val="2"/>
            <scheme val="minor"/>
          </rPr>
          <t>Introduzca la fecha de inicio del proceso, en formato dd-mm-aaaa</t>
        </r>
      </text>
    </comment>
    <comment ref="F1392"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3" authorId="1" shapeId="0" xr:uid="{00000000-0006-0000-0100-000068040000}">
      <text/>
    </comment>
    <comment ref="C1394" authorId="1" shapeId="0" xr:uid="{00000000-0006-0000-0100-000066040000}">
      <text>
        <r>
          <rPr>
            <sz val="11"/>
            <color theme="1"/>
            <rFont val="Calibri"/>
            <family val="2"/>
            <scheme val="minor"/>
          </rPr>
          <t>Introduzca la fecha prevista de adjudicación, en formato dd-mm-aaaa</t>
        </r>
      </text>
    </comment>
    <comment ref="F1394" authorId="1" shapeId="0" xr:uid="{00000000-0006-0000-0100-000069040000}">
      <text/>
    </comment>
    <comment ref="F1395" authorId="1" shapeId="0" xr:uid="{00000000-0006-0000-0100-00006A040000}">
      <text/>
    </comment>
    <comment ref="A1397" authorId="1" shapeId="0" xr:uid="{00000000-0006-0000-0100-00006B040000}">
      <text>
        <r>
          <rPr>
            <sz val="11"/>
            <color theme="1"/>
            <rFont val="Calibri"/>
            <family val="2"/>
            <scheme val="minor"/>
          </rPr>
          <t>Introduzca un codigo UNSPSC</t>
        </r>
      </text>
    </comment>
    <comment ref="B1397" authorId="1" shapeId="0" xr:uid="{00000000-0006-0000-0100-00006C040000}">
      <text>
        <r>
          <rPr>
            <sz val="11"/>
            <color theme="1"/>
            <rFont val="Calibri"/>
            <family val="2"/>
            <scheme val="minor"/>
          </rPr>
          <t>Descripción calculada automáticamente a partir de código del artículo</t>
        </r>
      </text>
    </comment>
    <comment ref="C1397" authorId="1" shapeId="0" xr:uid="{00000000-0006-0000-0100-00006D040000}">
      <text>
        <r>
          <rPr>
            <sz val="11"/>
            <color theme="1"/>
            <rFont val="Calibri"/>
            <family val="2"/>
            <scheme val="minor"/>
          </rPr>
          <t>Seleccione un valor de la lista</t>
        </r>
      </text>
    </comment>
    <comment ref="D1397" authorId="1" shapeId="0" xr:uid="{00000000-0006-0000-0100-00006E040000}">
      <text>
        <r>
          <rPr>
            <sz val="11"/>
            <color theme="1"/>
            <rFont val="Calibri"/>
            <family val="2"/>
            <scheme val="minor"/>
          </rPr>
          <t>Introduzca un número con dos decimales como máximo. Debe ser igual o mayor a la "Cantidad Real Consumida"</t>
        </r>
      </text>
    </comment>
    <comment ref="E1397" authorId="1" shapeId="0" xr:uid="{00000000-0006-0000-0100-00006F040000}">
      <text>
        <r>
          <rPr>
            <sz val="11"/>
            <color theme="1"/>
            <rFont val="Calibri"/>
            <family val="2"/>
            <scheme val="minor"/>
          </rPr>
          <t>Introduzca un número con dos decimales como máximo</t>
        </r>
      </text>
    </comment>
    <comment ref="F1397" authorId="1" shapeId="0" xr:uid="{00000000-0006-0000-0100-000070040000}">
      <text>
        <r>
          <rPr>
            <sz val="11"/>
            <color theme="1"/>
            <rFont val="Calibri"/>
            <family val="2"/>
            <scheme val="minor"/>
          </rPr>
          <t>Monto calculado automáticamente por el sistema</t>
        </r>
      </text>
    </comment>
    <comment ref="A1402" authorId="1" shapeId="0" xr:uid="{00000000-0006-0000-0100-000071040000}">
      <text>
        <r>
          <rPr>
            <sz val="11"/>
            <color theme="1"/>
            <rFont val="Calibri"/>
            <family val="2"/>
            <scheme val="minor"/>
          </rPr>
          <t>Introducir un texto con el nombre o referencia de la contratación</t>
        </r>
      </text>
    </comment>
    <comment ref="B1402" authorId="1" shapeId="0" xr:uid="{00000000-0006-0000-0100-000072040000}">
      <text>
        <r>
          <rPr>
            <sz val="11"/>
            <color theme="1"/>
            <rFont val="Calibri"/>
            <family val="2"/>
            <scheme val="minor"/>
          </rPr>
          <t>Introduzca un texto con la finalidad de la contratación</t>
        </r>
      </text>
    </comment>
    <comment ref="C1402" authorId="1" shapeId="0" xr:uid="{00000000-0006-0000-0100-000073040000}">
      <text>
        <r>
          <rPr>
            <sz val="11"/>
            <color theme="1"/>
            <rFont val="Calibri"/>
            <family val="2"/>
            <scheme val="minor"/>
          </rPr>
          <t>Seleccionar un valor del listado</t>
        </r>
      </text>
    </comment>
    <comment ref="D1402" authorId="1" shapeId="0" xr:uid="{00000000-0006-0000-0100-000074040000}">
      <text>
        <r>
          <rPr>
            <sz val="11"/>
            <color theme="1"/>
            <rFont val="Calibri"/>
            <family val="2"/>
            <scheme val="minor"/>
          </rPr>
          <t>Seleccione el tipo de procedimiento</t>
        </r>
      </text>
    </comment>
    <comment ref="E1402" authorId="1" shapeId="0" xr:uid="{00000000-0006-0000-0100-000075040000}">
      <text>
        <r>
          <rPr>
            <sz val="11"/>
            <color theme="1"/>
            <rFont val="Calibri"/>
            <family val="2"/>
            <scheme val="minor"/>
          </rPr>
          <t>Seleccione un valor de la lista</t>
        </r>
      </text>
    </comment>
    <comment ref="F1402" authorId="1" shapeId="0" xr:uid="{00000000-0006-0000-0100-000076040000}">
      <text>
        <r>
          <rPr>
            <sz val="11"/>
            <color theme="1"/>
            <rFont val="Calibri"/>
            <family val="2"/>
            <scheme val="minor"/>
          </rPr>
          <t>Introduzca el código SNIP</t>
        </r>
      </text>
    </comment>
    <comment ref="C1403" authorId="1" shapeId="0" xr:uid="{00000000-0006-0000-0100-000077040000}">
      <text>
        <r>
          <rPr>
            <sz val="11"/>
            <color theme="1"/>
            <rFont val="Calibri"/>
            <family val="2"/>
            <scheme val="minor"/>
          </rPr>
          <t>Introduzca la fecha de inicio del proceso, en formato dd-mm-aaaa</t>
        </r>
      </text>
    </comment>
    <comment ref="F1403"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4" authorId="1" shapeId="0" xr:uid="{00000000-0006-0000-0100-00007A040000}">
      <text/>
    </comment>
    <comment ref="C1405" authorId="1" shapeId="0" xr:uid="{00000000-0006-0000-0100-000078040000}">
      <text>
        <r>
          <rPr>
            <sz val="11"/>
            <color theme="1"/>
            <rFont val="Calibri"/>
            <family val="2"/>
            <scheme val="minor"/>
          </rPr>
          <t>Introduzca la fecha prevista de adjudicación, en formato dd-mm-aaaa</t>
        </r>
      </text>
    </comment>
    <comment ref="F1405" authorId="1" shapeId="0" xr:uid="{00000000-0006-0000-0100-00007B040000}">
      <text/>
    </comment>
    <comment ref="F1406" authorId="1" shapeId="0" xr:uid="{00000000-0006-0000-0100-00007C040000}">
      <text/>
    </comment>
    <comment ref="A1408" authorId="1" shapeId="0" xr:uid="{00000000-0006-0000-0100-00007D040000}">
      <text>
        <r>
          <rPr>
            <sz val="11"/>
            <color theme="1"/>
            <rFont val="Calibri"/>
            <family val="2"/>
            <scheme val="minor"/>
          </rPr>
          <t>Introduzca un codigo UNSPSC</t>
        </r>
      </text>
    </comment>
    <comment ref="B1408" authorId="1" shapeId="0" xr:uid="{00000000-0006-0000-0100-00007E040000}">
      <text>
        <r>
          <rPr>
            <sz val="11"/>
            <color theme="1"/>
            <rFont val="Calibri"/>
            <family val="2"/>
            <scheme val="minor"/>
          </rPr>
          <t>Descripción calculada automáticamente a partir de código del artículo</t>
        </r>
      </text>
    </comment>
    <comment ref="C1408" authorId="1" shapeId="0" xr:uid="{00000000-0006-0000-0100-00007F040000}">
      <text>
        <r>
          <rPr>
            <sz val="11"/>
            <color theme="1"/>
            <rFont val="Calibri"/>
            <family val="2"/>
            <scheme val="minor"/>
          </rPr>
          <t>Seleccione un valor de la lista</t>
        </r>
      </text>
    </comment>
    <comment ref="D1408" authorId="1" shapeId="0" xr:uid="{00000000-0006-0000-0100-000080040000}">
      <text>
        <r>
          <rPr>
            <sz val="11"/>
            <color theme="1"/>
            <rFont val="Calibri"/>
            <family val="2"/>
            <scheme val="minor"/>
          </rPr>
          <t>Introduzca un número con dos decimales como máximo. Debe ser igual o mayor a la "Cantidad Real Consumida"</t>
        </r>
      </text>
    </comment>
    <comment ref="E1408" authorId="1" shapeId="0" xr:uid="{00000000-0006-0000-0100-000081040000}">
      <text>
        <r>
          <rPr>
            <sz val="11"/>
            <color theme="1"/>
            <rFont val="Calibri"/>
            <family val="2"/>
            <scheme val="minor"/>
          </rPr>
          <t>Introduzca un número con dos decimales como máximo</t>
        </r>
      </text>
    </comment>
    <comment ref="F1408" authorId="1" shapeId="0" xr:uid="{00000000-0006-0000-0100-000082040000}">
      <text>
        <r>
          <rPr>
            <sz val="11"/>
            <color theme="1"/>
            <rFont val="Calibri"/>
            <family val="2"/>
            <scheme val="minor"/>
          </rPr>
          <t>Monto calculado automáticamente por el sistema</t>
        </r>
      </text>
    </comment>
    <comment ref="A1413" authorId="1" shapeId="0" xr:uid="{00000000-0006-0000-0100-000083040000}">
      <text>
        <r>
          <rPr>
            <sz val="11"/>
            <color theme="1"/>
            <rFont val="Calibri"/>
            <family val="2"/>
            <scheme val="minor"/>
          </rPr>
          <t>Introducir un texto con el nombre o referencia de la contratación</t>
        </r>
      </text>
    </comment>
    <comment ref="B1413" authorId="1" shapeId="0" xr:uid="{00000000-0006-0000-0100-000084040000}">
      <text>
        <r>
          <rPr>
            <sz val="11"/>
            <color theme="1"/>
            <rFont val="Calibri"/>
            <family val="2"/>
            <scheme val="minor"/>
          </rPr>
          <t>Introduzca un texto con la finalidad de la contratación</t>
        </r>
      </text>
    </comment>
    <comment ref="C1413" authorId="1" shapeId="0" xr:uid="{00000000-0006-0000-0100-000085040000}">
      <text>
        <r>
          <rPr>
            <sz val="11"/>
            <color theme="1"/>
            <rFont val="Calibri"/>
            <family val="2"/>
            <scheme val="minor"/>
          </rPr>
          <t>Seleccionar un valor del listado</t>
        </r>
      </text>
    </comment>
    <comment ref="D1413" authorId="1" shapeId="0" xr:uid="{00000000-0006-0000-0100-000086040000}">
      <text>
        <r>
          <rPr>
            <sz val="11"/>
            <color theme="1"/>
            <rFont val="Calibri"/>
            <family val="2"/>
            <scheme val="minor"/>
          </rPr>
          <t>Seleccione el tipo de procedimiento</t>
        </r>
      </text>
    </comment>
    <comment ref="E1413" authorId="1" shapeId="0" xr:uid="{00000000-0006-0000-0100-000087040000}">
      <text>
        <r>
          <rPr>
            <sz val="11"/>
            <color theme="1"/>
            <rFont val="Calibri"/>
            <family val="2"/>
            <scheme val="minor"/>
          </rPr>
          <t>Seleccione un valor de la lista</t>
        </r>
      </text>
    </comment>
    <comment ref="F1413" authorId="1" shapeId="0" xr:uid="{00000000-0006-0000-0100-000088040000}">
      <text>
        <r>
          <rPr>
            <sz val="11"/>
            <color theme="1"/>
            <rFont val="Calibri"/>
            <family val="2"/>
            <scheme val="minor"/>
          </rPr>
          <t>Introduzca el código SNIP</t>
        </r>
      </text>
    </comment>
    <comment ref="C1414" authorId="1" shapeId="0" xr:uid="{00000000-0006-0000-0100-000089040000}">
      <text>
        <r>
          <rPr>
            <sz val="11"/>
            <color theme="1"/>
            <rFont val="Calibri"/>
            <family val="2"/>
            <scheme val="minor"/>
          </rPr>
          <t>Introduzca la fecha de inicio del proceso, en formato dd-mm-aaaa</t>
        </r>
      </text>
    </comment>
    <comment ref="F1414"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5" authorId="1" shapeId="0" xr:uid="{00000000-0006-0000-0100-00008C040000}">
      <text/>
    </comment>
    <comment ref="C1416" authorId="1" shapeId="0" xr:uid="{00000000-0006-0000-0100-00008A040000}">
      <text>
        <r>
          <rPr>
            <sz val="11"/>
            <color theme="1"/>
            <rFont val="Calibri"/>
            <family val="2"/>
            <scheme val="minor"/>
          </rPr>
          <t>Introduzca la fecha prevista de adjudicación, en formato dd-mm-aaaa</t>
        </r>
      </text>
    </comment>
    <comment ref="F1416" authorId="1" shapeId="0" xr:uid="{00000000-0006-0000-0100-00008D040000}">
      <text/>
    </comment>
    <comment ref="F1417" authorId="1" shapeId="0" xr:uid="{00000000-0006-0000-0100-00008E040000}">
      <text/>
    </comment>
    <comment ref="A1419" authorId="1" shapeId="0" xr:uid="{00000000-0006-0000-0100-00008F040000}">
      <text>
        <r>
          <rPr>
            <sz val="11"/>
            <color theme="1"/>
            <rFont val="Calibri"/>
            <family val="2"/>
            <scheme val="minor"/>
          </rPr>
          <t>Introduzca un codigo UNSPSC</t>
        </r>
      </text>
    </comment>
    <comment ref="B1419" authorId="1" shapeId="0" xr:uid="{00000000-0006-0000-0100-000090040000}">
      <text>
        <r>
          <rPr>
            <sz val="11"/>
            <color theme="1"/>
            <rFont val="Calibri"/>
            <family val="2"/>
            <scheme val="minor"/>
          </rPr>
          <t>Descripción calculada automáticamente a partir de código del artículo</t>
        </r>
      </text>
    </comment>
    <comment ref="C1419" authorId="1" shapeId="0" xr:uid="{00000000-0006-0000-0100-000091040000}">
      <text>
        <r>
          <rPr>
            <sz val="11"/>
            <color theme="1"/>
            <rFont val="Calibri"/>
            <family val="2"/>
            <scheme val="minor"/>
          </rPr>
          <t>Seleccione un valor de la lista</t>
        </r>
      </text>
    </comment>
    <comment ref="D1419" authorId="1" shapeId="0" xr:uid="{00000000-0006-0000-0100-000092040000}">
      <text>
        <r>
          <rPr>
            <sz val="11"/>
            <color theme="1"/>
            <rFont val="Calibri"/>
            <family val="2"/>
            <scheme val="minor"/>
          </rPr>
          <t>Introduzca un número con dos decimales como máximo. Debe ser igual o mayor a la "Cantidad Real Consumida"</t>
        </r>
      </text>
    </comment>
    <comment ref="E1419" authorId="1" shapeId="0" xr:uid="{00000000-0006-0000-0100-000093040000}">
      <text>
        <r>
          <rPr>
            <sz val="11"/>
            <color theme="1"/>
            <rFont val="Calibri"/>
            <family val="2"/>
            <scheme val="minor"/>
          </rPr>
          <t>Introduzca un número con dos decimales como máximo</t>
        </r>
      </text>
    </comment>
    <comment ref="F1419" authorId="1" shapeId="0" xr:uid="{00000000-0006-0000-0100-000094040000}">
      <text>
        <r>
          <rPr>
            <sz val="11"/>
            <color theme="1"/>
            <rFont val="Calibri"/>
            <family val="2"/>
            <scheme val="minor"/>
          </rPr>
          <t>Monto calculado automáticamente por el sistema</t>
        </r>
      </text>
    </comment>
    <comment ref="A1424" authorId="1" shapeId="0" xr:uid="{00000000-0006-0000-0100-000095040000}">
      <text>
        <r>
          <rPr>
            <sz val="11"/>
            <color theme="1"/>
            <rFont val="Calibri"/>
            <family val="2"/>
            <scheme val="minor"/>
          </rPr>
          <t>Introducir un texto con el nombre o referencia de la contratación</t>
        </r>
      </text>
    </comment>
    <comment ref="B1424" authorId="1" shapeId="0" xr:uid="{00000000-0006-0000-0100-000096040000}">
      <text>
        <r>
          <rPr>
            <sz val="11"/>
            <color theme="1"/>
            <rFont val="Calibri"/>
            <family val="2"/>
            <scheme val="minor"/>
          </rPr>
          <t>Introduzca un texto con la finalidad de la contratación</t>
        </r>
      </text>
    </comment>
    <comment ref="C1424" authorId="1" shapeId="0" xr:uid="{00000000-0006-0000-0100-000097040000}">
      <text>
        <r>
          <rPr>
            <sz val="11"/>
            <color theme="1"/>
            <rFont val="Calibri"/>
            <family val="2"/>
            <scheme val="minor"/>
          </rPr>
          <t>Seleccionar un valor del listado</t>
        </r>
      </text>
    </comment>
    <comment ref="D1424" authorId="1" shapeId="0" xr:uid="{00000000-0006-0000-0100-000098040000}">
      <text>
        <r>
          <rPr>
            <sz val="11"/>
            <color theme="1"/>
            <rFont val="Calibri"/>
            <family val="2"/>
            <scheme val="minor"/>
          </rPr>
          <t>Seleccione el tipo de procedimiento</t>
        </r>
      </text>
    </comment>
    <comment ref="E1424" authorId="1" shapeId="0" xr:uid="{00000000-0006-0000-0100-000099040000}">
      <text>
        <r>
          <rPr>
            <sz val="11"/>
            <color theme="1"/>
            <rFont val="Calibri"/>
            <family val="2"/>
            <scheme val="minor"/>
          </rPr>
          <t>Seleccione un valor de la lista</t>
        </r>
      </text>
    </comment>
    <comment ref="F1424" authorId="1" shapeId="0" xr:uid="{00000000-0006-0000-0100-00009A040000}">
      <text>
        <r>
          <rPr>
            <sz val="11"/>
            <color theme="1"/>
            <rFont val="Calibri"/>
            <family val="2"/>
            <scheme val="minor"/>
          </rPr>
          <t>Introduzca el código SNIP</t>
        </r>
      </text>
    </comment>
    <comment ref="C1425" authorId="1" shapeId="0" xr:uid="{00000000-0006-0000-0100-00009B040000}">
      <text>
        <r>
          <rPr>
            <sz val="11"/>
            <color theme="1"/>
            <rFont val="Calibri"/>
            <family val="2"/>
            <scheme val="minor"/>
          </rPr>
          <t>Introduzca la fecha de inicio del proceso, en formato dd-mm-aaaa</t>
        </r>
      </text>
    </comment>
    <comment ref="F1425"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6" authorId="1" shapeId="0" xr:uid="{00000000-0006-0000-0100-00009E040000}">
      <text/>
    </comment>
    <comment ref="C1427" authorId="1" shapeId="0" xr:uid="{00000000-0006-0000-0100-00009C040000}">
      <text>
        <r>
          <rPr>
            <sz val="11"/>
            <color theme="1"/>
            <rFont val="Calibri"/>
            <family val="2"/>
            <scheme val="minor"/>
          </rPr>
          <t>Introduzca la fecha prevista de adjudicación, en formato dd-mm-aaaa</t>
        </r>
      </text>
    </comment>
    <comment ref="F1427" authorId="1" shapeId="0" xr:uid="{00000000-0006-0000-0100-00009F040000}">
      <text/>
    </comment>
    <comment ref="F1428" authorId="1" shapeId="0" xr:uid="{00000000-0006-0000-0100-0000A0040000}">
      <text/>
    </comment>
    <comment ref="A1430" authorId="1" shapeId="0" xr:uid="{00000000-0006-0000-0100-0000A1040000}">
      <text>
        <r>
          <rPr>
            <sz val="11"/>
            <color theme="1"/>
            <rFont val="Calibri"/>
            <family val="2"/>
            <scheme val="minor"/>
          </rPr>
          <t>Introduzca un codigo UNSPSC</t>
        </r>
      </text>
    </comment>
    <comment ref="B1430" authorId="1" shapeId="0" xr:uid="{00000000-0006-0000-0100-0000A2040000}">
      <text>
        <r>
          <rPr>
            <sz val="11"/>
            <color theme="1"/>
            <rFont val="Calibri"/>
            <family val="2"/>
            <scheme val="minor"/>
          </rPr>
          <t>Descripción calculada automáticamente a partir de código del artículo</t>
        </r>
      </text>
    </comment>
    <comment ref="C1430" authorId="1" shapeId="0" xr:uid="{00000000-0006-0000-0100-0000A3040000}">
      <text>
        <r>
          <rPr>
            <sz val="11"/>
            <color theme="1"/>
            <rFont val="Calibri"/>
            <family val="2"/>
            <scheme val="minor"/>
          </rPr>
          <t>Seleccione un valor de la lista</t>
        </r>
      </text>
    </comment>
    <comment ref="D1430" authorId="1" shapeId="0" xr:uid="{00000000-0006-0000-0100-0000A4040000}">
      <text>
        <r>
          <rPr>
            <sz val="11"/>
            <color theme="1"/>
            <rFont val="Calibri"/>
            <family val="2"/>
            <scheme val="minor"/>
          </rPr>
          <t>Introduzca un número con dos decimales como máximo. Debe ser igual o mayor a la "Cantidad Real Consumida"</t>
        </r>
      </text>
    </comment>
    <comment ref="E1430" authorId="1" shapeId="0" xr:uid="{00000000-0006-0000-0100-0000A5040000}">
      <text>
        <r>
          <rPr>
            <sz val="11"/>
            <color theme="1"/>
            <rFont val="Calibri"/>
            <family val="2"/>
            <scheme val="minor"/>
          </rPr>
          <t>Introduzca un número con dos decimales como máximo</t>
        </r>
      </text>
    </comment>
    <comment ref="F1430" authorId="1" shapeId="0" xr:uid="{00000000-0006-0000-0100-0000A6040000}">
      <text>
        <r>
          <rPr>
            <sz val="11"/>
            <color theme="1"/>
            <rFont val="Calibri"/>
            <family val="2"/>
            <scheme val="minor"/>
          </rPr>
          <t>Monto calculado automáticamente por el sistema</t>
        </r>
      </text>
    </comment>
    <comment ref="A1435" authorId="1" shapeId="0" xr:uid="{00000000-0006-0000-0100-0000A7040000}">
      <text>
        <r>
          <rPr>
            <sz val="11"/>
            <color theme="1"/>
            <rFont val="Calibri"/>
            <family val="2"/>
            <scheme val="minor"/>
          </rPr>
          <t>Introducir un texto con el nombre o referencia de la contratación</t>
        </r>
      </text>
    </comment>
    <comment ref="B1435" authorId="1" shapeId="0" xr:uid="{00000000-0006-0000-0100-0000A8040000}">
      <text>
        <r>
          <rPr>
            <sz val="11"/>
            <color theme="1"/>
            <rFont val="Calibri"/>
            <family val="2"/>
            <scheme val="minor"/>
          </rPr>
          <t>Introduzca un texto con la finalidad de la contratación</t>
        </r>
      </text>
    </comment>
    <comment ref="C1435" authorId="1" shapeId="0" xr:uid="{00000000-0006-0000-0100-0000A9040000}">
      <text>
        <r>
          <rPr>
            <sz val="11"/>
            <color theme="1"/>
            <rFont val="Calibri"/>
            <family val="2"/>
            <scheme val="minor"/>
          </rPr>
          <t>Seleccionar un valor del listado</t>
        </r>
      </text>
    </comment>
    <comment ref="D1435" authorId="1" shapeId="0" xr:uid="{00000000-0006-0000-0100-0000AA040000}">
      <text>
        <r>
          <rPr>
            <sz val="11"/>
            <color theme="1"/>
            <rFont val="Calibri"/>
            <family val="2"/>
            <scheme val="minor"/>
          </rPr>
          <t>Seleccione el tipo de procedimiento</t>
        </r>
      </text>
    </comment>
    <comment ref="E1435" authorId="1" shapeId="0" xr:uid="{00000000-0006-0000-0100-0000AB040000}">
      <text>
        <r>
          <rPr>
            <sz val="11"/>
            <color theme="1"/>
            <rFont val="Calibri"/>
            <family val="2"/>
            <scheme val="minor"/>
          </rPr>
          <t>Seleccione un valor de la lista</t>
        </r>
      </text>
    </comment>
    <comment ref="F1435" authorId="1" shapeId="0" xr:uid="{00000000-0006-0000-0100-0000AC040000}">
      <text>
        <r>
          <rPr>
            <sz val="11"/>
            <color theme="1"/>
            <rFont val="Calibri"/>
            <family val="2"/>
            <scheme val="minor"/>
          </rPr>
          <t>Introduzca el código SNIP</t>
        </r>
      </text>
    </comment>
    <comment ref="C1436" authorId="1" shapeId="0" xr:uid="{00000000-0006-0000-0100-0000AD040000}">
      <text>
        <r>
          <rPr>
            <sz val="11"/>
            <color theme="1"/>
            <rFont val="Calibri"/>
            <family val="2"/>
            <scheme val="minor"/>
          </rPr>
          <t>Introduzca la fecha de inicio del proceso, en formato dd-mm-aaaa</t>
        </r>
      </text>
    </comment>
    <comment ref="F1436"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7" authorId="1" shapeId="0" xr:uid="{00000000-0006-0000-0100-0000B0040000}">
      <text/>
    </comment>
    <comment ref="C1438" authorId="1" shapeId="0" xr:uid="{00000000-0006-0000-0100-0000AE040000}">
      <text>
        <r>
          <rPr>
            <sz val="11"/>
            <color theme="1"/>
            <rFont val="Calibri"/>
            <family val="2"/>
            <scheme val="minor"/>
          </rPr>
          <t>Introduzca la fecha prevista de adjudicación, en formato dd-mm-aaaa</t>
        </r>
      </text>
    </comment>
    <comment ref="F1438" authorId="1" shapeId="0" xr:uid="{00000000-0006-0000-0100-0000B1040000}">
      <text/>
    </comment>
    <comment ref="F1439" authorId="1" shapeId="0" xr:uid="{00000000-0006-0000-0100-0000B2040000}">
      <text/>
    </comment>
    <comment ref="A1441" authorId="1" shapeId="0" xr:uid="{00000000-0006-0000-0100-0000B3040000}">
      <text>
        <r>
          <rPr>
            <sz val="11"/>
            <color theme="1"/>
            <rFont val="Calibri"/>
            <family val="2"/>
            <scheme val="minor"/>
          </rPr>
          <t>Introduzca un codigo UNSPSC</t>
        </r>
      </text>
    </comment>
    <comment ref="B1441" authorId="1" shapeId="0" xr:uid="{00000000-0006-0000-0100-0000B4040000}">
      <text>
        <r>
          <rPr>
            <sz val="11"/>
            <color theme="1"/>
            <rFont val="Calibri"/>
            <family val="2"/>
            <scheme val="minor"/>
          </rPr>
          <t>Descripción calculada automáticamente a partir de código del artículo</t>
        </r>
      </text>
    </comment>
    <comment ref="C1441" authorId="1" shapeId="0" xr:uid="{00000000-0006-0000-0100-0000B5040000}">
      <text>
        <r>
          <rPr>
            <sz val="11"/>
            <color theme="1"/>
            <rFont val="Calibri"/>
            <family val="2"/>
            <scheme val="minor"/>
          </rPr>
          <t>Seleccione un valor de la lista</t>
        </r>
      </text>
    </comment>
    <comment ref="D1441" authorId="1" shapeId="0" xr:uid="{00000000-0006-0000-0100-0000B6040000}">
      <text>
        <r>
          <rPr>
            <sz val="11"/>
            <color theme="1"/>
            <rFont val="Calibri"/>
            <family val="2"/>
            <scheme val="minor"/>
          </rPr>
          <t>Introduzca un número con dos decimales como máximo. Debe ser igual o mayor a la "Cantidad Real Consumida"</t>
        </r>
      </text>
    </comment>
    <comment ref="E1441" authorId="1" shapeId="0" xr:uid="{00000000-0006-0000-0100-0000B7040000}">
      <text>
        <r>
          <rPr>
            <sz val="11"/>
            <color theme="1"/>
            <rFont val="Calibri"/>
            <family val="2"/>
            <scheme val="minor"/>
          </rPr>
          <t>Introduzca un número con dos decimales como máximo</t>
        </r>
      </text>
    </comment>
    <comment ref="F1441" authorId="1" shapeId="0" xr:uid="{00000000-0006-0000-0100-0000B8040000}">
      <text>
        <r>
          <rPr>
            <sz val="11"/>
            <color theme="1"/>
            <rFont val="Calibri"/>
            <family val="2"/>
            <scheme val="minor"/>
          </rPr>
          <t>Monto calculado automáticamente por el sistema</t>
        </r>
      </text>
    </comment>
    <comment ref="A1452" authorId="1" shapeId="0" xr:uid="{00000000-0006-0000-0100-0000B9040000}">
      <text>
        <r>
          <rPr>
            <sz val="11"/>
            <color theme="1"/>
            <rFont val="Calibri"/>
            <family val="2"/>
            <scheme val="minor"/>
          </rPr>
          <t>Introducir un texto con el nombre o referencia de la contratación</t>
        </r>
      </text>
    </comment>
    <comment ref="B1452" authorId="1" shapeId="0" xr:uid="{00000000-0006-0000-0100-0000BA040000}">
      <text>
        <r>
          <rPr>
            <sz val="11"/>
            <color theme="1"/>
            <rFont val="Calibri"/>
            <family val="2"/>
            <scheme val="minor"/>
          </rPr>
          <t>Introduzca un texto con la finalidad de la contratación</t>
        </r>
      </text>
    </comment>
    <comment ref="C1452" authorId="1" shapeId="0" xr:uid="{00000000-0006-0000-0100-0000BB040000}">
      <text>
        <r>
          <rPr>
            <sz val="11"/>
            <color theme="1"/>
            <rFont val="Calibri"/>
            <family val="2"/>
            <scheme val="minor"/>
          </rPr>
          <t>Seleccionar un valor del listado</t>
        </r>
      </text>
    </comment>
    <comment ref="D1452" authorId="1" shapeId="0" xr:uid="{00000000-0006-0000-0100-0000BC040000}">
      <text>
        <r>
          <rPr>
            <sz val="11"/>
            <color theme="1"/>
            <rFont val="Calibri"/>
            <family val="2"/>
            <scheme val="minor"/>
          </rPr>
          <t>Seleccione el tipo de procedimiento</t>
        </r>
      </text>
    </comment>
    <comment ref="E1452" authorId="1" shapeId="0" xr:uid="{00000000-0006-0000-0100-0000BD040000}">
      <text>
        <r>
          <rPr>
            <sz val="11"/>
            <color theme="1"/>
            <rFont val="Calibri"/>
            <family val="2"/>
            <scheme val="minor"/>
          </rPr>
          <t>Seleccione un valor de la lista</t>
        </r>
      </text>
    </comment>
    <comment ref="F1452" authorId="1" shapeId="0" xr:uid="{00000000-0006-0000-0100-0000BE040000}">
      <text>
        <r>
          <rPr>
            <sz val="11"/>
            <color theme="1"/>
            <rFont val="Calibri"/>
            <family val="2"/>
            <scheme val="minor"/>
          </rPr>
          <t>Introduzca el código SNIP</t>
        </r>
      </text>
    </comment>
    <comment ref="C1453" authorId="1" shapeId="0" xr:uid="{00000000-0006-0000-0100-0000BF040000}">
      <text>
        <r>
          <rPr>
            <sz val="11"/>
            <color theme="1"/>
            <rFont val="Calibri"/>
            <family val="2"/>
            <scheme val="minor"/>
          </rPr>
          <t>Introduzca la fecha de inicio del proceso, en formato dd-mm-aaaa</t>
        </r>
      </text>
    </comment>
    <comment ref="F1453"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4" authorId="1" shapeId="0" xr:uid="{00000000-0006-0000-0100-0000C2040000}">
      <text/>
    </comment>
    <comment ref="C1455" authorId="1" shapeId="0" xr:uid="{00000000-0006-0000-0100-0000C0040000}">
      <text>
        <r>
          <rPr>
            <sz val="11"/>
            <color theme="1"/>
            <rFont val="Calibri"/>
            <family val="2"/>
            <scheme val="minor"/>
          </rPr>
          <t>Introduzca la fecha prevista de adjudicación, en formato dd-mm-aaaa</t>
        </r>
      </text>
    </comment>
    <comment ref="F1455" authorId="1" shapeId="0" xr:uid="{00000000-0006-0000-0100-0000C3040000}">
      <text/>
    </comment>
    <comment ref="F1456" authorId="1" shapeId="0" xr:uid="{00000000-0006-0000-0100-0000C4040000}">
      <text/>
    </comment>
    <comment ref="A1458" authorId="1" shapeId="0" xr:uid="{00000000-0006-0000-0100-0000C5040000}">
      <text>
        <r>
          <rPr>
            <sz val="11"/>
            <color theme="1"/>
            <rFont val="Calibri"/>
            <family val="2"/>
            <scheme val="minor"/>
          </rPr>
          <t>Introduzca un codigo UNSPSC</t>
        </r>
      </text>
    </comment>
    <comment ref="B1458" authorId="1" shapeId="0" xr:uid="{00000000-0006-0000-0100-0000C6040000}">
      <text>
        <r>
          <rPr>
            <sz val="11"/>
            <color theme="1"/>
            <rFont val="Calibri"/>
            <family val="2"/>
            <scheme val="minor"/>
          </rPr>
          <t>Descripción calculada automáticamente a partir de código del artículo</t>
        </r>
      </text>
    </comment>
    <comment ref="C1458" authorId="1" shapeId="0" xr:uid="{00000000-0006-0000-0100-0000C7040000}">
      <text>
        <r>
          <rPr>
            <sz val="11"/>
            <color theme="1"/>
            <rFont val="Calibri"/>
            <family val="2"/>
            <scheme val="minor"/>
          </rPr>
          <t>Seleccione un valor de la lista</t>
        </r>
      </text>
    </comment>
    <comment ref="D1458" authorId="1" shapeId="0" xr:uid="{00000000-0006-0000-0100-0000C8040000}">
      <text>
        <r>
          <rPr>
            <sz val="11"/>
            <color theme="1"/>
            <rFont val="Calibri"/>
            <family val="2"/>
            <scheme val="minor"/>
          </rPr>
          <t>Introduzca un número con dos decimales como máximo. Debe ser igual o mayor a la "Cantidad Real Consumida"</t>
        </r>
      </text>
    </comment>
    <comment ref="E1458" authorId="1" shapeId="0" xr:uid="{00000000-0006-0000-0100-0000C9040000}">
      <text>
        <r>
          <rPr>
            <sz val="11"/>
            <color theme="1"/>
            <rFont val="Calibri"/>
            <family val="2"/>
            <scheme val="minor"/>
          </rPr>
          <t>Introduzca un número con dos decimales como máximo</t>
        </r>
      </text>
    </comment>
    <comment ref="F1458" authorId="1" shapeId="0" xr:uid="{00000000-0006-0000-0100-0000CA040000}">
      <text>
        <r>
          <rPr>
            <sz val="11"/>
            <color theme="1"/>
            <rFont val="Calibri"/>
            <family val="2"/>
            <scheme val="minor"/>
          </rPr>
          <t>Monto calculado automáticamente por el sistema</t>
        </r>
      </text>
    </comment>
    <comment ref="A1463" authorId="1" shapeId="0" xr:uid="{00000000-0006-0000-0100-0000CB040000}">
      <text>
        <r>
          <rPr>
            <sz val="11"/>
            <color theme="1"/>
            <rFont val="Calibri"/>
            <family val="2"/>
            <scheme val="minor"/>
          </rPr>
          <t>Introducir un texto con el nombre o referencia de la contratación</t>
        </r>
      </text>
    </comment>
    <comment ref="B1463" authorId="1" shapeId="0" xr:uid="{00000000-0006-0000-0100-0000CC040000}">
      <text>
        <r>
          <rPr>
            <sz val="11"/>
            <color theme="1"/>
            <rFont val="Calibri"/>
            <family val="2"/>
            <scheme val="minor"/>
          </rPr>
          <t>Introduzca un texto con la finalidad de la contratación</t>
        </r>
      </text>
    </comment>
    <comment ref="C1463" authorId="1" shapeId="0" xr:uid="{00000000-0006-0000-0100-0000CD040000}">
      <text>
        <r>
          <rPr>
            <sz val="11"/>
            <color theme="1"/>
            <rFont val="Calibri"/>
            <family val="2"/>
            <scheme val="minor"/>
          </rPr>
          <t>Seleccionar un valor del listado</t>
        </r>
      </text>
    </comment>
    <comment ref="D1463" authorId="1" shapeId="0" xr:uid="{00000000-0006-0000-0100-0000CE040000}">
      <text>
        <r>
          <rPr>
            <sz val="11"/>
            <color theme="1"/>
            <rFont val="Calibri"/>
            <family val="2"/>
            <scheme val="minor"/>
          </rPr>
          <t>Seleccione el tipo de procedimiento</t>
        </r>
      </text>
    </comment>
    <comment ref="E1463" authorId="1" shapeId="0" xr:uid="{00000000-0006-0000-0100-0000CF040000}">
      <text>
        <r>
          <rPr>
            <sz val="11"/>
            <color theme="1"/>
            <rFont val="Calibri"/>
            <family val="2"/>
            <scheme val="minor"/>
          </rPr>
          <t>Seleccione un valor de la lista</t>
        </r>
      </text>
    </comment>
    <comment ref="F1463" authorId="1" shapeId="0" xr:uid="{00000000-0006-0000-0100-0000D0040000}">
      <text>
        <r>
          <rPr>
            <sz val="11"/>
            <color theme="1"/>
            <rFont val="Calibri"/>
            <family val="2"/>
            <scheme val="minor"/>
          </rPr>
          <t>Introduzca el código SNIP</t>
        </r>
      </text>
    </comment>
    <comment ref="C1464" authorId="1" shapeId="0" xr:uid="{00000000-0006-0000-0100-0000D1040000}">
      <text>
        <r>
          <rPr>
            <sz val="11"/>
            <color theme="1"/>
            <rFont val="Calibri"/>
            <family val="2"/>
            <scheme val="minor"/>
          </rPr>
          <t>Introduzca la fecha de inicio del proceso, en formato dd-mm-aaaa</t>
        </r>
      </text>
    </comment>
    <comment ref="F1464"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5" authorId="1" shapeId="0" xr:uid="{00000000-0006-0000-0100-0000D4040000}">
      <text/>
    </comment>
    <comment ref="C1466" authorId="1" shapeId="0" xr:uid="{00000000-0006-0000-0100-0000D2040000}">
      <text>
        <r>
          <rPr>
            <sz val="11"/>
            <color theme="1"/>
            <rFont val="Calibri"/>
            <family val="2"/>
            <scheme val="minor"/>
          </rPr>
          <t>Introduzca la fecha prevista de adjudicación, en formato dd-mm-aaaa</t>
        </r>
      </text>
    </comment>
    <comment ref="F1466" authorId="1" shapeId="0" xr:uid="{00000000-0006-0000-0100-0000D5040000}">
      <text/>
    </comment>
    <comment ref="F1467" authorId="1" shapeId="0" xr:uid="{00000000-0006-0000-0100-0000D6040000}">
      <text/>
    </comment>
    <comment ref="A1469" authorId="1" shapeId="0" xr:uid="{00000000-0006-0000-0100-0000D7040000}">
      <text>
        <r>
          <rPr>
            <sz val="11"/>
            <color theme="1"/>
            <rFont val="Calibri"/>
            <family val="2"/>
            <scheme val="minor"/>
          </rPr>
          <t>Introduzca un codigo UNSPSC</t>
        </r>
      </text>
    </comment>
    <comment ref="B1469" authorId="1" shapeId="0" xr:uid="{00000000-0006-0000-0100-0000D8040000}">
      <text>
        <r>
          <rPr>
            <sz val="11"/>
            <color theme="1"/>
            <rFont val="Calibri"/>
            <family val="2"/>
            <scheme val="minor"/>
          </rPr>
          <t>Descripción calculada automáticamente a partir de código del artículo</t>
        </r>
      </text>
    </comment>
    <comment ref="C1469" authorId="1" shapeId="0" xr:uid="{00000000-0006-0000-0100-0000D9040000}">
      <text>
        <r>
          <rPr>
            <sz val="11"/>
            <color theme="1"/>
            <rFont val="Calibri"/>
            <family val="2"/>
            <scheme val="minor"/>
          </rPr>
          <t>Seleccione un valor de la lista</t>
        </r>
      </text>
    </comment>
    <comment ref="D1469" authorId="1" shapeId="0" xr:uid="{00000000-0006-0000-0100-0000DA040000}">
      <text>
        <r>
          <rPr>
            <sz val="11"/>
            <color theme="1"/>
            <rFont val="Calibri"/>
            <family val="2"/>
            <scheme val="minor"/>
          </rPr>
          <t>Introduzca un número con dos decimales como máximo. Debe ser igual o mayor a la "Cantidad Real Consumida"</t>
        </r>
      </text>
    </comment>
    <comment ref="E1469" authorId="1" shapeId="0" xr:uid="{00000000-0006-0000-0100-0000DB040000}">
      <text>
        <r>
          <rPr>
            <sz val="11"/>
            <color theme="1"/>
            <rFont val="Calibri"/>
            <family val="2"/>
            <scheme val="minor"/>
          </rPr>
          <t>Introduzca un número con dos decimales como máximo</t>
        </r>
      </text>
    </comment>
    <comment ref="F1469" authorId="1" shapeId="0" xr:uid="{00000000-0006-0000-0100-0000DC040000}">
      <text>
        <r>
          <rPr>
            <sz val="11"/>
            <color theme="1"/>
            <rFont val="Calibri"/>
            <family val="2"/>
            <scheme val="minor"/>
          </rPr>
          <t>Monto calculado automáticamente por el sistema</t>
        </r>
      </text>
    </comment>
    <comment ref="A1482" authorId="1" shapeId="0" xr:uid="{00000000-0006-0000-0100-0000DD040000}">
      <text>
        <r>
          <rPr>
            <sz val="11"/>
            <color theme="1"/>
            <rFont val="Calibri"/>
            <family val="2"/>
            <scheme val="minor"/>
          </rPr>
          <t>Introducir un texto con el nombre o referencia de la contratación</t>
        </r>
      </text>
    </comment>
    <comment ref="B1482" authorId="1" shapeId="0" xr:uid="{00000000-0006-0000-0100-0000DE040000}">
      <text>
        <r>
          <rPr>
            <sz val="11"/>
            <color theme="1"/>
            <rFont val="Calibri"/>
            <family val="2"/>
            <scheme val="minor"/>
          </rPr>
          <t>Introduzca un texto con la finalidad de la contratación</t>
        </r>
      </text>
    </comment>
    <comment ref="C1482" authorId="1" shapeId="0" xr:uid="{00000000-0006-0000-0100-0000DF040000}">
      <text>
        <r>
          <rPr>
            <sz val="11"/>
            <color theme="1"/>
            <rFont val="Calibri"/>
            <family val="2"/>
            <scheme val="minor"/>
          </rPr>
          <t>Seleccionar un valor del listado</t>
        </r>
      </text>
    </comment>
    <comment ref="D1482" authorId="1" shapeId="0" xr:uid="{00000000-0006-0000-0100-0000E0040000}">
      <text>
        <r>
          <rPr>
            <sz val="11"/>
            <color theme="1"/>
            <rFont val="Calibri"/>
            <family val="2"/>
            <scheme val="minor"/>
          </rPr>
          <t>Seleccione el tipo de procedimiento</t>
        </r>
      </text>
    </comment>
    <comment ref="E1482" authorId="1" shapeId="0" xr:uid="{00000000-0006-0000-0100-0000E1040000}">
      <text>
        <r>
          <rPr>
            <sz val="11"/>
            <color theme="1"/>
            <rFont val="Calibri"/>
            <family val="2"/>
            <scheme val="minor"/>
          </rPr>
          <t>Seleccione un valor de la lista</t>
        </r>
      </text>
    </comment>
    <comment ref="F1482" authorId="1" shapeId="0" xr:uid="{00000000-0006-0000-0100-0000E2040000}">
      <text>
        <r>
          <rPr>
            <sz val="11"/>
            <color theme="1"/>
            <rFont val="Calibri"/>
            <family val="2"/>
            <scheme val="minor"/>
          </rPr>
          <t>Introduzca el código SNIP</t>
        </r>
      </text>
    </comment>
    <comment ref="C1483" authorId="1" shapeId="0" xr:uid="{00000000-0006-0000-0100-0000E3040000}">
      <text>
        <r>
          <rPr>
            <sz val="11"/>
            <color theme="1"/>
            <rFont val="Calibri"/>
            <family val="2"/>
            <scheme val="minor"/>
          </rPr>
          <t>Introduzca la fecha de inicio del proceso, en formato dd-mm-aaaa</t>
        </r>
      </text>
    </comment>
    <comment ref="F1483"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4" authorId="1" shapeId="0" xr:uid="{00000000-0006-0000-0100-0000E6040000}">
      <text/>
    </comment>
    <comment ref="C1485" authorId="1" shapeId="0" xr:uid="{00000000-0006-0000-0100-0000E4040000}">
      <text>
        <r>
          <rPr>
            <sz val="11"/>
            <color theme="1"/>
            <rFont val="Calibri"/>
            <family val="2"/>
            <scheme val="minor"/>
          </rPr>
          <t>Introduzca la fecha prevista de adjudicación, en formato dd-mm-aaaa</t>
        </r>
      </text>
    </comment>
    <comment ref="F1485" authorId="1" shapeId="0" xr:uid="{00000000-0006-0000-0100-0000E7040000}">
      <text/>
    </comment>
    <comment ref="F1486" authorId="1" shapeId="0" xr:uid="{00000000-0006-0000-0100-0000E8040000}">
      <text/>
    </comment>
    <comment ref="A1488" authorId="1" shapeId="0" xr:uid="{00000000-0006-0000-0100-0000E9040000}">
      <text>
        <r>
          <rPr>
            <sz val="11"/>
            <color theme="1"/>
            <rFont val="Calibri"/>
            <family val="2"/>
            <scheme val="minor"/>
          </rPr>
          <t>Introduzca un codigo UNSPSC</t>
        </r>
      </text>
    </comment>
    <comment ref="B1488" authorId="1" shapeId="0" xr:uid="{00000000-0006-0000-0100-0000EA040000}">
      <text>
        <r>
          <rPr>
            <sz val="11"/>
            <color theme="1"/>
            <rFont val="Calibri"/>
            <family val="2"/>
            <scheme val="minor"/>
          </rPr>
          <t>Descripción calculada automáticamente a partir de código del artículo</t>
        </r>
      </text>
    </comment>
    <comment ref="C1488" authorId="1" shapeId="0" xr:uid="{00000000-0006-0000-0100-0000EB040000}">
      <text>
        <r>
          <rPr>
            <sz val="11"/>
            <color theme="1"/>
            <rFont val="Calibri"/>
            <family val="2"/>
            <scheme val="minor"/>
          </rPr>
          <t>Seleccione un valor de la lista</t>
        </r>
      </text>
    </comment>
    <comment ref="D1488" authorId="1" shapeId="0" xr:uid="{00000000-0006-0000-0100-0000EC040000}">
      <text>
        <r>
          <rPr>
            <sz val="11"/>
            <color theme="1"/>
            <rFont val="Calibri"/>
            <family val="2"/>
            <scheme val="minor"/>
          </rPr>
          <t>Introduzca un número con dos decimales como máximo. Debe ser igual o mayor a la "Cantidad Real Consumida"</t>
        </r>
      </text>
    </comment>
    <comment ref="E1488" authorId="1" shapeId="0" xr:uid="{00000000-0006-0000-0100-0000ED040000}">
      <text>
        <r>
          <rPr>
            <sz val="11"/>
            <color theme="1"/>
            <rFont val="Calibri"/>
            <family val="2"/>
            <scheme val="minor"/>
          </rPr>
          <t>Introduzca un número con dos decimales como máximo</t>
        </r>
      </text>
    </comment>
    <comment ref="F1488" authorId="1" shapeId="0" xr:uid="{00000000-0006-0000-0100-0000EE040000}">
      <text>
        <r>
          <rPr>
            <sz val="11"/>
            <color theme="1"/>
            <rFont val="Calibri"/>
            <family val="2"/>
            <scheme val="minor"/>
          </rPr>
          <t>Monto calculado automáticamente por el sistema</t>
        </r>
      </text>
    </comment>
    <comment ref="A1493" authorId="1" shapeId="0" xr:uid="{00000000-0006-0000-0100-0000EF040000}">
      <text>
        <r>
          <rPr>
            <sz val="11"/>
            <color theme="1"/>
            <rFont val="Calibri"/>
            <family val="2"/>
            <scheme val="minor"/>
          </rPr>
          <t>Introducir un texto con el nombre o referencia de la contratación</t>
        </r>
      </text>
    </comment>
    <comment ref="B1493" authorId="1" shapeId="0" xr:uid="{00000000-0006-0000-0100-0000F0040000}">
      <text>
        <r>
          <rPr>
            <sz val="11"/>
            <color theme="1"/>
            <rFont val="Calibri"/>
            <family val="2"/>
            <scheme val="minor"/>
          </rPr>
          <t>Introduzca un texto con la finalidad de la contratación</t>
        </r>
      </text>
    </comment>
    <comment ref="C1493" authorId="1" shapeId="0" xr:uid="{00000000-0006-0000-0100-0000F1040000}">
      <text>
        <r>
          <rPr>
            <sz val="11"/>
            <color theme="1"/>
            <rFont val="Calibri"/>
            <family val="2"/>
            <scheme val="minor"/>
          </rPr>
          <t>Seleccionar un valor del listado</t>
        </r>
      </text>
    </comment>
    <comment ref="D1493" authorId="1" shapeId="0" xr:uid="{00000000-0006-0000-0100-0000F2040000}">
      <text>
        <r>
          <rPr>
            <sz val="11"/>
            <color theme="1"/>
            <rFont val="Calibri"/>
            <family val="2"/>
            <scheme val="minor"/>
          </rPr>
          <t>Seleccione el tipo de procedimiento</t>
        </r>
      </text>
    </comment>
    <comment ref="E1493" authorId="1" shapeId="0" xr:uid="{00000000-0006-0000-0100-0000F3040000}">
      <text>
        <r>
          <rPr>
            <sz val="11"/>
            <color theme="1"/>
            <rFont val="Calibri"/>
            <family val="2"/>
            <scheme val="minor"/>
          </rPr>
          <t>Seleccione un valor de la lista</t>
        </r>
      </text>
    </comment>
    <comment ref="F1493" authorId="1" shapeId="0" xr:uid="{00000000-0006-0000-0100-0000F4040000}">
      <text>
        <r>
          <rPr>
            <sz val="11"/>
            <color theme="1"/>
            <rFont val="Calibri"/>
            <family val="2"/>
            <scheme val="minor"/>
          </rPr>
          <t>Introduzca el código SNIP</t>
        </r>
      </text>
    </comment>
    <comment ref="C1494" authorId="1" shapeId="0" xr:uid="{00000000-0006-0000-0100-0000F5040000}">
      <text>
        <r>
          <rPr>
            <sz val="11"/>
            <color theme="1"/>
            <rFont val="Calibri"/>
            <family val="2"/>
            <scheme val="minor"/>
          </rPr>
          <t>Introduzca la fecha de inicio del proceso, en formato dd-mm-aaaa</t>
        </r>
      </text>
    </comment>
    <comment ref="F1494"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5" authorId="1" shapeId="0" xr:uid="{00000000-0006-0000-0100-0000F8040000}">
      <text/>
    </comment>
    <comment ref="C1496" authorId="1" shapeId="0" xr:uid="{00000000-0006-0000-0100-0000F6040000}">
      <text>
        <r>
          <rPr>
            <sz val="11"/>
            <color theme="1"/>
            <rFont val="Calibri"/>
            <family val="2"/>
            <scheme val="minor"/>
          </rPr>
          <t>Introduzca la fecha prevista de adjudicación, en formato dd-mm-aaaa</t>
        </r>
      </text>
    </comment>
    <comment ref="F1496" authorId="1" shapeId="0" xr:uid="{00000000-0006-0000-0100-0000F9040000}">
      <text/>
    </comment>
    <comment ref="F1497" authorId="1" shapeId="0" xr:uid="{00000000-0006-0000-0100-0000FA040000}">
      <text/>
    </comment>
    <comment ref="A1499" authorId="1" shapeId="0" xr:uid="{00000000-0006-0000-0100-0000FB040000}">
      <text>
        <r>
          <rPr>
            <sz val="11"/>
            <color theme="1"/>
            <rFont val="Calibri"/>
            <family val="2"/>
            <scheme val="minor"/>
          </rPr>
          <t>Introduzca un codigo UNSPSC</t>
        </r>
      </text>
    </comment>
    <comment ref="B1499" authorId="1" shapeId="0" xr:uid="{00000000-0006-0000-0100-0000FC040000}">
      <text>
        <r>
          <rPr>
            <sz val="11"/>
            <color theme="1"/>
            <rFont val="Calibri"/>
            <family val="2"/>
            <scheme val="minor"/>
          </rPr>
          <t>Descripción calculada automáticamente a partir de código del artículo</t>
        </r>
      </text>
    </comment>
    <comment ref="C1499" authorId="1" shapeId="0" xr:uid="{00000000-0006-0000-0100-0000FD040000}">
      <text>
        <r>
          <rPr>
            <sz val="11"/>
            <color theme="1"/>
            <rFont val="Calibri"/>
            <family val="2"/>
            <scheme val="minor"/>
          </rPr>
          <t>Seleccione un valor de la lista</t>
        </r>
      </text>
    </comment>
    <comment ref="D1499" authorId="1" shapeId="0" xr:uid="{00000000-0006-0000-0100-0000FE040000}">
      <text>
        <r>
          <rPr>
            <sz val="11"/>
            <color theme="1"/>
            <rFont val="Calibri"/>
            <family val="2"/>
            <scheme val="minor"/>
          </rPr>
          <t>Introduzca un número con dos decimales como máximo. Debe ser igual o mayor a la "Cantidad Real Consumida"</t>
        </r>
      </text>
    </comment>
    <comment ref="E1499" authorId="1" shapeId="0" xr:uid="{00000000-0006-0000-0100-0000FF040000}">
      <text>
        <r>
          <rPr>
            <sz val="11"/>
            <color theme="1"/>
            <rFont val="Calibri"/>
            <family val="2"/>
            <scheme val="minor"/>
          </rPr>
          <t>Introduzca un número con dos decimales como máximo</t>
        </r>
      </text>
    </comment>
    <comment ref="F1499" authorId="1" shapeId="0" xr:uid="{00000000-0006-0000-0100-000000050000}">
      <text>
        <r>
          <rPr>
            <sz val="11"/>
            <color theme="1"/>
            <rFont val="Calibri"/>
            <family val="2"/>
            <scheme val="minor"/>
          </rPr>
          <t>Monto calculado automáticamente por el sistema</t>
        </r>
      </text>
    </comment>
    <comment ref="A1523" authorId="1" shapeId="0" xr:uid="{00000000-0006-0000-0100-000001050000}">
      <text>
        <r>
          <rPr>
            <sz val="11"/>
            <color theme="1"/>
            <rFont val="Calibri"/>
            <family val="2"/>
            <scheme val="minor"/>
          </rPr>
          <t>Introducir un texto con el nombre o referencia de la contratación</t>
        </r>
      </text>
    </comment>
    <comment ref="B1523" authorId="1" shapeId="0" xr:uid="{00000000-0006-0000-0100-000002050000}">
      <text>
        <r>
          <rPr>
            <sz val="11"/>
            <color theme="1"/>
            <rFont val="Calibri"/>
            <family val="2"/>
            <scheme val="minor"/>
          </rPr>
          <t>Introduzca un texto con la finalidad de la contratación</t>
        </r>
      </text>
    </comment>
    <comment ref="C1523" authorId="1" shapeId="0" xr:uid="{00000000-0006-0000-0100-000003050000}">
      <text>
        <r>
          <rPr>
            <sz val="11"/>
            <color theme="1"/>
            <rFont val="Calibri"/>
            <family val="2"/>
            <scheme val="minor"/>
          </rPr>
          <t>Seleccionar un valor del listado</t>
        </r>
      </text>
    </comment>
    <comment ref="D1523" authorId="1" shapeId="0" xr:uid="{00000000-0006-0000-0100-000004050000}">
      <text>
        <r>
          <rPr>
            <sz val="11"/>
            <color theme="1"/>
            <rFont val="Calibri"/>
            <family val="2"/>
            <scheme val="minor"/>
          </rPr>
          <t>Seleccione el tipo de procedimiento</t>
        </r>
      </text>
    </comment>
    <comment ref="E1523" authorId="1" shapeId="0" xr:uid="{00000000-0006-0000-0100-000005050000}">
      <text>
        <r>
          <rPr>
            <sz val="11"/>
            <color theme="1"/>
            <rFont val="Calibri"/>
            <family val="2"/>
            <scheme val="minor"/>
          </rPr>
          <t>Seleccione un valor de la lista</t>
        </r>
      </text>
    </comment>
    <comment ref="F1523" authorId="1" shapeId="0" xr:uid="{00000000-0006-0000-0100-000006050000}">
      <text>
        <r>
          <rPr>
            <sz val="11"/>
            <color theme="1"/>
            <rFont val="Calibri"/>
            <family val="2"/>
            <scheme val="minor"/>
          </rPr>
          <t>Introduzca el código SNIP</t>
        </r>
      </text>
    </comment>
    <comment ref="C1524" authorId="1" shapeId="0" xr:uid="{00000000-0006-0000-0100-000007050000}">
      <text>
        <r>
          <rPr>
            <sz val="11"/>
            <color theme="1"/>
            <rFont val="Calibri"/>
            <family val="2"/>
            <scheme val="minor"/>
          </rPr>
          <t>Introduzca la fecha de inicio del proceso, en formato dd-mm-aaaa</t>
        </r>
      </text>
    </comment>
    <comment ref="F1524"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5" authorId="1" shapeId="0" xr:uid="{00000000-0006-0000-0100-00000A050000}">
      <text/>
    </comment>
    <comment ref="C1526" authorId="1" shapeId="0" xr:uid="{00000000-0006-0000-0100-000008050000}">
      <text>
        <r>
          <rPr>
            <sz val="11"/>
            <color theme="1"/>
            <rFont val="Calibri"/>
            <family val="2"/>
            <scheme val="minor"/>
          </rPr>
          <t>Introduzca la fecha prevista de adjudicación, en formato dd-mm-aaaa</t>
        </r>
      </text>
    </comment>
    <comment ref="F1526" authorId="1" shapeId="0" xr:uid="{00000000-0006-0000-0100-00000B050000}">
      <text/>
    </comment>
    <comment ref="F1527" authorId="1" shapeId="0" xr:uid="{00000000-0006-0000-0100-00000C050000}">
      <text/>
    </comment>
    <comment ref="A1529" authorId="1" shapeId="0" xr:uid="{00000000-0006-0000-0100-00000D050000}">
      <text>
        <r>
          <rPr>
            <sz val="11"/>
            <color theme="1"/>
            <rFont val="Calibri"/>
            <family val="2"/>
            <scheme val="minor"/>
          </rPr>
          <t>Introduzca un codigo UNSPSC</t>
        </r>
      </text>
    </comment>
    <comment ref="B1529" authorId="1" shapeId="0" xr:uid="{00000000-0006-0000-0100-00000E050000}">
      <text>
        <r>
          <rPr>
            <sz val="11"/>
            <color theme="1"/>
            <rFont val="Calibri"/>
            <family val="2"/>
            <scheme val="minor"/>
          </rPr>
          <t>Descripción calculada automáticamente a partir de código del artículo</t>
        </r>
      </text>
    </comment>
    <comment ref="C1529" authorId="1" shapeId="0" xr:uid="{00000000-0006-0000-0100-00000F050000}">
      <text>
        <r>
          <rPr>
            <sz val="11"/>
            <color theme="1"/>
            <rFont val="Calibri"/>
            <family val="2"/>
            <scheme val="minor"/>
          </rPr>
          <t>Seleccione un valor de la lista</t>
        </r>
      </text>
    </comment>
    <comment ref="D1529" authorId="1" shapeId="0" xr:uid="{00000000-0006-0000-0100-000010050000}">
      <text>
        <r>
          <rPr>
            <sz val="11"/>
            <color theme="1"/>
            <rFont val="Calibri"/>
            <family val="2"/>
            <scheme val="minor"/>
          </rPr>
          <t>Introduzca un número con dos decimales como máximo. Debe ser igual o mayor a la "Cantidad Real Consumida"</t>
        </r>
      </text>
    </comment>
    <comment ref="E1529" authorId="1" shapeId="0" xr:uid="{00000000-0006-0000-0100-000011050000}">
      <text>
        <r>
          <rPr>
            <sz val="11"/>
            <color theme="1"/>
            <rFont val="Calibri"/>
            <family val="2"/>
            <scheme val="minor"/>
          </rPr>
          <t>Introduzca un número con dos decimales como máximo</t>
        </r>
      </text>
    </comment>
    <comment ref="F1529" authorId="1" shapeId="0" xr:uid="{00000000-0006-0000-0100-000012050000}">
      <text>
        <r>
          <rPr>
            <sz val="11"/>
            <color theme="1"/>
            <rFont val="Calibri"/>
            <family val="2"/>
            <scheme val="minor"/>
          </rPr>
          <t>Monto calculado automáticamente por el sistema</t>
        </r>
      </text>
    </comment>
    <comment ref="A1540" authorId="1" shapeId="0" xr:uid="{00000000-0006-0000-0100-000013050000}">
      <text>
        <r>
          <rPr>
            <sz val="11"/>
            <color theme="1"/>
            <rFont val="Calibri"/>
            <family val="2"/>
            <scheme val="minor"/>
          </rPr>
          <t>Introducir un texto con el nombre o referencia de la contratación</t>
        </r>
      </text>
    </comment>
    <comment ref="B1540" authorId="1" shapeId="0" xr:uid="{00000000-0006-0000-0100-000014050000}">
      <text>
        <r>
          <rPr>
            <sz val="11"/>
            <color theme="1"/>
            <rFont val="Calibri"/>
            <family val="2"/>
            <scheme val="minor"/>
          </rPr>
          <t>Introduzca un texto con la finalidad de la contratación</t>
        </r>
      </text>
    </comment>
    <comment ref="C1540" authorId="1" shapeId="0" xr:uid="{00000000-0006-0000-0100-000015050000}">
      <text>
        <r>
          <rPr>
            <sz val="11"/>
            <color theme="1"/>
            <rFont val="Calibri"/>
            <family val="2"/>
            <scheme val="minor"/>
          </rPr>
          <t>Seleccionar un valor del listado</t>
        </r>
      </text>
    </comment>
    <comment ref="D1540" authorId="1" shapeId="0" xr:uid="{00000000-0006-0000-0100-000016050000}">
      <text>
        <r>
          <rPr>
            <sz val="11"/>
            <color theme="1"/>
            <rFont val="Calibri"/>
            <family val="2"/>
            <scheme val="minor"/>
          </rPr>
          <t>Seleccione el tipo de procedimiento</t>
        </r>
      </text>
    </comment>
    <comment ref="E1540" authorId="1" shapeId="0" xr:uid="{00000000-0006-0000-0100-000017050000}">
      <text>
        <r>
          <rPr>
            <sz val="11"/>
            <color theme="1"/>
            <rFont val="Calibri"/>
            <family val="2"/>
            <scheme val="minor"/>
          </rPr>
          <t>Seleccione un valor de la lista</t>
        </r>
      </text>
    </comment>
    <comment ref="F1540" authorId="1" shapeId="0" xr:uid="{00000000-0006-0000-0100-000018050000}">
      <text>
        <r>
          <rPr>
            <sz val="11"/>
            <color theme="1"/>
            <rFont val="Calibri"/>
            <family val="2"/>
            <scheme val="minor"/>
          </rPr>
          <t>Introduzca el código SNIP</t>
        </r>
      </text>
    </comment>
    <comment ref="C1541" authorId="1" shapeId="0" xr:uid="{00000000-0006-0000-0100-000019050000}">
      <text>
        <r>
          <rPr>
            <sz val="11"/>
            <color theme="1"/>
            <rFont val="Calibri"/>
            <family val="2"/>
            <scheme val="minor"/>
          </rPr>
          <t>Introduzca la fecha de inicio del proceso, en formato dd-mm-aaaa</t>
        </r>
      </text>
    </comment>
    <comment ref="F1541"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2" authorId="1" shapeId="0" xr:uid="{00000000-0006-0000-0100-00001C050000}">
      <text/>
    </comment>
    <comment ref="C1543" authorId="1" shapeId="0" xr:uid="{00000000-0006-0000-0100-00001A050000}">
      <text>
        <r>
          <rPr>
            <sz val="11"/>
            <color theme="1"/>
            <rFont val="Calibri"/>
            <family val="2"/>
            <scheme val="minor"/>
          </rPr>
          <t>Introduzca la fecha prevista de adjudicación, en formato dd-mm-aaaa</t>
        </r>
      </text>
    </comment>
    <comment ref="F1543" authorId="1" shapeId="0" xr:uid="{00000000-0006-0000-0100-00001D050000}">
      <text/>
    </comment>
    <comment ref="F1544" authorId="1" shapeId="0" xr:uid="{00000000-0006-0000-0100-00001E050000}">
      <text/>
    </comment>
    <comment ref="A1546" authorId="1" shapeId="0" xr:uid="{00000000-0006-0000-0100-00001F050000}">
      <text>
        <r>
          <rPr>
            <sz val="11"/>
            <color theme="1"/>
            <rFont val="Calibri"/>
            <family val="2"/>
            <scheme val="minor"/>
          </rPr>
          <t>Introduzca un codigo UNSPSC</t>
        </r>
      </text>
    </comment>
    <comment ref="B1546" authorId="1" shapeId="0" xr:uid="{00000000-0006-0000-0100-000020050000}">
      <text>
        <r>
          <rPr>
            <sz val="11"/>
            <color theme="1"/>
            <rFont val="Calibri"/>
            <family val="2"/>
            <scheme val="minor"/>
          </rPr>
          <t>Descripción calculada automáticamente a partir de código del artículo</t>
        </r>
      </text>
    </comment>
    <comment ref="C1546" authorId="1" shapeId="0" xr:uid="{00000000-0006-0000-0100-000021050000}">
      <text>
        <r>
          <rPr>
            <sz val="11"/>
            <color theme="1"/>
            <rFont val="Calibri"/>
            <family val="2"/>
            <scheme val="minor"/>
          </rPr>
          <t>Seleccione un valor de la lista</t>
        </r>
      </text>
    </comment>
    <comment ref="D1546" authorId="1" shapeId="0" xr:uid="{00000000-0006-0000-0100-000022050000}">
      <text>
        <r>
          <rPr>
            <sz val="11"/>
            <color theme="1"/>
            <rFont val="Calibri"/>
            <family val="2"/>
            <scheme val="minor"/>
          </rPr>
          <t>Introduzca un número con dos decimales como máximo. Debe ser igual o mayor a la "Cantidad Real Consumida"</t>
        </r>
      </text>
    </comment>
    <comment ref="E1546" authorId="1" shapeId="0" xr:uid="{00000000-0006-0000-0100-000023050000}">
      <text>
        <r>
          <rPr>
            <sz val="11"/>
            <color theme="1"/>
            <rFont val="Calibri"/>
            <family val="2"/>
            <scheme val="minor"/>
          </rPr>
          <t>Introduzca un número con dos decimales como máximo</t>
        </r>
      </text>
    </comment>
    <comment ref="F1546" authorId="1" shapeId="0" xr:uid="{00000000-0006-0000-0100-000024050000}">
      <text>
        <r>
          <rPr>
            <sz val="11"/>
            <color theme="1"/>
            <rFont val="Calibri"/>
            <family val="2"/>
            <scheme val="minor"/>
          </rPr>
          <t>Monto calculado automáticamente por el sistema</t>
        </r>
      </text>
    </comment>
    <comment ref="A1555" authorId="1" shapeId="0" xr:uid="{00000000-0006-0000-0100-000025050000}">
      <text>
        <r>
          <rPr>
            <sz val="11"/>
            <color theme="1"/>
            <rFont val="Calibri"/>
            <family val="2"/>
            <scheme val="minor"/>
          </rPr>
          <t>Introducir un texto con el nombre o referencia de la contratación</t>
        </r>
      </text>
    </comment>
    <comment ref="B1555" authorId="1" shapeId="0" xr:uid="{00000000-0006-0000-0100-000026050000}">
      <text>
        <r>
          <rPr>
            <sz val="11"/>
            <color theme="1"/>
            <rFont val="Calibri"/>
            <family val="2"/>
            <scheme val="minor"/>
          </rPr>
          <t>Introduzca un texto con la finalidad de la contratación</t>
        </r>
      </text>
    </comment>
    <comment ref="C1555" authorId="1" shapeId="0" xr:uid="{00000000-0006-0000-0100-000027050000}">
      <text>
        <r>
          <rPr>
            <sz val="11"/>
            <color theme="1"/>
            <rFont val="Calibri"/>
            <family val="2"/>
            <scheme val="minor"/>
          </rPr>
          <t>Seleccionar un valor del listado</t>
        </r>
      </text>
    </comment>
    <comment ref="D1555" authorId="1" shapeId="0" xr:uid="{00000000-0006-0000-0100-000028050000}">
      <text>
        <r>
          <rPr>
            <sz val="11"/>
            <color theme="1"/>
            <rFont val="Calibri"/>
            <family val="2"/>
            <scheme val="minor"/>
          </rPr>
          <t>Seleccione el tipo de procedimiento</t>
        </r>
      </text>
    </comment>
    <comment ref="E1555" authorId="1" shapeId="0" xr:uid="{00000000-0006-0000-0100-000029050000}">
      <text>
        <r>
          <rPr>
            <sz val="11"/>
            <color theme="1"/>
            <rFont val="Calibri"/>
            <family val="2"/>
            <scheme val="minor"/>
          </rPr>
          <t>Seleccione un valor de la lista</t>
        </r>
      </text>
    </comment>
    <comment ref="F1555" authorId="1" shapeId="0" xr:uid="{00000000-0006-0000-0100-00002A050000}">
      <text>
        <r>
          <rPr>
            <sz val="11"/>
            <color theme="1"/>
            <rFont val="Calibri"/>
            <family val="2"/>
            <scheme val="minor"/>
          </rPr>
          <t>Introduzca el código SNIP</t>
        </r>
      </text>
    </comment>
    <comment ref="C1556" authorId="1" shapeId="0" xr:uid="{00000000-0006-0000-0100-00002B050000}">
      <text>
        <r>
          <rPr>
            <sz val="11"/>
            <color theme="1"/>
            <rFont val="Calibri"/>
            <family val="2"/>
            <scheme val="minor"/>
          </rPr>
          <t>Introduzca la fecha de inicio del proceso, en formato dd-mm-aaaa</t>
        </r>
      </text>
    </comment>
    <comment ref="F1556"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7" authorId="1" shapeId="0" xr:uid="{00000000-0006-0000-0100-00002E050000}">
      <text/>
    </comment>
    <comment ref="C1558" authorId="1" shapeId="0" xr:uid="{00000000-0006-0000-0100-00002C050000}">
      <text>
        <r>
          <rPr>
            <sz val="11"/>
            <color theme="1"/>
            <rFont val="Calibri"/>
            <family val="2"/>
            <scheme val="minor"/>
          </rPr>
          <t>Introduzca la fecha prevista de adjudicación, en formato dd-mm-aaaa</t>
        </r>
      </text>
    </comment>
    <comment ref="F1558" authorId="1" shapeId="0" xr:uid="{00000000-0006-0000-0100-00002F050000}">
      <text/>
    </comment>
    <comment ref="F1559" authorId="1" shapeId="0" xr:uid="{00000000-0006-0000-0100-000030050000}">
      <text/>
    </comment>
    <comment ref="A1561" authorId="1" shapeId="0" xr:uid="{00000000-0006-0000-0100-000031050000}">
      <text>
        <r>
          <rPr>
            <sz val="11"/>
            <color theme="1"/>
            <rFont val="Calibri"/>
            <family val="2"/>
            <scheme val="minor"/>
          </rPr>
          <t>Introduzca un codigo UNSPSC</t>
        </r>
      </text>
    </comment>
    <comment ref="B1561" authorId="1" shapeId="0" xr:uid="{00000000-0006-0000-0100-000032050000}">
      <text>
        <r>
          <rPr>
            <sz val="11"/>
            <color theme="1"/>
            <rFont val="Calibri"/>
            <family val="2"/>
            <scheme val="minor"/>
          </rPr>
          <t>Descripción calculada automáticamente a partir de código del artículo</t>
        </r>
      </text>
    </comment>
    <comment ref="C1561" authorId="1" shapeId="0" xr:uid="{00000000-0006-0000-0100-000033050000}">
      <text>
        <r>
          <rPr>
            <sz val="11"/>
            <color theme="1"/>
            <rFont val="Calibri"/>
            <family val="2"/>
            <scheme val="minor"/>
          </rPr>
          <t>Seleccione un valor de la lista</t>
        </r>
      </text>
    </comment>
    <comment ref="D1561" authorId="1" shapeId="0" xr:uid="{00000000-0006-0000-0100-000034050000}">
      <text>
        <r>
          <rPr>
            <sz val="11"/>
            <color theme="1"/>
            <rFont val="Calibri"/>
            <family val="2"/>
            <scheme val="minor"/>
          </rPr>
          <t>Introduzca un número con dos decimales como máximo. Debe ser igual o mayor a la "Cantidad Real Consumida"</t>
        </r>
      </text>
    </comment>
    <comment ref="E1561" authorId="1" shapeId="0" xr:uid="{00000000-0006-0000-0100-000035050000}">
      <text>
        <r>
          <rPr>
            <sz val="11"/>
            <color theme="1"/>
            <rFont val="Calibri"/>
            <family val="2"/>
            <scheme val="minor"/>
          </rPr>
          <t>Introduzca un número con dos decimales como máximo</t>
        </r>
      </text>
    </comment>
    <comment ref="F1561" authorId="1" shapeId="0" xr:uid="{00000000-0006-0000-0100-000036050000}">
      <text>
        <r>
          <rPr>
            <sz val="11"/>
            <color theme="1"/>
            <rFont val="Calibri"/>
            <family val="2"/>
            <scheme val="minor"/>
          </rPr>
          <t>Monto calculado automáticamente por el sistema</t>
        </r>
      </text>
    </comment>
    <comment ref="A1566" authorId="1" shapeId="0" xr:uid="{00000000-0006-0000-0100-000037050000}">
      <text>
        <r>
          <rPr>
            <sz val="11"/>
            <color theme="1"/>
            <rFont val="Calibri"/>
            <family val="2"/>
            <scheme val="minor"/>
          </rPr>
          <t>Introducir un texto con el nombre o referencia de la contratación</t>
        </r>
      </text>
    </comment>
    <comment ref="B1566" authorId="1" shapeId="0" xr:uid="{00000000-0006-0000-0100-000038050000}">
      <text>
        <r>
          <rPr>
            <sz val="11"/>
            <color theme="1"/>
            <rFont val="Calibri"/>
            <family val="2"/>
            <scheme val="minor"/>
          </rPr>
          <t>Introduzca un texto con la finalidad de la contratación</t>
        </r>
      </text>
    </comment>
    <comment ref="C1566" authorId="1" shapeId="0" xr:uid="{00000000-0006-0000-0100-000039050000}">
      <text>
        <r>
          <rPr>
            <sz val="11"/>
            <color theme="1"/>
            <rFont val="Calibri"/>
            <family val="2"/>
            <scheme val="minor"/>
          </rPr>
          <t>Seleccionar un valor del listado</t>
        </r>
      </text>
    </comment>
    <comment ref="D1566" authorId="1" shapeId="0" xr:uid="{00000000-0006-0000-0100-00003A050000}">
      <text>
        <r>
          <rPr>
            <sz val="11"/>
            <color theme="1"/>
            <rFont val="Calibri"/>
            <family val="2"/>
            <scheme val="minor"/>
          </rPr>
          <t>Seleccione el tipo de procedimiento</t>
        </r>
      </text>
    </comment>
    <comment ref="E1566" authorId="1" shapeId="0" xr:uid="{00000000-0006-0000-0100-00003B050000}">
      <text>
        <r>
          <rPr>
            <sz val="11"/>
            <color theme="1"/>
            <rFont val="Calibri"/>
            <family val="2"/>
            <scheme val="minor"/>
          </rPr>
          <t>Seleccione un valor de la lista</t>
        </r>
      </text>
    </comment>
    <comment ref="F1566" authorId="1" shapeId="0" xr:uid="{00000000-0006-0000-0100-00003C050000}">
      <text>
        <r>
          <rPr>
            <sz val="11"/>
            <color theme="1"/>
            <rFont val="Calibri"/>
            <family val="2"/>
            <scheme val="minor"/>
          </rPr>
          <t>Introduzca el código SNIP</t>
        </r>
      </text>
    </comment>
    <comment ref="C1567" authorId="1" shapeId="0" xr:uid="{00000000-0006-0000-0100-00003D050000}">
      <text>
        <r>
          <rPr>
            <sz val="11"/>
            <color theme="1"/>
            <rFont val="Calibri"/>
            <family val="2"/>
            <scheme val="minor"/>
          </rPr>
          <t>Introduzca la fecha de inicio del proceso, en formato dd-mm-aaaa</t>
        </r>
      </text>
    </comment>
    <comment ref="F1567"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8" authorId="1" shapeId="0" xr:uid="{00000000-0006-0000-0100-000040050000}">
      <text/>
    </comment>
    <comment ref="C1569" authorId="1" shapeId="0" xr:uid="{00000000-0006-0000-0100-00003E050000}">
      <text>
        <r>
          <rPr>
            <sz val="11"/>
            <color theme="1"/>
            <rFont val="Calibri"/>
            <family val="2"/>
            <scheme val="minor"/>
          </rPr>
          <t>Introduzca la fecha prevista de adjudicación, en formato dd-mm-aaaa</t>
        </r>
      </text>
    </comment>
    <comment ref="F1569" authorId="1" shapeId="0" xr:uid="{00000000-0006-0000-0100-000041050000}">
      <text/>
    </comment>
    <comment ref="F1570" authorId="1" shapeId="0" xr:uid="{00000000-0006-0000-0100-000042050000}">
      <text/>
    </comment>
    <comment ref="A1572" authorId="1" shapeId="0" xr:uid="{00000000-0006-0000-0100-000043050000}">
      <text>
        <r>
          <rPr>
            <sz val="11"/>
            <color theme="1"/>
            <rFont val="Calibri"/>
            <family val="2"/>
            <scheme val="minor"/>
          </rPr>
          <t>Introduzca un codigo UNSPSC</t>
        </r>
      </text>
    </comment>
    <comment ref="B1572" authorId="1" shapeId="0" xr:uid="{00000000-0006-0000-0100-000044050000}">
      <text>
        <r>
          <rPr>
            <sz val="11"/>
            <color theme="1"/>
            <rFont val="Calibri"/>
            <family val="2"/>
            <scheme val="minor"/>
          </rPr>
          <t>Descripción calculada automáticamente a partir de código del artículo</t>
        </r>
      </text>
    </comment>
    <comment ref="C1572" authorId="1" shapeId="0" xr:uid="{00000000-0006-0000-0100-000045050000}">
      <text>
        <r>
          <rPr>
            <sz val="11"/>
            <color theme="1"/>
            <rFont val="Calibri"/>
            <family val="2"/>
            <scheme val="minor"/>
          </rPr>
          <t>Seleccione un valor de la lista</t>
        </r>
      </text>
    </comment>
    <comment ref="D1572" authorId="1" shapeId="0" xr:uid="{00000000-0006-0000-0100-000046050000}">
      <text>
        <r>
          <rPr>
            <sz val="11"/>
            <color theme="1"/>
            <rFont val="Calibri"/>
            <family val="2"/>
            <scheme val="minor"/>
          </rPr>
          <t>Introduzca un número con dos decimales como máximo. Debe ser igual o mayor a la "Cantidad Real Consumida"</t>
        </r>
      </text>
    </comment>
    <comment ref="E1572" authorId="1" shapeId="0" xr:uid="{00000000-0006-0000-0100-000047050000}">
      <text>
        <r>
          <rPr>
            <sz val="11"/>
            <color theme="1"/>
            <rFont val="Calibri"/>
            <family val="2"/>
            <scheme val="minor"/>
          </rPr>
          <t>Introduzca un número con dos decimales como máximo</t>
        </r>
      </text>
    </comment>
    <comment ref="F1572" authorId="1" shapeId="0" xr:uid="{00000000-0006-0000-0100-000048050000}">
      <text>
        <r>
          <rPr>
            <sz val="11"/>
            <color theme="1"/>
            <rFont val="Calibri"/>
            <family val="2"/>
            <scheme val="minor"/>
          </rPr>
          <t>Monto calculado automáticamente por el sistema</t>
        </r>
      </text>
    </comment>
    <comment ref="A1590" authorId="1" shapeId="0" xr:uid="{00000000-0006-0000-0100-000049050000}">
      <text>
        <r>
          <rPr>
            <sz val="11"/>
            <color theme="1"/>
            <rFont val="Calibri"/>
            <family val="2"/>
            <scheme val="minor"/>
          </rPr>
          <t>Introducir un texto con el nombre o referencia de la contratación</t>
        </r>
      </text>
    </comment>
    <comment ref="B1590" authorId="1" shapeId="0" xr:uid="{00000000-0006-0000-0100-00004A050000}">
      <text>
        <r>
          <rPr>
            <sz val="11"/>
            <color theme="1"/>
            <rFont val="Calibri"/>
            <family val="2"/>
            <scheme val="minor"/>
          </rPr>
          <t>Introduzca un texto con la finalidad de la contratación</t>
        </r>
      </text>
    </comment>
    <comment ref="C1590" authorId="1" shapeId="0" xr:uid="{00000000-0006-0000-0100-00004B050000}">
      <text>
        <r>
          <rPr>
            <sz val="11"/>
            <color theme="1"/>
            <rFont val="Calibri"/>
            <family val="2"/>
            <scheme val="minor"/>
          </rPr>
          <t>Seleccionar un valor del listado</t>
        </r>
      </text>
    </comment>
    <comment ref="D1590" authorId="1" shapeId="0" xr:uid="{00000000-0006-0000-0100-00004C050000}">
      <text>
        <r>
          <rPr>
            <sz val="11"/>
            <color theme="1"/>
            <rFont val="Calibri"/>
            <family val="2"/>
            <scheme val="minor"/>
          </rPr>
          <t>Seleccione el tipo de procedimiento</t>
        </r>
      </text>
    </comment>
    <comment ref="E1590" authorId="1" shapeId="0" xr:uid="{00000000-0006-0000-0100-00004D050000}">
      <text>
        <r>
          <rPr>
            <sz val="11"/>
            <color theme="1"/>
            <rFont val="Calibri"/>
            <family val="2"/>
            <scheme val="minor"/>
          </rPr>
          <t>Seleccione un valor de la lista</t>
        </r>
      </text>
    </comment>
    <comment ref="F1590" authorId="1" shapeId="0" xr:uid="{00000000-0006-0000-0100-00004E050000}">
      <text>
        <r>
          <rPr>
            <sz val="11"/>
            <color theme="1"/>
            <rFont val="Calibri"/>
            <family val="2"/>
            <scheme val="minor"/>
          </rPr>
          <t>Introduzca el código SNIP</t>
        </r>
      </text>
    </comment>
    <comment ref="C1591" authorId="1" shapeId="0" xr:uid="{00000000-0006-0000-0100-00004F050000}">
      <text>
        <r>
          <rPr>
            <sz val="11"/>
            <color theme="1"/>
            <rFont val="Calibri"/>
            <family val="2"/>
            <scheme val="minor"/>
          </rPr>
          <t>Introduzca la fecha de inicio del proceso, en formato dd-mm-aaaa</t>
        </r>
      </text>
    </comment>
    <comment ref="F1591"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2" authorId="1" shapeId="0" xr:uid="{00000000-0006-0000-0100-000052050000}">
      <text/>
    </comment>
    <comment ref="C1593" authorId="1" shapeId="0" xr:uid="{00000000-0006-0000-0100-000050050000}">
      <text>
        <r>
          <rPr>
            <sz val="11"/>
            <color theme="1"/>
            <rFont val="Calibri"/>
            <family val="2"/>
            <scheme val="minor"/>
          </rPr>
          <t>Introduzca la fecha prevista de adjudicación, en formato dd-mm-aaaa</t>
        </r>
      </text>
    </comment>
    <comment ref="F1593" authorId="1" shapeId="0" xr:uid="{00000000-0006-0000-0100-000053050000}">
      <text/>
    </comment>
    <comment ref="F1594" authorId="1" shapeId="0" xr:uid="{00000000-0006-0000-0100-000054050000}">
      <text/>
    </comment>
    <comment ref="A1596" authorId="1" shapeId="0" xr:uid="{00000000-0006-0000-0100-000055050000}">
      <text>
        <r>
          <rPr>
            <sz val="11"/>
            <color theme="1"/>
            <rFont val="Calibri"/>
            <family val="2"/>
            <scheme val="minor"/>
          </rPr>
          <t>Introduzca un codigo UNSPSC</t>
        </r>
      </text>
    </comment>
    <comment ref="B1596" authorId="1" shapeId="0" xr:uid="{00000000-0006-0000-0100-000056050000}">
      <text>
        <r>
          <rPr>
            <sz val="11"/>
            <color theme="1"/>
            <rFont val="Calibri"/>
            <family val="2"/>
            <scheme val="minor"/>
          </rPr>
          <t>Descripción calculada automáticamente a partir de código del artículo</t>
        </r>
      </text>
    </comment>
    <comment ref="C1596" authorId="1" shapeId="0" xr:uid="{00000000-0006-0000-0100-000057050000}">
      <text>
        <r>
          <rPr>
            <sz val="11"/>
            <color theme="1"/>
            <rFont val="Calibri"/>
            <family val="2"/>
            <scheme val="minor"/>
          </rPr>
          <t>Seleccione un valor de la lista</t>
        </r>
      </text>
    </comment>
    <comment ref="D1596" authorId="1" shapeId="0" xr:uid="{00000000-0006-0000-0100-000058050000}">
      <text>
        <r>
          <rPr>
            <sz val="11"/>
            <color theme="1"/>
            <rFont val="Calibri"/>
            <family val="2"/>
            <scheme val="minor"/>
          </rPr>
          <t>Introduzca un número con dos decimales como máximo. Debe ser igual o mayor a la "Cantidad Real Consumida"</t>
        </r>
      </text>
    </comment>
    <comment ref="E1596" authorId="1" shapeId="0" xr:uid="{00000000-0006-0000-0100-000059050000}">
      <text>
        <r>
          <rPr>
            <sz val="11"/>
            <color theme="1"/>
            <rFont val="Calibri"/>
            <family val="2"/>
            <scheme val="minor"/>
          </rPr>
          <t>Introduzca un número con dos decimales como máximo</t>
        </r>
      </text>
    </comment>
    <comment ref="F1596" authorId="1" shapeId="0" xr:uid="{00000000-0006-0000-0100-00005A050000}">
      <text>
        <r>
          <rPr>
            <sz val="11"/>
            <color theme="1"/>
            <rFont val="Calibri"/>
            <family val="2"/>
            <scheme val="minor"/>
          </rPr>
          <t>Monto calculado automáticamente por el sistema</t>
        </r>
      </text>
    </comment>
    <comment ref="A1609" authorId="1" shapeId="0" xr:uid="{00000000-0006-0000-0100-00005B050000}">
      <text>
        <r>
          <rPr>
            <sz val="11"/>
            <color theme="1"/>
            <rFont val="Calibri"/>
            <family val="2"/>
            <scheme val="minor"/>
          </rPr>
          <t>Introducir un texto con el nombre o referencia de la contratación</t>
        </r>
      </text>
    </comment>
    <comment ref="B1609" authorId="1" shapeId="0" xr:uid="{00000000-0006-0000-0100-00005C050000}">
      <text>
        <r>
          <rPr>
            <sz val="11"/>
            <color theme="1"/>
            <rFont val="Calibri"/>
            <family val="2"/>
            <scheme val="minor"/>
          </rPr>
          <t>Introduzca un texto con la finalidad de la contratación</t>
        </r>
      </text>
    </comment>
    <comment ref="C1609" authorId="1" shapeId="0" xr:uid="{00000000-0006-0000-0100-00005D050000}">
      <text>
        <r>
          <rPr>
            <sz val="11"/>
            <color theme="1"/>
            <rFont val="Calibri"/>
            <family val="2"/>
            <scheme val="minor"/>
          </rPr>
          <t>Seleccionar un valor del listado</t>
        </r>
      </text>
    </comment>
    <comment ref="D1609" authorId="1" shapeId="0" xr:uid="{00000000-0006-0000-0100-00005E050000}">
      <text>
        <r>
          <rPr>
            <sz val="11"/>
            <color theme="1"/>
            <rFont val="Calibri"/>
            <family val="2"/>
            <scheme val="minor"/>
          </rPr>
          <t>Seleccione el tipo de procedimiento</t>
        </r>
      </text>
    </comment>
    <comment ref="E1609" authorId="1" shapeId="0" xr:uid="{00000000-0006-0000-0100-00005F050000}">
      <text>
        <r>
          <rPr>
            <sz val="11"/>
            <color theme="1"/>
            <rFont val="Calibri"/>
            <family val="2"/>
            <scheme val="minor"/>
          </rPr>
          <t>Seleccione un valor de la lista</t>
        </r>
      </text>
    </comment>
    <comment ref="F1609" authorId="1" shapeId="0" xr:uid="{00000000-0006-0000-0100-000060050000}">
      <text>
        <r>
          <rPr>
            <sz val="11"/>
            <color theme="1"/>
            <rFont val="Calibri"/>
            <family val="2"/>
            <scheme val="minor"/>
          </rPr>
          <t>Introduzca el código SNIP</t>
        </r>
      </text>
    </comment>
    <comment ref="C1610" authorId="1" shapeId="0" xr:uid="{00000000-0006-0000-0100-000061050000}">
      <text>
        <r>
          <rPr>
            <sz val="11"/>
            <color theme="1"/>
            <rFont val="Calibri"/>
            <family val="2"/>
            <scheme val="minor"/>
          </rPr>
          <t>Introduzca la fecha de inicio del proceso, en formato dd-mm-aaaa</t>
        </r>
      </text>
    </comment>
    <comment ref="F1610"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1" authorId="1" shapeId="0" xr:uid="{00000000-0006-0000-0100-000064050000}">
      <text/>
    </comment>
    <comment ref="C1612" authorId="1" shapeId="0" xr:uid="{00000000-0006-0000-0100-000062050000}">
      <text>
        <r>
          <rPr>
            <sz val="11"/>
            <color theme="1"/>
            <rFont val="Calibri"/>
            <family val="2"/>
            <scheme val="minor"/>
          </rPr>
          <t>Introduzca la fecha prevista de adjudicación, en formato dd-mm-aaaa</t>
        </r>
      </text>
    </comment>
    <comment ref="F1612" authorId="1" shapeId="0" xr:uid="{00000000-0006-0000-0100-000065050000}">
      <text/>
    </comment>
    <comment ref="F1613" authorId="1" shapeId="0" xr:uid="{00000000-0006-0000-0100-000066050000}">
      <text/>
    </comment>
    <comment ref="A1615" authorId="1" shapeId="0" xr:uid="{00000000-0006-0000-0100-000067050000}">
      <text>
        <r>
          <rPr>
            <sz val="11"/>
            <color theme="1"/>
            <rFont val="Calibri"/>
            <family val="2"/>
            <scheme val="minor"/>
          </rPr>
          <t>Introduzca un codigo UNSPSC</t>
        </r>
      </text>
    </comment>
    <comment ref="B1615" authorId="1" shapeId="0" xr:uid="{00000000-0006-0000-0100-000068050000}">
      <text>
        <r>
          <rPr>
            <sz val="11"/>
            <color theme="1"/>
            <rFont val="Calibri"/>
            <family val="2"/>
            <scheme val="minor"/>
          </rPr>
          <t>Descripción calculada automáticamente a partir de código del artículo</t>
        </r>
      </text>
    </comment>
    <comment ref="C1615" authorId="1" shapeId="0" xr:uid="{00000000-0006-0000-0100-000069050000}">
      <text>
        <r>
          <rPr>
            <sz val="11"/>
            <color theme="1"/>
            <rFont val="Calibri"/>
            <family val="2"/>
            <scheme val="minor"/>
          </rPr>
          <t>Seleccione un valor de la lista</t>
        </r>
      </text>
    </comment>
    <comment ref="D1615" authorId="1" shapeId="0" xr:uid="{00000000-0006-0000-0100-00006A050000}">
      <text>
        <r>
          <rPr>
            <sz val="11"/>
            <color theme="1"/>
            <rFont val="Calibri"/>
            <family val="2"/>
            <scheme val="minor"/>
          </rPr>
          <t>Introduzca un número con dos decimales como máximo. Debe ser igual o mayor a la "Cantidad Real Consumida"</t>
        </r>
      </text>
    </comment>
    <comment ref="E1615" authorId="1" shapeId="0" xr:uid="{00000000-0006-0000-0100-00006B050000}">
      <text>
        <r>
          <rPr>
            <sz val="11"/>
            <color theme="1"/>
            <rFont val="Calibri"/>
            <family val="2"/>
            <scheme val="minor"/>
          </rPr>
          <t>Introduzca un número con dos decimales como máximo</t>
        </r>
      </text>
    </comment>
    <comment ref="F1615" authorId="1" shapeId="0" xr:uid="{00000000-0006-0000-0100-00006C050000}">
      <text>
        <r>
          <rPr>
            <sz val="11"/>
            <color theme="1"/>
            <rFont val="Calibri"/>
            <family val="2"/>
            <scheme val="minor"/>
          </rPr>
          <t>Monto calculado automáticamente por el sistema</t>
        </r>
      </text>
    </comment>
    <comment ref="A1623" authorId="1" shapeId="0" xr:uid="{00000000-0006-0000-0100-00006D050000}">
      <text>
        <r>
          <rPr>
            <sz val="11"/>
            <color theme="1"/>
            <rFont val="Calibri"/>
            <family val="2"/>
            <scheme val="minor"/>
          </rPr>
          <t>Introducir un texto con el nombre o referencia de la contratación</t>
        </r>
      </text>
    </comment>
    <comment ref="B1623" authorId="1" shapeId="0" xr:uid="{00000000-0006-0000-0100-00006E050000}">
      <text>
        <r>
          <rPr>
            <sz val="11"/>
            <color theme="1"/>
            <rFont val="Calibri"/>
            <family val="2"/>
            <scheme val="minor"/>
          </rPr>
          <t>Introduzca un texto con la finalidad de la contratación</t>
        </r>
      </text>
    </comment>
    <comment ref="C1623" authorId="1" shapeId="0" xr:uid="{00000000-0006-0000-0100-00006F050000}">
      <text>
        <r>
          <rPr>
            <sz val="11"/>
            <color theme="1"/>
            <rFont val="Calibri"/>
            <family val="2"/>
            <scheme val="minor"/>
          </rPr>
          <t>Seleccionar un valor del listado</t>
        </r>
      </text>
    </comment>
    <comment ref="D1623" authorId="1" shapeId="0" xr:uid="{00000000-0006-0000-0100-000070050000}">
      <text>
        <r>
          <rPr>
            <sz val="11"/>
            <color theme="1"/>
            <rFont val="Calibri"/>
            <family val="2"/>
            <scheme val="minor"/>
          </rPr>
          <t>Seleccione el tipo de procedimiento</t>
        </r>
      </text>
    </comment>
    <comment ref="E1623" authorId="1" shapeId="0" xr:uid="{00000000-0006-0000-0100-000071050000}">
      <text>
        <r>
          <rPr>
            <sz val="11"/>
            <color theme="1"/>
            <rFont val="Calibri"/>
            <family val="2"/>
            <scheme val="minor"/>
          </rPr>
          <t>Seleccione un valor de la lista</t>
        </r>
      </text>
    </comment>
    <comment ref="F1623" authorId="1" shapeId="0" xr:uid="{00000000-0006-0000-0100-000072050000}">
      <text>
        <r>
          <rPr>
            <sz val="11"/>
            <color theme="1"/>
            <rFont val="Calibri"/>
            <family val="2"/>
            <scheme val="minor"/>
          </rPr>
          <t>Introduzca el código SNIP</t>
        </r>
      </text>
    </comment>
    <comment ref="C1624" authorId="1" shapeId="0" xr:uid="{00000000-0006-0000-0100-000073050000}">
      <text>
        <r>
          <rPr>
            <sz val="11"/>
            <color theme="1"/>
            <rFont val="Calibri"/>
            <family val="2"/>
            <scheme val="minor"/>
          </rPr>
          <t>Introduzca la fecha de inicio del proceso, en formato dd-mm-aaaa</t>
        </r>
      </text>
    </comment>
    <comment ref="F1624"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5" authorId="1" shapeId="0" xr:uid="{00000000-0006-0000-0100-000076050000}">
      <text/>
    </comment>
    <comment ref="C1626" authorId="1" shapeId="0" xr:uid="{00000000-0006-0000-0100-000074050000}">
      <text>
        <r>
          <rPr>
            <sz val="11"/>
            <color theme="1"/>
            <rFont val="Calibri"/>
            <family val="2"/>
            <scheme val="minor"/>
          </rPr>
          <t>Introduzca la fecha prevista de adjudicación, en formato dd-mm-aaaa</t>
        </r>
      </text>
    </comment>
    <comment ref="F1626" authorId="1" shapeId="0" xr:uid="{00000000-0006-0000-0100-000077050000}">
      <text/>
    </comment>
    <comment ref="F1627" authorId="1" shapeId="0" xr:uid="{00000000-0006-0000-0100-000078050000}">
      <text/>
    </comment>
    <comment ref="A1629" authorId="1" shapeId="0" xr:uid="{00000000-0006-0000-0100-000079050000}">
      <text>
        <r>
          <rPr>
            <sz val="11"/>
            <color theme="1"/>
            <rFont val="Calibri"/>
            <family val="2"/>
            <scheme val="minor"/>
          </rPr>
          <t>Introduzca un codigo UNSPSC</t>
        </r>
      </text>
    </comment>
    <comment ref="B1629" authorId="1" shapeId="0" xr:uid="{00000000-0006-0000-0100-00007A050000}">
      <text>
        <r>
          <rPr>
            <sz val="11"/>
            <color theme="1"/>
            <rFont val="Calibri"/>
            <family val="2"/>
            <scheme val="minor"/>
          </rPr>
          <t>Descripción calculada automáticamente a partir de código del artículo</t>
        </r>
      </text>
    </comment>
    <comment ref="C1629" authorId="1" shapeId="0" xr:uid="{00000000-0006-0000-0100-00007B050000}">
      <text>
        <r>
          <rPr>
            <sz val="11"/>
            <color theme="1"/>
            <rFont val="Calibri"/>
            <family val="2"/>
            <scheme val="minor"/>
          </rPr>
          <t>Seleccione un valor de la lista</t>
        </r>
      </text>
    </comment>
    <comment ref="D1629" authorId="1" shapeId="0" xr:uid="{00000000-0006-0000-0100-00007C050000}">
      <text>
        <r>
          <rPr>
            <sz val="11"/>
            <color theme="1"/>
            <rFont val="Calibri"/>
            <family val="2"/>
            <scheme val="minor"/>
          </rPr>
          <t>Introduzca un número con dos decimales como máximo. Debe ser igual o mayor a la "Cantidad Real Consumida"</t>
        </r>
      </text>
    </comment>
    <comment ref="E1629" authorId="1" shapeId="0" xr:uid="{00000000-0006-0000-0100-00007D050000}">
      <text>
        <r>
          <rPr>
            <sz val="11"/>
            <color theme="1"/>
            <rFont val="Calibri"/>
            <family val="2"/>
            <scheme val="minor"/>
          </rPr>
          <t>Introduzca un número con dos decimales como máximo</t>
        </r>
      </text>
    </comment>
    <comment ref="F1629" authorId="1" shapeId="0" xr:uid="{00000000-0006-0000-0100-00007E050000}">
      <text>
        <r>
          <rPr>
            <sz val="11"/>
            <color theme="1"/>
            <rFont val="Calibri"/>
            <family val="2"/>
            <scheme val="minor"/>
          </rPr>
          <t>Monto calculado automáticamente por el sistema</t>
        </r>
      </text>
    </comment>
    <comment ref="A1634" authorId="1" shapeId="0" xr:uid="{00000000-0006-0000-0100-00007F050000}">
      <text>
        <r>
          <rPr>
            <sz val="11"/>
            <color theme="1"/>
            <rFont val="Calibri"/>
            <family val="2"/>
            <scheme val="minor"/>
          </rPr>
          <t>Introducir un texto con el nombre o referencia de la contratación</t>
        </r>
      </text>
    </comment>
    <comment ref="B1634" authorId="1" shapeId="0" xr:uid="{00000000-0006-0000-0100-000080050000}">
      <text>
        <r>
          <rPr>
            <sz val="11"/>
            <color theme="1"/>
            <rFont val="Calibri"/>
            <family val="2"/>
            <scheme val="minor"/>
          </rPr>
          <t>Introduzca un texto con la finalidad de la contratación</t>
        </r>
      </text>
    </comment>
    <comment ref="C1634" authorId="1" shapeId="0" xr:uid="{00000000-0006-0000-0100-000081050000}">
      <text>
        <r>
          <rPr>
            <sz val="11"/>
            <color theme="1"/>
            <rFont val="Calibri"/>
            <family val="2"/>
            <scheme val="minor"/>
          </rPr>
          <t>Seleccionar un valor del listado</t>
        </r>
      </text>
    </comment>
    <comment ref="D1634" authorId="1" shapeId="0" xr:uid="{00000000-0006-0000-0100-000082050000}">
      <text>
        <r>
          <rPr>
            <sz val="11"/>
            <color theme="1"/>
            <rFont val="Calibri"/>
            <family val="2"/>
            <scheme val="minor"/>
          </rPr>
          <t>Seleccione el tipo de procedimiento</t>
        </r>
      </text>
    </comment>
    <comment ref="E1634" authorId="1" shapeId="0" xr:uid="{00000000-0006-0000-0100-000083050000}">
      <text>
        <r>
          <rPr>
            <sz val="11"/>
            <color theme="1"/>
            <rFont val="Calibri"/>
            <family val="2"/>
            <scheme val="minor"/>
          </rPr>
          <t>Seleccione un valor de la lista</t>
        </r>
      </text>
    </comment>
    <comment ref="F1634" authorId="1" shapeId="0" xr:uid="{00000000-0006-0000-0100-000084050000}">
      <text>
        <r>
          <rPr>
            <sz val="11"/>
            <color theme="1"/>
            <rFont val="Calibri"/>
            <family val="2"/>
            <scheme val="minor"/>
          </rPr>
          <t>Introduzca el código SNIP</t>
        </r>
      </text>
    </comment>
    <comment ref="C1635" authorId="1" shapeId="0" xr:uid="{00000000-0006-0000-0100-000085050000}">
      <text>
        <r>
          <rPr>
            <sz val="11"/>
            <color theme="1"/>
            <rFont val="Calibri"/>
            <family val="2"/>
            <scheme val="minor"/>
          </rPr>
          <t>Introduzca la fecha de inicio del proceso, en formato dd-mm-aaaa</t>
        </r>
      </text>
    </comment>
    <comment ref="F1635"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6" authorId="1" shapeId="0" xr:uid="{00000000-0006-0000-0100-000088050000}">
      <text/>
    </comment>
    <comment ref="C1637" authorId="1" shapeId="0" xr:uid="{00000000-0006-0000-0100-000086050000}">
      <text>
        <r>
          <rPr>
            <sz val="11"/>
            <color theme="1"/>
            <rFont val="Calibri"/>
            <family val="2"/>
            <scheme val="minor"/>
          </rPr>
          <t>Introduzca la fecha prevista de adjudicación, en formato dd-mm-aaaa</t>
        </r>
      </text>
    </comment>
    <comment ref="F1637" authorId="1" shapeId="0" xr:uid="{00000000-0006-0000-0100-000089050000}">
      <text/>
    </comment>
    <comment ref="F1638" authorId="1" shapeId="0" xr:uid="{00000000-0006-0000-0100-00008A050000}">
      <text/>
    </comment>
    <comment ref="A1640" authorId="1" shapeId="0" xr:uid="{00000000-0006-0000-0100-00008B050000}">
      <text>
        <r>
          <rPr>
            <sz val="11"/>
            <color theme="1"/>
            <rFont val="Calibri"/>
            <family val="2"/>
            <scheme val="minor"/>
          </rPr>
          <t>Introduzca un codigo UNSPSC</t>
        </r>
      </text>
    </comment>
    <comment ref="B1640" authorId="1" shapeId="0" xr:uid="{00000000-0006-0000-0100-00008C050000}">
      <text>
        <r>
          <rPr>
            <sz val="11"/>
            <color theme="1"/>
            <rFont val="Calibri"/>
            <family val="2"/>
            <scheme val="minor"/>
          </rPr>
          <t>Descripción calculada automáticamente a partir de código del artículo</t>
        </r>
      </text>
    </comment>
    <comment ref="C1640" authorId="1" shapeId="0" xr:uid="{00000000-0006-0000-0100-00008D050000}">
      <text>
        <r>
          <rPr>
            <sz val="11"/>
            <color theme="1"/>
            <rFont val="Calibri"/>
            <family val="2"/>
            <scheme val="minor"/>
          </rPr>
          <t>Seleccione un valor de la lista</t>
        </r>
      </text>
    </comment>
    <comment ref="D1640" authorId="1" shapeId="0" xr:uid="{00000000-0006-0000-0100-00008E050000}">
      <text>
        <r>
          <rPr>
            <sz val="11"/>
            <color theme="1"/>
            <rFont val="Calibri"/>
            <family val="2"/>
            <scheme val="minor"/>
          </rPr>
          <t>Introduzca un número con dos decimales como máximo. Debe ser igual o mayor a la "Cantidad Real Consumida"</t>
        </r>
      </text>
    </comment>
    <comment ref="E1640" authorId="1" shapeId="0" xr:uid="{00000000-0006-0000-0100-00008F050000}">
      <text>
        <r>
          <rPr>
            <sz val="11"/>
            <color theme="1"/>
            <rFont val="Calibri"/>
            <family val="2"/>
            <scheme val="minor"/>
          </rPr>
          <t>Introduzca un número con dos decimales como máximo</t>
        </r>
      </text>
    </comment>
    <comment ref="F1640" authorId="1" shapeId="0" xr:uid="{00000000-0006-0000-0100-000090050000}">
      <text>
        <r>
          <rPr>
            <sz val="11"/>
            <color theme="1"/>
            <rFont val="Calibri"/>
            <family val="2"/>
            <scheme val="minor"/>
          </rPr>
          <t>Monto calculado automáticamente por el sistema</t>
        </r>
      </text>
    </comment>
    <comment ref="A1645" authorId="1" shapeId="0" xr:uid="{00000000-0006-0000-0100-000091050000}">
      <text>
        <r>
          <rPr>
            <sz val="11"/>
            <color theme="1"/>
            <rFont val="Calibri"/>
            <family val="2"/>
            <scheme val="minor"/>
          </rPr>
          <t>Introducir un texto con el nombre o referencia de la contratación</t>
        </r>
      </text>
    </comment>
    <comment ref="B1645" authorId="1" shapeId="0" xr:uid="{00000000-0006-0000-0100-000092050000}">
      <text>
        <r>
          <rPr>
            <sz val="11"/>
            <color theme="1"/>
            <rFont val="Calibri"/>
            <family val="2"/>
            <scheme val="minor"/>
          </rPr>
          <t>Introduzca un texto con la finalidad de la contratación</t>
        </r>
      </text>
    </comment>
    <comment ref="C1645" authorId="1" shapeId="0" xr:uid="{00000000-0006-0000-0100-000093050000}">
      <text>
        <r>
          <rPr>
            <sz val="11"/>
            <color theme="1"/>
            <rFont val="Calibri"/>
            <family val="2"/>
            <scheme val="minor"/>
          </rPr>
          <t>Seleccionar un valor del listado</t>
        </r>
      </text>
    </comment>
    <comment ref="D1645" authorId="1" shapeId="0" xr:uid="{00000000-0006-0000-0100-000094050000}">
      <text>
        <r>
          <rPr>
            <sz val="11"/>
            <color theme="1"/>
            <rFont val="Calibri"/>
            <family val="2"/>
            <scheme val="minor"/>
          </rPr>
          <t>Seleccione el tipo de procedimiento</t>
        </r>
      </text>
    </comment>
    <comment ref="E1645" authorId="1" shapeId="0" xr:uid="{00000000-0006-0000-0100-000095050000}">
      <text>
        <r>
          <rPr>
            <sz val="11"/>
            <color theme="1"/>
            <rFont val="Calibri"/>
            <family val="2"/>
            <scheme val="minor"/>
          </rPr>
          <t>Seleccione un valor de la lista</t>
        </r>
      </text>
    </comment>
    <comment ref="F1645" authorId="1" shapeId="0" xr:uid="{00000000-0006-0000-0100-000096050000}">
      <text>
        <r>
          <rPr>
            <sz val="11"/>
            <color theme="1"/>
            <rFont val="Calibri"/>
            <family val="2"/>
            <scheme val="minor"/>
          </rPr>
          <t>Introduzca el código SNIP</t>
        </r>
      </text>
    </comment>
    <comment ref="C1646" authorId="1" shapeId="0" xr:uid="{00000000-0006-0000-0100-000097050000}">
      <text>
        <r>
          <rPr>
            <sz val="11"/>
            <color theme="1"/>
            <rFont val="Calibri"/>
            <family val="2"/>
            <scheme val="minor"/>
          </rPr>
          <t>Introduzca la fecha de inicio del proceso, en formato dd-mm-aaaa</t>
        </r>
      </text>
    </comment>
    <comment ref="F1646"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7" authorId="1" shapeId="0" xr:uid="{00000000-0006-0000-0100-00009A050000}">
      <text/>
    </comment>
    <comment ref="C1648" authorId="1" shapeId="0" xr:uid="{00000000-0006-0000-0100-000098050000}">
      <text>
        <r>
          <rPr>
            <sz val="11"/>
            <color theme="1"/>
            <rFont val="Calibri"/>
            <family val="2"/>
            <scheme val="minor"/>
          </rPr>
          <t>Introduzca la fecha prevista de adjudicación, en formato dd-mm-aaaa</t>
        </r>
      </text>
    </comment>
    <comment ref="F1648" authorId="1" shapeId="0" xr:uid="{00000000-0006-0000-0100-00009B050000}">
      <text/>
    </comment>
    <comment ref="F1649" authorId="1" shapeId="0" xr:uid="{00000000-0006-0000-0100-00009C050000}">
      <text/>
    </comment>
    <comment ref="A1651" authorId="1" shapeId="0" xr:uid="{00000000-0006-0000-0100-00009D050000}">
      <text>
        <r>
          <rPr>
            <sz val="11"/>
            <color theme="1"/>
            <rFont val="Calibri"/>
            <family val="2"/>
            <scheme val="minor"/>
          </rPr>
          <t>Introduzca un codigo UNSPSC</t>
        </r>
      </text>
    </comment>
    <comment ref="B1651" authorId="1" shapeId="0" xr:uid="{00000000-0006-0000-0100-00009E050000}">
      <text>
        <r>
          <rPr>
            <sz val="11"/>
            <color theme="1"/>
            <rFont val="Calibri"/>
            <family val="2"/>
            <scheme val="minor"/>
          </rPr>
          <t>Descripción calculada automáticamente a partir de código del artículo</t>
        </r>
      </text>
    </comment>
    <comment ref="C1651" authorId="1" shapeId="0" xr:uid="{00000000-0006-0000-0100-00009F050000}">
      <text>
        <r>
          <rPr>
            <sz val="11"/>
            <color theme="1"/>
            <rFont val="Calibri"/>
            <family val="2"/>
            <scheme val="minor"/>
          </rPr>
          <t>Seleccione un valor de la lista</t>
        </r>
      </text>
    </comment>
    <comment ref="D1651" authorId="1" shapeId="0" xr:uid="{00000000-0006-0000-0100-0000A0050000}">
      <text>
        <r>
          <rPr>
            <sz val="11"/>
            <color theme="1"/>
            <rFont val="Calibri"/>
            <family val="2"/>
            <scheme val="minor"/>
          </rPr>
          <t>Introduzca un número con dos decimales como máximo. Debe ser igual o mayor a la "Cantidad Real Consumida"</t>
        </r>
      </text>
    </comment>
    <comment ref="E1651" authorId="1" shapeId="0" xr:uid="{00000000-0006-0000-0100-0000A1050000}">
      <text>
        <r>
          <rPr>
            <sz val="11"/>
            <color theme="1"/>
            <rFont val="Calibri"/>
            <family val="2"/>
            <scheme val="minor"/>
          </rPr>
          <t>Introduzca un número con dos decimales como máximo</t>
        </r>
      </text>
    </comment>
    <comment ref="F1651" authorId="1" shapeId="0" xr:uid="{00000000-0006-0000-0100-0000A2050000}">
      <text>
        <r>
          <rPr>
            <sz val="11"/>
            <color theme="1"/>
            <rFont val="Calibri"/>
            <family val="2"/>
            <scheme val="minor"/>
          </rPr>
          <t>Monto calculado automáticamente por el sistema</t>
        </r>
      </text>
    </comment>
    <comment ref="A1679" authorId="1" shapeId="0" xr:uid="{00000000-0006-0000-0100-0000A3050000}">
      <text>
        <r>
          <rPr>
            <sz val="11"/>
            <color theme="1"/>
            <rFont val="Calibri"/>
            <family val="2"/>
            <scheme val="minor"/>
          </rPr>
          <t>Introducir un texto con el nombre o referencia de la contratación</t>
        </r>
      </text>
    </comment>
    <comment ref="B1679" authorId="1" shapeId="0" xr:uid="{00000000-0006-0000-0100-0000A4050000}">
      <text>
        <r>
          <rPr>
            <sz val="11"/>
            <color theme="1"/>
            <rFont val="Calibri"/>
            <family val="2"/>
            <scheme val="minor"/>
          </rPr>
          <t>Introduzca un texto con la finalidad de la contratación</t>
        </r>
      </text>
    </comment>
    <comment ref="C1679" authorId="1" shapeId="0" xr:uid="{00000000-0006-0000-0100-0000A5050000}">
      <text>
        <r>
          <rPr>
            <sz val="11"/>
            <color theme="1"/>
            <rFont val="Calibri"/>
            <family val="2"/>
            <scheme val="minor"/>
          </rPr>
          <t>Seleccionar un valor del listado</t>
        </r>
      </text>
    </comment>
    <comment ref="D1679" authorId="1" shapeId="0" xr:uid="{00000000-0006-0000-0100-0000A6050000}">
      <text>
        <r>
          <rPr>
            <sz val="11"/>
            <color theme="1"/>
            <rFont val="Calibri"/>
            <family val="2"/>
            <scheme val="minor"/>
          </rPr>
          <t>Seleccione el tipo de procedimiento</t>
        </r>
      </text>
    </comment>
    <comment ref="E1679" authorId="1" shapeId="0" xr:uid="{00000000-0006-0000-0100-0000A7050000}">
      <text>
        <r>
          <rPr>
            <sz val="11"/>
            <color theme="1"/>
            <rFont val="Calibri"/>
            <family val="2"/>
            <scheme val="minor"/>
          </rPr>
          <t>Seleccione un valor de la lista</t>
        </r>
      </text>
    </comment>
    <comment ref="F1679" authorId="1" shapeId="0" xr:uid="{00000000-0006-0000-0100-0000A8050000}">
      <text>
        <r>
          <rPr>
            <sz val="11"/>
            <color theme="1"/>
            <rFont val="Calibri"/>
            <family val="2"/>
            <scheme val="minor"/>
          </rPr>
          <t>Introduzca el código SNIP</t>
        </r>
      </text>
    </comment>
    <comment ref="C1680" authorId="1" shapeId="0" xr:uid="{00000000-0006-0000-0100-0000A9050000}">
      <text>
        <r>
          <rPr>
            <sz val="11"/>
            <color theme="1"/>
            <rFont val="Calibri"/>
            <family val="2"/>
            <scheme val="minor"/>
          </rPr>
          <t>Introduzca la fecha de inicio del proceso, en formato dd-mm-aaaa</t>
        </r>
      </text>
    </comment>
    <comment ref="F1680"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1" authorId="1" shapeId="0" xr:uid="{00000000-0006-0000-0100-0000AC050000}">
      <text/>
    </comment>
    <comment ref="C1682" authorId="1" shapeId="0" xr:uid="{00000000-0006-0000-0100-0000AA050000}">
      <text>
        <r>
          <rPr>
            <sz val="11"/>
            <color theme="1"/>
            <rFont val="Calibri"/>
            <family val="2"/>
            <scheme val="minor"/>
          </rPr>
          <t>Introduzca la fecha prevista de adjudicación, en formato dd-mm-aaaa</t>
        </r>
      </text>
    </comment>
    <comment ref="F1682" authorId="1" shapeId="0" xr:uid="{00000000-0006-0000-0100-0000AD050000}">
      <text/>
    </comment>
    <comment ref="F1683" authorId="1" shapeId="0" xr:uid="{00000000-0006-0000-0100-0000AE050000}">
      <text/>
    </comment>
    <comment ref="A1685" authorId="1" shapeId="0" xr:uid="{00000000-0006-0000-0100-0000AF050000}">
      <text>
        <r>
          <rPr>
            <sz val="11"/>
            <color theme="1"/>
            <rFont val="Calibri"/>
            <family val="2"/>
            <scheme val="minor"/>
          </rPr>
          <t>Introduzca un codigo UNSPSC</t>
        </r>
      </text>
    </comment>
    <comment ref="B1685" authorId="1" shapeId="0" xr:uid="{00000000-0006-0000-0100-0000B0050000}">
      <text>
        <r>
          <rPr>
            <sz val="11"/>
            <color theme="1"/>
            <rFont val="Calibri"/>
            <family val="2"/>
            <scheme val="minor"/>
          </rPr>
          <t>Descripción calculada automáticamente a partir de código del artículo</t>
        </r>
      </text>
    </comment>
    <comment ref="C1685" authorId="1" shapeId="0" xr:uid="{00000000-0006-0000-0100-0000B1050000}">
      <text>
        <r>
          <rPr>
            <sz val="11"/>
            <color theme="1"/>
            <rFont val="Calibri"/>
            <family val="2"/>
            <scheme val="minor"/>
          </rPr>
          <t>Seleccione un valor de la lista</t>
        </r>
      </text>
    </comment>
    <comment ref="D1685" authorId="1" shapeId="0" xr:uid="{00000000-0006-0000-0100-0000B2050000}">
      <text>
        <r>
          <rPr>
            <sz val="11"/>
            <color theme="1"/>
            <rFont val="Calibri"/>
            <family val="2"/>
            <scheme val="minor"/>
          </rPr>
          <t>Introduzca un número con dos decimales como máximo. Debe ser igual o mayor a la "Cantidad Real Consumida"</t>
        </r>
      </text>
    </comment>
    <comment ref="E1685" authorId="1" shapeId="0" xr:uid="{00000000-0006-0000-0100-0000B3050000}">
      <text>
        <r>
          <rPr>
            <sz val="11"/>
            <color theme="1"/>
            <rFont val="Calibri"/>
            <family val="2"/>
            <scheme val="minor"/>
          </rPr>
          <t>Introduzca un número con dos decimales como máximo</t>
        </r>
      </text>
    </comment>
    <comment ref="F1685" authorId="1" shapeId="0" xr:uid="{00000000-0006-0000-0100-0000B4050000}">
      <text>
        <r>
          <rPr>
            <sz val="11"/>
            <color theme="1"/>
            <rFont val="Calibri"/>
            <family val="2"/>
            <scheme val="minor"/>
          </rPr>
          <t>Monto calculado automáticamente por el sistema</t>
        </r>
      </text>
    </comment>
    <comment ref="A1690" authorId="1" shapeId="0" xr:uid="{00000000-0006-0000-0100-0000B5050000}">
      <text>
        <r>
          <rPr>
            <sz val="11"/>
            <color theme="1"/>
            <rFont val="Calibri"/>
            <family val="2"/>
            <scheme val="minor"/>
          </rPr>
          <t>Introducir un texto con el nombre o referencia de la contratación</t>
        </r>
      </text>
    </comment>
    <comment ref="B1690" authorId="1" shapeId="0" xr:uid="{00000000-0006-0000-0100-0000B6050000}">
      <text>
        <r>
          <rPr>
            <sz val="11"/>
            <color theme="1"/>
            <rFont val="Calibri"/>
            <family val="2"/>
            <scheme val="minor"/>
          </rPr>
          <t>Introduzca un texto con la finalidad de la contratación</t>
        </r>
      </text>
    </comment>
    <comment ref="C1690" authorId="1" shapeId="0" xr:uid="{00000000-0006-0000-0100-0000B7050000}">
      <text>
        <r>
          <rPr>
            <sz val="11"/>
            <color theme="1"/>
            <rFont val="Calibri"/>
            <family val="2"/>
            <scheme val="minor"/>
          </rPr>
          <t>Seleccionar un valor del listado</t>
        </r>
      </text>
    </comment>
    <comment ref="D1690" authorId="1" shapeId="0" xr:uid="{00000000-0006-0000-0100-0000B8050000}">
      <text>
        <r>
          <rPr>
            <sz val="11"/>
            <color theme="1"/>
            <rFont val="Calibri"/>
            <family val="2"/>
            <scheme val="minor"/>
          </rPr>
          <t>Seleccione el tipo de procedimiento</t>
        </r>
      </text>
    </comment>
    <comment ref="E1690" authorId="1" shapeId="0" xr:uid="{00000000-0006-0000-0100-0000B9050000}">
      <text>
        <r>
          <rPr>
            <sz val="11"/>
            <color theme="1"/>
            <rFont val="Calibri"/>
            <family val="2"/>
            <scheme val="minor"/>
          </rPr>
          <t>Seleccione un valor de la lista</t>
        </r>
      </text>
    </comment>
    <comment ref="F1690" authorId="1" shapeId="0" xr:uid="{00000000-0006-0000-0100-0000BA050000}">
      <text>
        <r>
          <rPr>
            <sz val="11"/>
            <color theme="1"/>
            <rFont val="Calibri"/>
            <family val="2"/>
            <scheme val="minor"/>
          </rPr>
          <t>Introduzca el código SNIP</t>
        </r>
      </text>
    </comment>
    <comment ref="C1691" authorId="1" shapeId="0" xr:uid="{00000000-0006-0000-0100-0000BB050000}">
      <text>
        <r>
          <rPr>
            <sz val="11"/>
            <color theme="1"/>
            <rFont val="Calibri"/>
            <family val="2"/>
            <scheme val="minor"/>
          </rPr>
          <t>Introduzca la fecha de inicio del proceso, en formato dd-mm-aaaa</t>
        </r>
      </text>
    </comment>
    <comment ref="F1691"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2" authorId="1" shapeId="0" xr:uid="{00000000-0006-0000-0100-0000BE050000}">
      <text/>
    </comment>
    <comment ref="C1693" authorId="1" shapeId="0" xr:uid="{00000000-0006-0000-0100-0000BC050000}">
      <text>
        <r>
          <rPr>
            <sz val="11"/>
            <color theme="1"/>
            <rFont val="Calibri"/>
            <family val="2"/>
            <scheme val="minor"/>
          </rPr>
          <t>Introduzca la fecha prevista de adjudicación, en formato dd-mm-aaaa</t>
        </r>
      </text>
    </comment>
    <comment ref="F1693" authorId="1" shapeId="0" xr:uid="{00000000-0006-0000-0100-0000BF050000}">
      <text/>
    </comment>
    <comment ref="F1694" authorId="1" shapeId="0" xr:uid="{00000000-0006-0000-0100-0000C0050000}">
      <text/>
    </comment>
    <comment ref="A1696" authorId="1" shapeId="0" xr:uid="{00000000-0006-0000-0100-0000C1050000}">
      <text>
        <r>
          <rPr>
            <sz val="11"/>
            <color theme="1"/>
            <rFont val="Calibri"/>
            <family val="2"/>
            <scheme val="minor"/>
          </rPr>
          <t>Introduzca un codigo UNSPSC</t>
        </r>
      </text>
    </comment>
    <comment ref="B1696" authorId="1" shapeId="0" xr:uid="{00000000-0006-0000-0100-0000C2050000}">
      <text>
        <r>
          <rPr>
            <sz val="11"/>
            <color theme="1"/>
            <rFont val="Calibri"/>
            <family val="2"/>
            <scheme val="minor"/>
          </rPr>
          <t>Descripción calculada automáticamente a partir de código del artículo</t>
        </r>
      </text>
    </comment>
    <comment ref="C1696" authorId="1" shapeId="0" xr:uid="{00000000-0006-0000-0100-0000C3050000}">
      <text>
        <r>
          <rPr>
            <sz val="11"/>
            <color theme="1"/>
            <rFont val="Calibri"/>
            <family val="2"/>
            <scheme val="minor"/>
          </rPr>
          <t>Seleccione un valor de la lista</t>
        </r>
      </text>
    </comment>
    <comment ref="D1696" authorId="1" shapeId="0" xr:uid="{00000000-0006-0000-0100-0000C4050000}">
      <text>
        <r>
          <rPr>
            <sz val="11"/>
            <color theme="1"/>
            <rFont val="Calibri"/>
            <family val="2"/>
            <scheme val="minor"/>
          </rPr>
          <t>Introduzca un número con dos decimales como máximo. Debe ser igual o mayor a la "Cantidad Real Consumida"</t>
        </r>
      </text>
    </comment>
    <comment ref="E1696" authorId="1" shapeId="0" xr:uid="{00000000-0006-0000-0100-0000C5050000}">
      <text>
        <r>
          <rPr>
            <sz val="11"/>
            <color theme="1"/>
            <rFont val="Calibri"/>
            <family val="2"/>
            <scheme val="minor"/>
          </rPr>
          <t>Introduzca un número con dos decimales como máximo</t>
        </r>
      </text>
    </comment>
    <comment ref="F1696" authorId="1" shapeId="0" xr:uid="{00000000-0006-0000-0100-0000C6050000}">
      <text>
        <r>
          <rPr>
            <sz val="11"/>
            <color theme="1"/>
            <rFont val="Calibri"/>
            <family val="2"/>
            <scheme val="minor"/>
          </rPr>
          <t>Monto calculado automáticamente por el sistema</t>
        </r>
      </text>
    </comment>
    <comment ref="A1759" authorId="1" shapeId="0" xr:uid="{00000000-0006-0000-0100-0000C7050000}">
      <text>
        <r>
          <rPr>
            <sz val="11"/>
            <color theme="1"/>
            <rFont val="Calibri"/>
            <family val="2"/>
            <scheme val="minor"/>
          </rPr>
          <t>Introducir un texto con el nombre o referencia de la contratación</t>
        </r>
      </text>
    </comment>
    <comment ref="B1759" authorId="1" shapeId="0" xr:uid="{00000000-0006-0000-0100-0000C8050000}">
      <text>
        <r>
          <rPr>
            <sz val="11"/>
            <color theme="1"/>
            <rFont val="Calibri"/>
            <family val="2"/>
            <scheme val="minor"/>
          </rPr>
          <t>Introduzca un texto con la finalidad de la contratación</t>
        </r>
      </text>
    </comment>
    <comment ref="C1759" authorId="1" shapeId="0" xr:uid="{00000000-0006-0000-0100-0000C9050000}">
      <text>
        <r>
          <rPr>
            <sz val="11"/>
            <color theme="1"/>
            <rFont val="Calibri"/>
            <family val="2"/>
            <scheme val="minor"/>
          </rPr>
          <t>Seleccionar un valor del listado</t>
        </r>
      </text>
    </comment>
    <comment ref="D1759" authorId="1" shapeId="0" xr:uid="{00000000-0006-0000-0100-0000CA050000}">
      <text>
        <r>
          <rPr>
            <sz val="11"/>
            <color theme="1"/>
            <rFont val="Calibri"/>
            <family val="2"/>
            <scheme val="minor"/>
          </rPr>
          <t>Seleccione el tipo de procedimiento</t>
        </r>
      </text>
    </comment>
    <comment ref="E1759" authorId="1" shapeId="0" xr:uid="{00000000-0006-0000-0100-0000CB050000}">
      <text>
        <r>
          <rPr>
            <sz val="11"/>
            <color theme="1"/>
            <rFont val="Calibri"/>
            <family val="2"/>
            <scheme val="minor"/>
          </rPr>
          <t>Seleccione un valor de la lista</t>
        </r>
      </text>
    </comment>
    <comment ref="F1759" authorId="1" shapeId="0" xr:uid="{00000000-0006-0000-0100-0000CC050000}">
      <text>
        <r>
          <rPr>
            <sz val="11"/>
            <color theme="1"/>
            <rFont val="Calibri"/>
            <family val="2"/>
            <scheme val="minor"/>
          </rPr>
          <t>Introduzca el código SNIP</t>
        </r>
      </text>
    </comment>
    <comment ref="C1760" authorId="1" shapeId="0" xr:uid="{00000000-0006-0000-0100-0000CD050000}">
      <text>
        <r>
          <rPr>
            <sz val="11"/>
            <color theme="1"/>
            <rFont val="Calibri"/>
            <family val="2"/>
            <scheme val="minor"/>
          </rPr>
          <t>Introduzca la fecha de inicio del proceso, en formato dd-mm-aaaa</t>
        </r>
      </text>
    </comment>
    <comment ref="F1760"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1" authorId="1" shapeId="0" xr:uid="{00000000-0006-0000-0100-0000D0050000}">
      <text/>
    </comment>
    <comment ref="C1762" authorId="1" shapeId="0" xr:uid="{00000000-0006-0000-0100-0000CE050000}">
      <text>
        <r>
          <rPr>
            <sz val="11"/>
            <color theme="1"/>
            <rFont val="Calibri"/>
            <family val="2"/>
            <scheme val="minor"/>
          </rPr>
          <t>Introduzca la fecha prevista de adjudicación, en formato dd-mm-aaaa</t>
        </r>
      </text>
    </comment>
    <comment ref="F1762" authorId="1" shapeId="0" xr:uid="{00000000-0006-0000-0100-0000D1050000}">
      <text/>
    </comment>
    <comment ref="F1763" authorId="1" shapeId="0" xr:uid="{00000000-0006-0000-0100-0000D2050000}">
      <text/>
    </comment>
    <comment ref="A1765" authorId="1" shapeId="0" xr:uid="{00000000-0006-0000-0100-0000D3050000}">
      <text>
        <r>
          <rPr>
            <sz val="11"/>
            <color theme="1"/>
            <rFont val="Calibri"/>
            <family val="2"/>
            <scheme val="minor"/>
          </rPr>
          <t>Introduzca un codigo UNSPSC</t>
        </r>
      </text>
    </comment>
    <comment ref="B1765" authorId="1" shapeId="0" xr:uid="{00000000-0006-0000-0100-0000D4050000}">
      <text>
        <r>
          <rPr>
            <sz val="11"/>
            <color theme="1"/>
            <rFont val="Calibri"/>
            <family val="2"/>
            <scheme val="minor"/>
          </rPr>
          <t>Descripción calculada automáticamente a partir de código del artículo</t>
        </r>
      </text>
    </comment>
    <comment ref="C1765" authorId="1" shapeId="0" xr:uid="{00000000-0006-0000-0100-0000D5050000}">
      <text>
        <r>
          <rPr>
            <sz val="11"/>
            <color theme="1"/>
            <rFont val="Calibri"/>
            <family val="2"/>
            <scheme val="minor"/>
          </rPr>
          <t>Seleccione un valor de la lista</t>
        </r>
      </text>
    </comment>
    <comment ref="D1765" authorId="1" shapeId="0" xr:uid="{00000000-0006-0000-0100-0000D6050000}">
      <text>
        <r>
          <rPr>
            <sz val="11"/>
            <color theme="1"/>
            <rFont val="Calibri"/>
            <family val="2"/>
            <scheme val="minor"/>
          </rPr>
          <t>Introduzca un número con dos decimales como máximo. Debe ser igual o mayor a la "Cantidad Real Consumida"</t>
        </r>
      </text>
    </comment>
    <comment ref="E1765" authorId="1" shapeId="0" xr:uid="{00000000-0006-0000-0100-0000D7050000}">
      <text>
        <r>
          <rPr>
            <sz val="11"/>
            <color theme="1"/>
            <rFont val="Calibri"/>
            <family val="2"/>
            <scheme val="minor"/>
          </rPr>
          <t>Introduzca un número con dos decimales como máximo</t>
        </r>
      </text>
    </comment>
    <comment ref="F1765" authorId="1" shapeId="0" xr:uid="{00000000-0006-0000-0100-0000D8050000}">
      <text>
        <r>
          <rPr>
            <sz val="11"/>
            <color theme="1"/>
            <rFont val="Calibri"/>
            <family val="2"/>
            <scheme val="minor"/>
          </rPr>
          <t>Monto calculado automáticamente por el sistema</t>
        </r>
      </text>
    </comment>
    <comment ref="A1802" authorId="1" shapeId="0" xr:uid="{00000000-0006-0000-0100-0000D9050000}">
      <text>
        <r>
          <rPr>
            <sz val="11"/>
            <color theme="1"/>
            <rFont val="Calibri"/>
            <family val="2"/>
            <scheme val="minor"/>
          </rPr>
          <t>Introducir un texto con el nombre o referencia de la contratación</t>
        </r>
      </text>
    </comment>
    <comment ref="B1802" authorId="1" shapeId="0" xr:uid="{00000000-0006-0000-0100-0000DA050000}">
      <text>
        <r>
          <rPr>
            <sz val="11"/>
            <color theme="1"/>
            <rFont val="Calibri"/>
            <family val="2"/>
            <scheme val="minor"/>
          </rPr>
          <t>Introduzca un texto con la finalidad de la contratación</t>
        </r>
      </text>
    </comment>
    <comment ref="C1802" authorId="1" shapeId="0" xr:uid="{00000000-0006-0000-0100-0000DB050000}">
      <text>
        <r>
          <rPr>
            <sz val="11"/>
            <color theme="1"/>
            <rFont val="Calibri"/>
            <family val="2"/>
            <scheme val="minor"/>
          </rPr>
          <t>Seleccionar un valor del listado</t>
        </r>
      </text>
    </comment>
    <comment ref="D1802" authorId="1" shapeId="0" xr:uid="{00000000-0006-0000-0100-0000DC050000}">
      <text>
        <r>
          <rPr>
            <sz val="11"/>
            <color theme="1"/>
            <rFont val="Calibri"/>
            <family val="2"/>
            <scheme val="minor"/>
          </rPr>
          <t>Seleccione el tipo de procedimiento</t>
        </r>
      </text>
    </comment>
    <comment ref="E1802" authorId="1" shapeId="0" xr:uid="{00000000-0006-0000-0100-0000DD050000}">
      <text>
        <r>
          <rPr>
            <sz val="11"/>
            <color theme="1"/>
            <rFont val="Calibri"/>
            <family val="2"/>
            <scheme val="minor"/>
          </rPr>
          <t>Seleccione un valor de la lista</t>
        </r>
      </text>
    </comment>
    <comment ref="F1802" authorId="1" shapeId="0" xr:uid="{00000000-0006-0000-0100-0000DE050000}">
      <text>
        <r>
          <rPr>
            <sz val="11"/>
            <color theme="1"/>
            <rFont val="Calibri"/>
            <family val="2"/>
            <scheme val="minor"/>
          </rPr>
          <t>Introduzca el código SNIP</t>
        </r>
      </text>
    </comment>
    <comment ref="C1803" authorId="1" shapeId="0" xr:uid="{00000000-0006-0000-0100-0000DF050000}">
      <text>
        <r>
          <rPr>
            <sz val="11"/>
            <color theme="1"/>
            <rFont val="Calibri"/>
            <family val="2"/>
            <scheme val="minor"/>
          </rPr>
          <t>Introduzca la fecha de inicio del proceso, en formato dd-mm-aaaa</t>
        </r>
      </text>
    </comment>
    <comment ref="F1803" authorId="1" shapeId="0" xr:uid="{00000000-0006-0000-0100-0000E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4" authorId="1" shapeId="0" xr:uid="{00000000-0006-0000-0100-0000E2050000}">
      <text/>
    </comment>
    <comment ref="C1805" authorId="1" shapeId="0" xr:uid="{00000000-0006-0000-0100-0000E0050000}">
      <text>
        <r>
          <rPr>
            <sz val="11"/>
            <color theme="1"/>
            <rFont val="Calibri"/>
            <family val="2"/>
            <scheme val="minor"/>
          </rPr>
          <t>Introduzca la fecha prevista de adjudicación, en formato dd-mm-aaaa</t>
        </r>
      </text>
    </comment>
    <comment ref="F1805" authorId="1" shapeId="0" xr:uid="{00000000-0006-0000-0100-0000E3050000}">
      <text/>
    </comment>
    <comment ref="F1806" authorId="1" shapeId="0" xr:uid="{00000000-0006-0000-0100-0000E4050000}">
      <text/>
    </comment>
    <comment ref="A1808" authorId="1" shapeId="0" xr:uid="{00000000-0006-0000-0100-0000E5050000}">
      <text>
        <r>
          <rPr>
            <sz val="11"/>
            <color theme="1"/>
            <rFont val="Calibri"/>
            <family val="2"/>
            <scheme val="minor"/>
          </rPr>
          <t>Introduzca un codigo UNSPSC</t>
        </r>
      </text>
    </comment>
    <comment ref="B1808" authorId="1" shapeId="0" xr:uid="{00000000-0006-0000-0100-0000E6050000}">
      <text>
        <r>
          <rPr>
            <sz val="11"/>
            <color theme="1"/>
            <rFont val="Calibri"/>
            <family val="2"/>
            <scheme val="minor"/>
          </rPr>
          <t>Descripción calculada automáticamente a partir de código del artículo</t>
        </r>
      </text>
    </comment>
    <comment ref="C1808" authorId="1" shapeId="0" xr:uid="{00000000-0006-0000-0100-0000E7050000}">
      <text>
        <r>
          <rPr>
            <sz val="11"/>
            <color theme="1"/>
            <rFont val="Calibri"/>
            <family val="2"/>
            <scheme val="minor"/>
          </rPr>
          <t>Seleccione un valor de la lista</t>
        </r>
      </text>
    </comment>
    <comment ref="D1808" authorId="1" shapeId="0" xr:uid="{00000000-0006-0000-0100-0000E8050000}">
      <text>
        <r>
          <rPr>
            <sz val="11"/>
            <color theme="1"/>
            <rFont val="Calibri"/>
            <family val="2"/>
            <scheme val="minor"/>
          </rPr>
          <t>Introduzca un número con dos decimales como máximo. Debe ser igual o mayor a la "Cantidad Real Consumida"</t>
        </r>
      </text>
    </comment>
    <comment ref="E1808" authorId="1" shapeId="0" xr:uid="{00000000-0006-0000-0100-0000E9050000}">
      <text>
        <r>
          <rPr>
            <sz val="11"/>
            <color theme="1"/>
            <rFont val="Calibri"/>
            <family val="2"/>
            <scheme val="minor"/>
          </rPr>
          <t>Introduzca un número con dos decimales como máximo</t>
        </r>
      </text>
    </comment>
    <comment ref="F1808" authorId="1" shapeId="0" xr:uid="{00000000-0006-0000-0100-0000EA050000}">
      <text>
        <r>
          <rPr>
            <sz val="11"/>
            <color theme="1"/>
            <rFont val="Calibri"/>
            <family val="2"/>
            <scheme val="minor"/>
          </rPr>
          <t>Monto calculado automáticamente por el sistema</t>
        </r>
      </text>
    </comment>
    <comment ref="A1828" authorId="1" shapeId="0" xr:uid="{00000000-0006-0000-0100-0000EB050000}">
      <text>
        <r>
          <rPr>
            <sz val="11"/>
            <color theme="1"/>
            <rFont val="Calibri"/>
            <family val="2"/>
            <scheme val="minor"/>
          </rPr>
          <t>Introducir un texto con el nombre o referencia de la contratación</t>
        </r>
      </text>
    </comment>
    <comment ref="B1828" authorId="1" shapeId="0" xr:uid="{00000000-0006-0000-0100-0000EC050000}">
      <text>
        <r>
          <rPr>
            <sz val="11"/>
            <color theme="1"/>
            <rFont val="Calibri"/>
            <family val="2"/>
            <scheme val="minor"/>
          </rPr>
          <t>Introduzca un texto con la finalidad de la contratación</t>
        </r>
      </text>
    </comment>
    <comment ref="C1828" authorId="1" shapeId="0" xr:uid="{00000000-0006-0000-0100-0000ED050000}">
      <text>
        <r>
          <rPr>
            <sz val="11"/>
            <color theme="1"/>
            <rFont val="Calibri"/>
            <family val="2"/>
            <scheme val="minor"/>
          </rPr>
          <t>Seleccionar un valor del listado</t>
        </r>
      </text>
    </comment>
    <comment ref="D1828" authorId="1" shapeId="0" xr:uid="{00000000-0006-0000-0100-0000EE050000}">
      <text>
        <r>
          <rPr>
            <sz val="11"/>
            <color theme="1"/>
            <rFont val="Calibri"/>
            <family val="2"/>
            <scheme val="minor"/>
          </rPr>
          <t>Seleccione el tipo de procedimiento</t>
        </r>
      </text>
    </comment>
    <comment ref="E1828" authorId="1" shapeId="0" xr:uid="{00000000-0006-0000-0100-0000EF050000}">
      <text>
        <r>
          <rPr>
            <sz val="11"/>
            <color theme="1"/>
            <rFont val="Calibri"/>
            <family val="2"/>
            <scheme val="minor"/>
          </rPr>
          <t>Seleccione un valor de la lista</t>
        </r>
      </text>
    </comment>
    <comment ref="F1828" authorId="1" shapeId="0" xr:uid="{00000000-0006-0000-0100-0000F0050000}">
      <text>
        <r>
          <rPr>
            <sz val="11"/>
            <color theme="1"/>
            <rFont val="Calibri"/>
            <family val="2"/>
            <scheme val="minor"/>
          </rPr>
          <t>Introduzca el código SNIP</t>
        </r>
      </text>
    </comment>
    <comment ref="C1829" authorId="1" shapeId="0" xr:uid="{00000000-0006-0000-0100-0000F1050000}">
      <text>
        <r>
          <rPr>
            <sz val="11"/>
            <color theme="1"/>
            <rFont val="Calibri"/>
            <family val="2"/>
            <scheme val="minor"/>
          </rPr>
          <t>Introduzca la fecha de inicio del proceso, en formato dd-mm-aaaa</t>
        </r>
      </text>
    </comment>
    <comment ref="F1829" authorId="1" shapeId="0" xr:uid="{00000000-0006-0000-0100-0000F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0" authorId="1" shapeId="0" xr:uid="{00000000-0006-0000-0100-0000F4050000}">
      <text/>
    </comment>
    <comment ref="C1831" authorId="1" shapeId="0" xr:uid="{00000000-0006-0000-0100-0000F2050000}">
      <text>
        <r>
          <rPr>
            <sz val="11"/>
            <color theme="1"/>
            <rFont val="Calibri"/>
            <family val="2"/>
            <scheme val="minor"/>
          </rPr>
          <t>Introduzca la fecha prevista de adjudicación, en formato dd-mm-aaaa</t>
        </r>
      </text>
    </comment>
    <comment ref="F1831" authorId="1" shapeId="0" xr:uid="{00000000-0006-0000-0100-0000F5050000}">
      <text/>
    </comment>
    <comment ref="F1832" authorId="1" shapeId="0" xr:uid="{00000000-0006-0000-0100-0000F6050000}">
      <text/>
    </comment>
    <comment ref="A1834" authorId="1" shapeId="0" xr:uid="{00000000-0006-0000-0100-0000F7050000}">
      <text>
        <r>
          <rPr>
            <sz val="11"/>
            <color theme="1"/>
            <rFont val="Calibri"/>
            <family val="2"/>
            <scheme val="minor"/>
          </rPr>
          <t>Introduzca un codigo UNSPSC</t>
        </r>
      </text>
    </comment>
    <comment ref="B1834" authorId="1" shapeId="0" xr:uid="{00000000-0006-0000-0100-0000F8050000}">
      <text>
        <r>
          <rPr>
            <sz val="11"/>
            <color theme="1"/>
            <rFont val="Calibri"/>
            <family val="2"/>
            <scheme val="minor"/>
          </rPr>
          <t>Descripción calculada automáticamente a partir de código del artículo</t>
        </r>
      </text>
    </comment>
    <comment ref="C1834" authorId="1" shapeId="0" xr:uid="{00000000-0006-0000-0100-0000F9050000}">
      <text>
        <r>
          <rPr>
            <sz val="11"/>
            <color theme="1"/>
            <rFont val="Calibri"/>
            <family val="2"/>
            <scheme val="minor"/>
          </rPr>
          <t>Seleccione un valor de la lista</t>
        </r>
      </text>
    </comment>
    <comment ref="D1834" authorId="1" shapeId="0" xr:uid="{00000000-0006-0000-0100-0000FA050000}">
      <text>
        <r>
          <rPr>
            <sz val="11"/>
            <color theme="1"/>
            <rFont val="Calibri"/>
            <family val="2"/>
            <scheme val="minor"/>
          </rPr>
          <t>Introduzca un número con dos decimales como máximo. Debe ser igual o mayor a la "Cantidad Real Consumida"</t>
        </r>
      </text>
    </comment>
    <comment ref="E1834" authorId="1" shapeId="0" xr:uid="{00000000-0006-0000-0100-0000FB050000}">
      <text>
        <r>
          <rPr>
            <sz val="11"/>
            <color theme="1"/>
            <rFont val="Calibri"/>
            <family val="2"/>
            <scheme val="minor"/>
          </rPr>
          <t>Introduzca un número con dos decimales como máximo</t>
        </r>
      </text>
    </comment>
    <comment ref="F1834" authorId="1" shapeId="0" xr:uid="{00000000-0006-0000-0100-0000FC050000}">
      <text>
        <r>
          <rPr>
            <sz val="11"/>
            <color theme="1"/>
            <rFont val="Calibri"/>
            <family val="2"/>
            <scheme val="minor"/>
          </rPr>
          <t>Monto calculado automáticamente por el sistema</t>
        </r>
      </text>
    </comment>
    <comment ref="A1845" authorId="1" shapeId="0" xr:uid="{00000000-0006-0000-0100-0000FD050000}">
      <text>
        <r>
          <rPr>
            <sz val="11"/>
            <color theme="1"/>
            <rFont val="Calibri"/>
            <family val="2"/>
            <scheme val="minor"/>
          </rPr>
          <t>Introducir un texto con el nombre o referencia de la contratación</t>
        </r>
      </text>
    </comment>
    <comment ref="B1845" authorId="1" shapeId="0" xr:uid="{00000000-0006-0000-0100-0000FE050000}">
      <text>
        <r>
          <rPr>
            <sz val="11"/>
            <color theme="1"/>
            <rFont val="Calibri"/>
            <family val="2"/>
            <scheme val="minor"/>
          </rPr>
          <t>Introduzca un texto con la finalidad de la contratación</t>
        </r>
      </text>
    </comment>
    <comment ref="C1845" authorId="1" shapeId="0" xr:uid="{00000000-0006-0000-0100-0000FF050000}">
      <text>
        <r>
          <rPr>
            <sz val="11"/>
            <color theme="1"/>
            <rFont val="Calibri"/>
            <family val="2"/>
            <scheme val="minor"/>
          </rPr>
          <t>Seleccionar un valor del listado</t>
        </r>
      </text>
    </comment>
    <comment ref="D1845" authorId="1" shapeId="0" xr:uid="{00000000-0006-0000-0100-000000060000}">
      <text>
        <r>
          <rPr>
            <sz val="11"/>
            <color theme="1"/>
            <rFont val="Calibri"/>
            <family val="2"/>
            <scheme val="minor"/>
          </rPr>
          <t>Seleccione el tipo de procedimiento</t>
        </r>
      </text>
    </comment>
    <comment ref="E1845" authorId="1" shapeId="0" xr:uid="{00000000-0006-0000-0100-000001060000}">
      <text>
        <r>
          <rPr>
            <sz val="11"/>
            <color theme="1"/>
            <rFont val="Calibri"/>
            <family val="2"/>
            <scheme val="minor"/>
          </rPr>
          <t>Seleccione un valor de la lista</t>
        </r>
      </text>
    </comment>
    <comment ref="F1845" authorId="1" shapeId="0" xr:uid="{00000000-0006-0000-0100-000002060000}">
      <text>
        <r>
          <rPr>
            <sz val="11"/>
            <color theme="1"/>
            <rFont val="Calibri"/>
            <family val="2"/>
            <scheme val="minor"/>
          </rPr>
          <t>Introduzca el código SNIP</t>
        </r>
      </text>
    </comment>
    <comment ref="C1846" authorId="1" shapeId="0" xr:uid="{00000000-0006-0000-0100-000003060000}">
      <text>
        <r>
          <rPr>
            <sz val="11"/>
            <color theme="1"/>
            <rFont val="Calibri"/>
            <family val="2"/>
            <scheme val="minor"/>
          </rPr>
          <t>Introduzca la fecha de inicio del proceso, en formato dd-mm-aaaa</t>
        </r>
      </text>
    </comment>
    <comment ref="F1846" authorId="1" shapeId="0" xr:uid="{00000000-0006-0000-0100-00000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7" authorId="1" shapeId="0" xr:uid="{00000000-0006-0000-0100-000006060000}">
      <text/>
    </comment>
    <comment ref="C1848" authorId="1" shapeId="0" xr:uid="{00000000-0006-0000-0100-000004060000}">
      <text>
        <r>
          <rPr>
            <sz val="11"/>
            <color theme="1"/>
            <rFont val="Calibri"/>
            <family val="2"/>
            <scheme val="minor"/>
          </rPr>
          <t>Introduzca la fecha prevista de adjudicación, en formato dd-mm-aaaa</t>
        </r>
      </text>
    </comment>
    <comment ref="F1848" authorId="1" shapeId="0" xr:uid="{00000000-0006-0000-0100-000007060000}">
      <text/>
    </comment>
    <comment ref="F1849" authorId="1" shapeId="0" xr:uid="{00000000-0006-0000-0100-000008060000}">
      <text/>
    </comment>
    <comment ref="A1851" authorId="1" shapeId="0" xr:uid="{00000000-0006-0000-0100-000009060000}">
      <text>
        <r>
          <rPr>
            <sz val="11"/>
            <color theme="1"/>
            <rFont val="Calibri"/>
            <family val="2"/>
            <scheme val="minor"/>
          </rPr>
          <t>Introduzca un codigo UNSPSC</t>
        </r>
      </text>
    </comment>
    <comment ref="B1851" authorId="1" shapeId="0" xr:uid="{00000000-0006-0000-0100-00000A060000}">
      <text>
        <r>
          <rPr>
            <sz val="11"/>
            <color theme="1"/>
            <rFont val="Calibri"/>
            <family val="2"/>
            <scheme val="minor"/>
          </rPr>
          <t>Descripción calculada automáticamente a partir de código del artículo</t>
        </r>
      </text>
    </comment>
    <comment ref="C1851" authorId="1" shapeId="0" xr:uid="{00000000-0006-0000-0100-00000B060000}">
      <text>
        <r>
          <rPr>
            <sz val="11"/>
            <color theme="1"/>
            <rFont val="Calibri"/>
            <family val="2"/>
            <scheme val="minor"/>
          </rPr>
          <t>Seleccione un valor de la lista</t>
        </r>
      </text>
    </comment>
    <comment ref="D1851" authorId="1" shapeId="0" xr:uid="{00000000-0006-0000-0100-00000C060000}">
      <text>
        <r>
          <rPr>
            <sz val="11"/>
            <color theme="1"/>
            <rFont val="Calibri"/>
            <family val="2"/>
            <scheme val="minor"/>
          </rPr>
          <t>Introduzca un número con dos decimales como máximo. Debe ser igual o mayor a la "Cantidad Real Consumida"</t>
        </r>
      </text>
    </comment>
    <comment ref="E1851" authorId="1" shapeId="0" xr:uid="{00000000-0006-0000-0100-00000D060000}">
      <text>
        <r>
          <rPr>
            <sz val="11"/>
            <color theme="1"/>
            <rFont val="Calibri"/>
            <family val="2"/>
            <scheme val="minor"/>
          </rPr>
          <t>Introduzca un número con dos decimales como máximo</t>
        </r>
      </text>
    </comment>
    <comment ref="F1851" authorId="1" shapeId="0" xr:uid="{00000000-0006-0000-0100-00000E060000}">
      <text>
        <r>
          <rPr>
            <sz val="11"/>
            <color theme="1"/>
            <rFont val="Calibri"/>
            <family val="2"/>
            <scheme val="minor"/>
          </rPr>
          <t>Monto calculado automáticamente por el sistema</t>
        </r>
      </text>
    </comment>
    <comment ref="A1857" authorId="1" shapeId="0" xr:uid="{00000000-0006-0000-0100-00000F060000}">
      <text>
        <r>
          <rPr>
            <sz val="11"/>
            <color theme="1"/>
            <rFont val="Calibri"/>
            <family val="2"/>
            <scheme val="minor"/>
          </rPr>
          <t>Introducir un texto con el nombre o referencia de la contratación</t>
        </r>
      </text>
    </comment>
    <comment ref="B1857" authorId="1" shapeId="0" xr:uid="{00000000-0006-0000-0100-000010060000}">
      <text>
        <r>
          <rPr>
            <sz val="11"/>
            <color theme="1"/>
            <rFont val="Calibri"/>
            <family val="2"/>
            <scheme val="minor"/>
          </rPr>
          <t>Introduzca un texto con la finalidad de la contratación</t>
        </r>
      </text>
    </comment>
    <comment ref="C1857" authorId="1" shapeId="0" xr:uid="{00000000-0006-0000-0100-000011060000}">
      <text>
        <r>
          <rPr>
            <sz val="11"/>
            <color theme="1"/>
            <rFont val="Calibri"/>
            <family val="2"/>
            <scheme val="minor"/>
          </rPr>
          <t>Seleccionar un valor del listado</t>
        </r>
      </text>
    </comment>
    <comment ref="D1857" authorId="1" shapeId="0" xr:uid="{00000000-0006-0000-0100-000012060000}">
      <text>
        <r>
          <rPr>
            <sz val="11"/>
            <color theme="1"/>
            <rFont val="Calibri"/>
            <family val="2"/>
            <scheme val="minor"/>
          </rPr>
          <t>Seleccione el tipo de procedimiento</t>
        </r>
      </text>
    </comment>
    <comment ref="E1857" authorId="1" shapeId="0" xr:uid="{00000000-0006-0000-0100-000013060000}">
      <text>
        <r>
          <rPr>
            <sz val="11"/>
            <color theme="1"/>
            <rFont val="Calibri"/>
            <family val="2"/>
            <scheme val="minor"/>
          </rPr>
          <t>Seleccione un valor de la lista</t>
        </r>
      </text>
    </comment>
    <comment ref="F1857" authorId="1" shapeId="0" xr:uid="{00000000-0006-0000-0100-000014060000}">
      <text>
        <r>
          <rPr>
            <sz val="11"/>
            <color theme="1"/>
            <rFont val="Calibri"/>
            <family val="2"/>
            <scheme val="minor"/>
          </rPr>
          <t>Introduzca el código SNIP</t>
        </r>
      </text>
    </comment>
    <comment ref="C1858" authorId="1" shapeId="0" xr:uid="{00000000-0006-0000-0100-000015060000}">
      <text>
        <r>
          <rPr>
            <sz val="11"/>
            <color theme="1"/>
            <rFont val="Calibri"/>
            <family val="2"/>
            <scheme val="minor"/>
          </rPr>
          <t>Introduzca la fecha de inicio del proceso, en formato dd-mm-aaaa</t>
        </r>
      </text>
    </comment>
    <comment ref="F1858" authorId="1" shapeId="0" xr:uid="{00000000-0006-0000-0100-00001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9" authorId="1" shapeId="0" xr:uid="{00000000-0006-0000-0100-000018060000}">
      <text/>
    </comment>
    <comment ref="C1860" authorId="1" shapeId="0" xr:uid="{00000000-0006-0000-0100-000016060000}">
      <text>
        <r>
          <rPr>
            <sz val="11"/>
            <color theme="1"/>
            <rFont val="Calibri"/>
            <family val="2"/>
            <scheme val="minor"/>
          </rPr>
          <t>Introduzca la fecha prevista de adjudicación, en formato dd-mm-aaaa</t>
        </r>
      </text>
    </comment>
    <comment ref="F1860" authorId="1" shapeId="0" xr:uid="{00000000-0006-0000-0100-000019060000}">
      <text/>
    </comment>
    <comment ref="F1861" authorId="1" shapeId="0" xr:uid="{00000000-0006-0000-0100-00001A060000}">
      <text/>
    </comment>
    <comment ref="A1863" authorId="1" shapeId="0" xr:uid="{00000000-0006-0000-0100-00001B060000}">
      <text>
        <r>
          <rPr>
            <sz val="11"/>
            <color theme="1"/>
            <rFont val="Calibri"/>
            <family val="2"/>
            <scheme val="minor"/>
          </rPr>
          <t>Introduzca un codigo UNSPSC</t>
        </r>
      </text>
    </comment>
    <comment ref="B1863" authorId="1" shapeId="0" xr:uid="{00000000-0006-0000-0100-00001C060000}">
      <text>
        <r>
          <rPr>
            <sz val="11"/>
            <color theme="1"/>
            <rFont val="Calibri"/>
            <family val="2"/>
            <scheme val="minor"/>
          </rPr>
          <t>Descripción calculada automáticamente a partir de código del artículo</t>
        </r>
      </text>
    </comment>
    <comment ref="C1863" authorId="1" shapeId="0" xr:uid="{00000000-0006-0000-0100-00001D060000}">
      <text>
        <r>
          <rPr>
            <sz val="11"/>
            <color theme="1"/>
            <rFont val="Calibri"/>
            <family val="2"/>
            <scheme val="minor"/>
          </rPr>
          <t>Seleccione un valor de la lista</t>
        </r>
      </text>
    </comment>
    <comment ref="D1863" authorId="1" shapeId="0" xr:uid="{00000000-0006-0000-0100-00001E060000}">
      <text>
        <r>
          <rPr>
            <sz val="11"/>
            <color theme="1"/>
            <rFont val="Calibri"/>
            <family val="2"/>
            <scheme val="minor"/>
          </rPr>
          <t>Introduzca un número con dos decimales como máximo. Debe ser igual o mayor a la "Cantidad Real Consumida"</t>
        </r>
      </text>
    </comment>
    <comment ref="E1863" authorId="1" shapeId="0" xr:uid="{00000000-0006-0000-0100-00001F060000}">
      <text>
        <r>
          <rPr>
            <sz val="11"/>
            <color theme="1"/>
            <rFont val="Calibri"/>
            <family val="2"/>
            <scheme val="minor"/>
          </rPr>
          <t>Introduzca un número con dos decimales como máximo</t>
        </r>
      </text>
    </comment>
    <comment ref="F1863" authorId="1" shapeId="0" xr:uid="{00000000-0006-0000-0100-000020060000}">
      <text>
        <r>
          <rPr>
            <sz val="11"/>
            <color theme="1"/>
            <rFont val="Calibri"/>
            <family val="2"/>
            <scheme val="minor"/>
          </rPr>
          <t>Monto calculado automáticamente por el sistema</t>
        </r>
      </text>
    </comment>
    <comment ref="A1872" authorId="1" shapeId="0" xr:uid="{00000000-0006-0000-0100-000021060000}">
      <text>
        <r>
          <rPr>
            <sz val="11"/>
            <color theme="1"/>
            <rFont val="Calibri"/>
            <family val="2"/>
            <scheme val="minor"/>
          </rPr>
          <t>Introducir un texto con el nombre o referencia de la contratación</t>
        </r>
      </text>
    </comment>
    <comment ref="B1872" authorId="1" shapeId="0" xr:uid="{00000000-0006-0000-0100-000022060000}">
      <text>
        <r>
          <rPr>
            <sz val="11"/>
            <color theme="1"/>
            <rFont val="Calibri"/>
            <family val="2"/>
            <scheme val="minor"/>
          </rPr>
          <t>Introduzca un texto con la finalidad de la contratación</t>
        </r>
      </text>
    </comment>
    <comment ref="C1872" authorId="1" shapeId="0" xr:uid="{00000000-0006-0000-0100-000023060000}">
      <text>
        <r>
          <rPr>
            <sz val="11"/>
            <color theme="1"/>
            <rFont val="Calibri"/>
            <family val="2"/>
            <scheme val="minor"/>
          </rPr>
          <t>Seleccionar un valor del listado</t>
        </r>
      </text>
    </comment>
    <comment ref="D1872" authorId="1" shapeId="0" xr:uid="{00000000-0006-0000-0100-000024060000}">
      <text>
        <r>
          <rPr>
            <sz val="11"/>
            <color theme="1"/>
            <rFont val="Calibri"/>
            <family val="2"/>
            <scheme val="minor"/>
          </rPr>
          <t>Seleccione el tipo de procedimiento</t>
        </r>
      </text>
    </comment>
    <comment ref="E1872" authorId="1" shapeId="0" xr:uid="{00000000-0006-0000-0100-000025060000}">
      <text>
        <r>
          <rPr>
            <sz val="11"/>
            <color theme="1"/>
            <rFont val="Calibri"/>
            <family val="2"/>
            <scheme val="minor"/>
          </rPr>
          <t>Seleccione un valor de la lista</t>
        </r>
      </text>
    </comment>
    <comment ref="F1872" authorId="1" shapeId="0" xr:uid="{00000000-0006-0000-0100-000026060000}">
      <text>
        <r>
          <rPr>
            <sz val="11"/>
            <color theme="1"/>
            <rFont val="Calibri"/>
            <family val="2"/>
            <scheme val="minor"/>
          </rPr>
          <t>Introduzca el código SNIP</t>
        </r>
      </text>
    </comment>
    <comment ref="C1873" authorId="1" shapeId="0" xr:uid="{00000000-0006-0000-0100-000027060000}">
      <text>
        <r>
          <rPr>
            <sz val="11"/>
            <color theme="1"/>
            <rFont val="Calibri"/>
            <family val="2"/>
            <scheme val="minor"/>
          </rPr>
          <t>Introduzca la fecha de inicio del proceso, en formato dd-mm-aaaa</t>
        </r>
      </text>
    </comment>
    <comment ref="F1873" authorId="1" shapeId="0" xr:uid="{00000000-0006-0000-0100-00002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4" authorId="1" shapeId="0" xr:uid="{00000000-0006-0000-0100-00002A060000}">
      <text/>
    </comment>
    <comment ref="C1875" authorId="1" shapeId="0" xr:uid="{00000000-0006-0000-0100-000028060000}">
      <text>
        <r>
          <rPr>
            <sz val="11"/>
            <color theme="1"/>
            <rFont val="Calibri"/>
            <family val="2"/>
            <scheme val="minor"/>
          </rPr>
          <t>Introduzca la fecha prevista de adjudicación, en formato dd-mm-aaaa</t>
        </r>
      </text>
    </comment>
    <comment ref="F1875" authorId="1" shapeId="0" xr:uid="{00000000-0006-0000-0100-00002B060000}">
      <text/>
    </comment>
    <comment ref="F1876" authorId="1" shapeId="0" xr:uid="{00000000-0006-0000-0100-00002C060000}">
      <text/>
    </comment>
    <comment ref="A1878" authorId="1" shapeId="0" xr:uid="{00000000-0006-0000-0100-00002D060000}">
      <text>
        <r>
          <rPr>
            <sz val="11"/>
            <color theme="1"/>
            <rFont val="Calibri"/>
            <family val="2"/>
            <scheme val="minor"/>
          </rPr>
          <t>Introduzca un codigo UNSPSC</t>
        </r>
      </text>
    </comment>
    <comment ref="B1878" authorId="1" shapeId="0" xr:uid="{00000000-0006-0000-0100-00002E060000}">
      <text>
        <r>
          <rPr>
            <sz val="11"/>
            <color theme="1"/>
            <rFont val="Calibri"/>
            <family val="2"/>
            <scheme val="minor"/>
          </rPr>
          <t>Descripción calculada automáticamente a partir de código del artículo</t>
        </r>
      </text>
    </comment>
    <comment ref="C1878" authorId="1" shapeId="0" xr:uid="{00000000-0006-0000-0100-00002F060000}">
      <text>
        <r>
          <rPr>
            <sz val="11"/>
            <color theme="1"/>
            <rFont val="Calibri"/>
            <family val="2"/>
            <scheme val="minor"/>
          </rPr>
          <t>Seleccione un valor de la lista</t>
        </r>
      </text>
    </comment>
    <comment ref="D1878" authorId="1" shapeId="0" xr:uid="{00000000-0006-0000-0100-000030060000}">
      <text>
        <r>
          <rPr>
            <sz val="11"/>
            <color theme="1"/>
            <rFont val="Calibri"/>
            <family val="2"/>
            <scheme val="minor"/>
          </rPr>
          <t>Introduzca un número con dos decimales como máximo. Debe ser igual o mayor a la "Cantidad Real Consumida"</t>
        </r>
      </text>
    </comment>
    <comment ref="E1878" authorId="1" shapeId="0" xr:uid="{00000000-0006-0000-0100-000031060000}">
      <text>
        <r>
          <rPr>
            <sz val="11"/>
            <color theme="1"/>
            <rFont val="Calibri"/>
            <family val="2"/>
            <scheme val="minor"/>
          </rPr>
          <t>Introduzca un número con dos decimales como máximo</t>
        </r>
      </text>
    </comment>
    <comment ref="F1878" authorId="1" shapeId="0" xr:uid="{00000000-0006-0000-0100-000032060000}">
      <text>
        <r>
          <rPr>
            <sz val="11"/>
            <color theme="1"/>
            <rFont val="Calibri"/>
            <family val="2"/>
            <scheme val="minor"/>
          </rPr>
          <t>Monto calculado automáticamente por el sistema</t>
        </r>
      </text>
    </comment>
    <comment ref="A1883" authorId="1" shapeId="0" xr:uid="{00000000-0006-0000-0100-000033060000}">
      <text>
        <r>
          <rPr>
            <sz val="11"/>
            <color theme="1"/>
            <rFont val="Calibri"/>
            <family val="2"/>
            <scheme val="minor"/>
          </rPr>
          <t>Introducir un texto con el nombre o referencia de la contratación</t>
        </r>
      </text>
    </comment>
    <comment ref="B1883" authorId="1" shapeId="0" xr:uid="{00000000-0006-0000-0100-000034060000}">
      <text>
        <r>
          <rPr>
            <sz val="11"/>
            <color theme="1"/>
            <rFont val="Calibri"/>
            <family val="2"/>
            <scheme val="minor"/>
          </rPr>
          <t>Introduzca un texto con la finalidad de la contratación</t>
        </r>
      </text>
    </comment>
    <comment ref="C1883" authorId="1" shapeId="0" xr:uid="{00000000-0006-0000-0100-000035060000}">
      <text>
        <r>
          <rPr>
            <sz val="11"/>
            <color theme="1"/>
            <rFont val="Calibri"/>
            <family val="2"/>
            <scheme val="minor"/>
          </rPr>
          <t>Seleccionar un valor del listado</t>
        </r>
      </text>
    </comment>
    <comment ref="D1883" authorId="1" shapeId="0" xr:uid="{00000000-0006-0000-0100-000036060000}">
      <text>
        <r>
          <rPr>
            <sz val="11"/>
            <color theme="1"/>
            <rFont val="Calibri"/>
            <family val="2"/>
            <scheme val="minor"/>
          </rPr>
          <t>Seleccione el tipo de procedimiento</t>
        </r>
      </text>
    </comment>
    <comment ref="E1883" authorId="1" shapeId="0" xr:uid="{00000000-0006-0000-0100-000037060000}">
      <text>
        <r>
          <rPr>
            <sz val="11"/>
            <color theme="1"/>
            <rFont val="Calibri"/>
            <family val="2"/>
            <scheme val="minor"/>
          </rPr>
          <t>Seleccione un valor de la lista</t>
        </r>
      </text>
    </comment>
    <comment ref="F1883" authorId="1" shapeId="0" xr:uid="{00000000-0006-0000-0100-000038060000}">
      <text>
        <r>
          <rPr>
            <sz val="11"/>
            <color theme="1"/>
            <rFont val="Calibri"/>
            <family val="2"/>
            <scheme val="minor"/>
          </rPr>
          <t>Introduzca el código SNIP</t>
        </r>
      </text>
    </comment>
    <comment ref="C1884" authorId="1" shapeId="0" xr:uid="{00000000-0006-0000-0100-000039060000}">
      <text>
        <r>
          <rPr>
            <sz val="11"/>
            <color theme="1"/>
            <rFont val="Calibri"/>
            <family val="2"/>
            <scheme val="minor"/>
          </rPr>
          <t>Introduzca la fecha de inicio del proceso, en formato dd-mm-aaaa</t>
        </r>
      </text>
    </comment>
    <comment ref="F1884" authorId="1" shapeId="0" xr:uid="{00000000-0006-0000-0100-00003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5" authorId="1" shapeId="0" xr:uid="{00000000-0006-0000-0100-00003C060000}">
      <text/>
    </comment>
    <comment ref="C1886" authorId="1" shapeId="0" xr:uid="{00000000-0006-0000-0100-00003A060000}">
      <text>
        <r>
          <rPr>
            <sz val="11"/>
            <color theme="1"/>
            <rFont val="Calibri"/>
            <family val="2"/>
            <scheme val="minor"/>
          </rPr>
          <t>Introduzca la fecha prevista de adjudicación, en formato dd-mm-aaaa</t>
        </r>
      </text>
    </comment>
    <comment ref="F1886" authorId="1" shapeId="0" xr:uid="{00000000-0006-0000-0100-00003D060000}">
      <text/>
    </comment>
    <comment ref="F1887" authorId="1" shapeId="0" xr:uid="{00000000-0006-0000-0100-00003E060000}">
      <text/>
    </comment>
    <comment ref="A1889" authorId="1" shapeId="0" xr:uid="{00000000-0006-0000-0100-00003F060000}">
      <text>
        <r>
          <rPr>
            <sz val="11"/>
            <color theme="1"/>
            <rFont val="Calibri"/>
            <family val="2"/>
            <scheme val="minor"/>
          </rPr>
          <t>Introduzca un codigo UNSPSC</t>
        </r>
      </text>
    </comment>
    <comment ref="B1889" authorId="1" shapeId="0" xr:uid="{00000000-0006-0000-0100-000040060000}">
      <text>
        <r>
          <rPr>
            <sz val="11"/>
            <color theme="1"/>
            <rFont val="Calibri"/>
            <family val="2"/>
            <scheme val="minor"/>
          </rPr>
          <t>Descripción calculada automáticamente a partir de código del artículo</t>
        </r>
      </text>
    </comment>
    <comment ref="C1889" authorId="1" shapeId="0" xr:uid="{00000000-0006-0000-0100-000041060000}">
      <text>
        <r>
          <rPr>
            <sz val="11"/>
            <color theme="1"/>
            <rFont val="Calibri"/>
            <family val="2"/>
            <scheme val="minor"/>
          </rPr>
          <t>Seleccione un valor de la lista</t>
        </r>
      </text>
    </comment>
    <comment ref="D1889" authorId="1" shapeId="0" xr:uid="{00000000-0006-0000-0100-000042060000}">
      <text>
        <r>
          <rPr>
            <sz val="11"/>
            <color theme="1"/>
            <rFont val="Calibri"/>
            <family val="2"/>
            <scheme val="minor"/>
          </rPr>
          <t>Introduzca un número con dos decimales como máximo. Debe ser igual o mayor a la "Cantidad Real Consumida"</t>
        </r>
      </text>
    </comment>
    <comment ref="E1889" authorId="1" shapeId="0" xr:uid="{00000000-0006-0000-0100-000043060000}">
      <text>
        <r>
          <rPr>
            <sz val="11"/>
            <color theme="1"/>
            <rFont val="Calibri"/>
            <family val="2"/>
            <scheme val="minor"/>
          </rPr>
          <t>Introduzca un número con dos decimales como máximo</t>
        </r>
      </text>
    </comment>
    <comment ref="F1889" authorId="1" shapeId="0" xr:uid="{00000000-0006-0000-0100-000044060000}">
      <text>
        <r>
          <rPr>
            <sz val="11"/>
            <color theme="1"/>
            <rFont val="Calibri"/>
            <family val="2"/>
            <scheme val="minor"/>
          </rPr>
          <t>Monto calculado automáticamente por el sistema</t>
        </r>
      </text>
    </comment>
    <comment ref="A1896" authorId="1" shapeId="0" xr:uid="{00000000-0006-0000-0100-000045060000}">
      <text>
        <r>
          <rPr>
            <sz val="11"/>
            <color theme="1"/>
            <rFont val="Calibri"/>
            <family val="2"/>
            <scheme val="minor"/>
          </rPr>
          <t>Introducir un texto con el nombre o referencia de la contratación</t>
        </r>
      </text>
    </comment>
    <comment ref="B1896" authorId="1" shapeId="0" xr:uid="{00000000-0006-0000-0100-000046060000}">
      <text>
        <r>
          <rPr>
            <sz val="11"/>
            <color theme="1"/>
            <rFont val="Calibri"/>
            <family val="2"/>
            <scheme val="minor"/>
          </rPr>
          <t>Introduzca un texto con la finalidad de la contratación</t>
        </r>
      </text>
    </comment>
    <comment ref="C1896" authorId="1" shapeId="0" xr:uid="{00000000-0006-0000-0100-000047060000}">
      <text>
        <r>
          <rPr>
            <sz val="11"/>
            <color theme="1"/>
            <rFont val="Calibri"/>
            <family val="2"/>
            <scheme val="minor"/>
          </rPr>
          <t>Seleccionar un valor del listado</t>
        </r>
      </text>
    </comment>
    <comment ref="D1896" authorId="1" shapeId="0" xr:uid="{00000000-0006-0000-0100-000048060000}">
      <text>
        <r>
          <rPr>
            <sz val="11"/>
            <color theme="1"/>
            <rFont val="Calibri"/>
            <family val="2"/>
            <scheme val="minor"/>
          </rPr>
          <t>Seleccione el tipo de procedimiento</t>
        </r>
      </text>
    </comment>
    <comment ref="E1896" authorId="1" shapeId="0" xr:uid="{00000000-0006-0000-0100-000049060000}">
      <text>
        <r>
          <rPr>
            <sz val="11"/>
            <color theme="1"/>
            <rFont val="Calibri"/>
            <family val="2"/>
            <scheme val="minor"/>
          </rPr>
          <t>Seleccione un valor de la lista</t>
        </r>
      </text>
    </comment>
    <comment ref="F1896" authorId="1" shapeId="0" xr:uid="{00000000-0006-0000-0100-00004A060000}">
      <text>
        <r>
          <rPr>
            <sz val="11"/>
            <color theme="1"/>
            <rFont val="Calibri"/>
            <family val="2"/>
            <scheme val="minor"/>
          </rPr>
          <t>Introduzca el código SNIP</t>
        </r>
      </text>
    </comment>
    <comment ref="C1897" authorId="1" shapeId="0" xr:uid="{00000000-0006-0000-0100-00004B060000}">
      <text>
        <r>
          <rPr>
            <sz val="11"/>
            <color theme="1"/>
            <rFont val="Calibri"/>
            <family val="2"/>
            <scheme val="minor"/>
          </rPr>
          <t>Introduzca la fecha de inicio del proceso, en formato dd-mm-aaaa</t>
        </r>
      </text>
    </comment>
    <comment ref="F1897" authorId="1" shapeId="0" xr:uid="{00000000-0006-0000-0100-00004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8" authorId="1" shapeId="0" xr:uid="{00000000-0006-0000-0100-00004E060000}">
      <text/>
    </comment>
    <comment ref="C1899" authorId="1" shapeId="0" xr:uid="{00000000-0006-0000-0100-00004C060000}">
      <text>
        <r>
          <rPr>
            <sz val="11"/>
            <color theme="1"/>
            <rFont val="Calibri"/>
            <family val="2"/>
            <scheme val="minor"/>
          </rPr>
          <t>Introduzca la fecha prevista de adjudicación, en formato dd-mm-aaaa</t>
        </r>
      </text>
    </comment>
    <comment ref="F1899" authorId="1" shapeId="0" xr:uid="{00000000-0006-0000-0100-00004F060000}">
      <text/>
    </comment>
    <comment ref="F1900" authorId="1" shapeId="0" xr:uid="{00000000-0006-0000-0100-000050060000}">
      <text/>
    </comment>
    <comment ref="A1902" authorId="1" shapeId="0" xr:uid="{00000000-0006-0000-0100-000051060000}">
      <text>
        <r>
          <rPr>
            <sz val="11"/>
            <color theme="1"/>
            <rFont val="Calibri"/>
            <family val="2"/>
            <scheme val="minor"/>
          </rPr>
          <t>Introduzca un codigo UNSPSC</t>
        </r>
      </text>
    </comment>
    <comment ref="B1902" authorId="1" shapeId="0" xr:uid="{00000000-0006-0000-0100-000052060000}">
      <text>
        <r>
          <rPr>
            <sz val="11"/>
            <color theme="1"/>
            <rFont val="Calibri"/>
            <family val="2"/>
            <scheme val="minor"/>
          </rPr>
          <t>Descripción calculada automáticamente a partir de código del artículo</t>
        </r>
      </text>
    </comment>
    <comment ref="C1902" authorId="1" shapeId="0" xr:uid="{00000000-0006-0000-0100-000053060000}">
      <text>
        <r>
          <rPr>
            <sz val="11"/>
            <color theme="1"/>
            <rFont val="Calibri"/>
            <family val="2"/>
            <scheme val="minor"/>
          </rPr>
          <t>Seleccione un valor de la lista</t>
        </r>
      </text>
    </comment>
    <comment ref="D1902" authorId="1" shapeId="0" xr:uid="{00000000-0006-0000-0100-000054060000}">
      <text>
        <r>
          <rPr>
            <sz val="11"/>
            <color theme="1"/>
            <rFont val="Calibri"/>
            <family val="2"/>
            <scheme val="minor"/>
          </rPr>
          <t>Introduzca un número con dos decimales como máximo. Debe ser igual o mayor a la "Cantidad Real Consumida"</t>
        </r>
      </text>
    </comment>
    <comment ref="E1902" authorId="1" shapeId="0" xr:uid="{00000000-0006-0000-0100-000055060000}">
      <text>
        <r>
          <rPr>
            <sz val="11"/>
            <color theme="1"/>
            <rFont val="Calibri"/>
            <family val="2"/>
            <scheme val="minor"/>
          </rPr>
          <t>Introduzca un número con dos decimales como máximo</t>
        </r>
      </text>
    </comment>
    <comment ref="F1902" authorId="1" shapeId="0" xr:uid="{00000000-0006-0000-0100-000056060000}">
      <text>
        <r>
          <rPr>
            <sz val="11"/>
            <color theme="1"/>
            <rFont val="Calibri"/>
            <family val="2"/>
            <scheme val="minor"/>
          </rPr>
          <t>Monto calculado automáticamente por el sistema</t>
        </r>
      </text>
    </comment>
    <comment ref="A1907" authorId="1" shapeId="0" xr:uid="{00000000-0006-0000-0100-000057060000}">
      <text>
        <r>
          <rPr>
            <sz val="11"/>
            <color theme="1"/>
            <rFont val="Calibri"/>
            <family val="2"/>
            <scheme val="minor"/>
          </rPr>
          <t>Introducir un texto con el nombre o referencia de la contratación</t>
        </r>
      </text>
    </comment>
    <comment ref="B1907" authorId="1" shapeId="0" xr:uid="{00000000-0006-0000-0100-000058060000}">
      <text>
        <r>
          <rPr>
            <sz val="11"/>
            <color theme="1"/>
            <rFont val="Calibri"/>
            <family val="2"/>
            <scheme val="minor"/>
          </rPr>
          <t>Introduzca un texto con la finalidad de la contratación</t>
        </r>
      </text>
    </comment>
    <comment ref="C1907" authorId="1" shapeId="0" xr:uid="{00000000-0006-0000-0100-000059060000}">
      <text>
        <r>
          <rPr>
            <sz val="11"/>
            <color theme="1"/>
            <rFont val="Calibri"/>
            <family val="2"/>
            <scheme val="minor"/>
          </rPr>
          <t>Seleccionar un valor del listado</t>
        </r>
      </text>
    </comment>
    <comment ref="D1907" authorId="1" shapeId="0" xr:uid="{00000000-0006-0000-0100-00005A060000}">
      <text>
        <r>
          <rPr>
            <sz val="11"/>
            <color theme="1"/>
            <rFont val="Calibri"/>
            <family val="2"/>
            <scheme val="minor"/>
          </rPr>
          <t>Seleccione el tipo de procedimiento</t>
        </r>
      </text>
    </comment>
    <comment ref="E1907" authorId="1" shapeId="0" xr:uid="{00000000-0006-0000-0100-00005B060000}">
      <text>
        <r>
          <rPr>
            <sz val="11"/>
            <color theme="1"/>
            <rFont val="Calibri"/>
            <family val="2"/>
            <scheme val="minor"/>
          </rPr>
          <t>Seleccione un valor de la lista</t>
        </r>
      </text>
    </comment>
    <comment ref="F1907" authorId="1" shapeId="0" xr:uid="{00000000-0006-0000-0100-00005C060000}">
      <text>
        <r>
          <rPr>
            <sz val="11"/>
            <color theme="1"/>
            <rFont val="Calibri"/>
            <family val="2"/>
            <scheme val="minor"/>
          </rPr>
          <t>Introduzca el código SNIP</t>
        </r>
      </text>
    </comment>
    <comment ref="C1908" authorId="1" shapeId="0" xr:uid="{00000000-0006-0000-0100-00005D060000}">
      <text>
        <r>
          <rPr>
            <sz val="11"/>
            <color theme="1"/>
            <rFont val="Calibri"/>
            <family val="2"/>
            <scheme val="minor"/>
          </rPr>
          <t>Introduzca la fecha de inicio del proceso, en formato dd-mm-aaaa</t>
        </r>
      </text>
    </comment>
    <comment ref="F1908" authorId="1" shapeId="0" xr:uid="{00000000-0006-0000-0100-00005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9" authorId="1" shapeId="0" xr:uid="{00000000-0006-0000-0100-000060060000}">
      <text/>
    </comment>
    <comment ref="C1910" authorId="1" shapeId="0" xr:uid="{00000000-0006-0000-0100-00005E060000}">
      <text>
        <r>
          <rPr>
            <sz val="11"/>
            <color theme="1"/>
            <rFont val="Calibri"/>
            <family val="2"/>
            <scheme val="minor"/>
          </rPr>
          <t>Introduzca la fecha prevista de adjudicación, en formato dd-mm-aaaa</t>
        </r>
      </text>
    </comment>
    <comment ref="F1910" authorId="1" shapeId="0" xr:uid="{00000000-0006-0000-0100-000061060000}">
      <text/>
    </comment>
    <comment ref="F1911" authorId="1" shapeId="0" xr:uid="{00000000-0006-0000-0100-000062060000}">
      <text/>
    </comment>
    <comment ref="A1913" authorId="1" shapeId="0" xr:uid="{00000000-0006-0000-0100-000063060000}">
      <text>
        <r>
          <rPr>
            <sz val="11"/>
            <color theme="1"/>
            <rFont val="Calibri"/>
            <family val="2"/>
            <scheme val="minor"/>
          </rPr>
          <t>Introduzca un codigo UNSPSC</t>
        </r>
      </text>
    </comment>
    <comment ref="B1913" authorId="1" shapeId="0" xr:uid="{00000000-0006-0000-0100-000064060000}">
      <text>
        <r>
          <rPr>
            <sz val="11"/>
            <color theme="1"/>
            <rFont val="Calibri"/>
            <family val="2"/>
            <scheme val="minor"/>
          </rPr>
          <t>Descripción calculada automáticamente a partir de código del artículo</t>
        </r>
      </text>
    </comment>
    <comment ref="C1913" authorId="1" shapeId="0" xr:uid="{00000000-0006-0000-0100-000065060000}">
      <text>
        <r>
          <rPr>
            <sz val="11"/>
            <color theme="1"/>
            <rFont val="Calibri"/>
            <family val="2"/>
            <scheme val="minor"/>
          </rPr>
          <t>Seleccione un valor de la lista</t>
        </r>
      </text>
    </comment>
    <comment ref="D1913" authorId="1" shapeId="0" xr:uid="{00000000-0006-0000-0100-000066060000}">
      <text>
        <r>
          <rPr>
            <sz val="11"/>
            <color theme="1"/>
            <rFont val="Calibri"/>
            <family val="2"/>
            <scheme val="minor"/>
          </rPr>
          <t>Introduzca un número con dos decimales como máximo. Debe ser igual o mayor a la "Cantidad Real Consumida"</t>
        </r>
      </text>
    </comment>
    <comment ref="E1913" authorId="1" shapeId="0" xr:uid="{00000000-0006-0000-0100-000067060000}">
      <text>
        <r>
          <rPr>
            <sz val="11"/>
            <color theme="1"/>
            <rFont val="Calibri"/>
            <family val="2"/>
            <scheme val="minor"/>
          </rPr>
          <t>Introduzca un número con dos decimales como máximo</t>
        </r>
      </text>
    </comment>
    <comment ref="F1913" authorId="1" shapeId="0" xr:uid="{00000000-0006-0000-0100-000068060000}">
      <text>
        <r>
          <rPr>
            <sz val="11"/>
            <color theme="1"/>
            <rFont val="Calibri"/>
            <family val="2"/>
            <scheme val="minor"/>
          </rPr>
          <t>Monto calculado automáticamente por el sistema</t>
        </r>
      </text>
    </comment>
    <comment ref="A1918" authorId="1" shapeId="0" xr:uid="{00000000-0006-0000-0100-000069060000}">
      <text>
        <r>
          <rPr>
            <sz val="11"/>
            <color theme="1"/>
            <rFont val="Calibri"/>
            <family val="2"/>
            <scheme val="minor"/>
          </rPr>
          <t>Introducir un texto con el nombre o referencia de la contratación</t>
        </r>
      </text>
    </comment>
    <comment ref="B1918" authorId="1" shapeId="0" xr:uid="{00000000-0006-0000-0100-00006A060000}">
      <text>
        <r>
          <rPr>
            <sz val="11"/>
            <color theme="1"/>
            <rFont val="Calibri"/>
            <family val="2"/>
            <scheme val="minor"/>
          </rPr>
          <t>Introduzca un texto con la finalidad de la contratación</t>
        </r>
      </text>
    </comment>
    <comment ref="C1918" authorId="1" shapeId="0" xr:uid="{00000000-0006-0000-0100-00006B060000}">
      <text>
        <r>
          <rPr>
            <sz val="11"/>
            <color theme="1"/>
            <rFont val="Calibri"/>
            <family val="2"/>
            <scheme val="minor"/>
          </rPr>
          <t>Seleccionar un valor del listado</t>
        </r>
      </text>
    </comment>
    <comment ref="D1918" authorId="1" shapeId="0" xr:uid="{00000000-0006-0000-0100-00006C060000}">
      <text>
        <r>
          <rPr>
            <sz val="11"/>
            <color theme="1"/>
            <rFont val="Calibri"/>
            <family val="2"/>
            <scheme val="minor"/>
          </rPr>
          <t>Seleccione el tipo de procedimiento</t>
        </r>
      </text>
    </comment>
    <comment ref="E1918" authorId="1" shapeId="0" xr:uid="{00000000-0006-0000-0100-00006D060000}">
      <text>
        <r>
          <rPr>
            <sz val="11"/>
            <color theme="1"/>
            <rFont val="Calibri"/>
            <family val="2"/>
            <scheme val="minor"/>
          </rPr>
          <t>Seleccione un valor de la lista</t>
        </r>
      </text>
    </comment>
    <comment ref="F1918" authorId="1" shapeId="0" xr:uid="{00000000-0006-0000-0100-00006E060000}">
      <text>
        <r>
          <rPr>
            <sz val="11"/>
            <color theme="1"/>
            <rFont val="Calibri"/>
            <family val="2"/>
            <scheme val="minor"/>
          </rPr>
          <t>Introduzca el código SNIP</t>
        </r>
      </text>
    </comment>
    <comment ref="C1919" authorId="1" shapeId="0" xr:uid="{00000000-0006-0000-0100-00006F060000}">
      <text>
        <r>
          <rPr>
            <sz val="11"/>
            <color theme="1"/>
            <rFont val="Calibri"/>
            <family val="2"/>
            <scheme val="minor"/>
          </rPr>
          <t>Introduzca la fecha de inicio del proceso, en formato dd-mm-aaaa</t>
        </r>
      </text>
    </comment>
    <comment ref="F1919" authorId="1" shapeId="0" xr:uid="{00000000-0006-0000-0100-000071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0" authorId="1" shapeId="0" xr:uid="{00000000-0006-0000-0100-000072060000}">
      <text/>
    </comment>
    <comment ref="C1921" authorId="1" shapeId="0" xr:uid="{00000000-0006-0000-0100-000070060000}">
      <text>
        <r>
          <rPr>
            <sz val="11"/>
            <color theme="1"/>
            <rFont val="Calibri"/>
            <family val="2"/>
            <scheme val="minor"/>
          </rPr>
          <t>Introduzca la fecha prevista de adjudicación, en formato dd-mm-aaaa</t>
        </r>
      </text>
    </comment>
    <comment ref="F1921" authorId="1" shapeId="0" xr:uid="{00000000-0006-0000-0100-000073060000}">
      <text/>
    </comment>
    <comment ref="F1922" authorId="1" shapeId="0" xr:uid="{00000000-0006-0000-0100-000074060000}">
      <text/>
    </comment>
    <comment ref="A1924" authorId="1" shapeId="0" xr:uid="{00000000-0006-0000-0100-000075060000}">
      <text>
        <r>
          <rPr>
            <sz val="11"/>
            <color theme="1"/>
            <rFont val="Calibri"/>
            <family val="2"/>
            <scheme val="minor"/>
          </rPr>
          <t>Introduzca un codigo UNSPSC</t>
        </r>
      </text>
    </comment>
    <comment ref="B1924" authorId="1" shapeId="0" xr:uid="{00000000-0006-0000-0100-000076060000}">
      <text>
        <r>
          <rPr>
            <sz val="11"/>
            <color theme="1"/>
            <rFont val="Calibri"/>
            <family val="2"/>
            <scheme val="minor"/>
          </rPr>
          <t>Descripción calculada automáticamente a partir de código del artículo</t>
        </r>
      </text>
    </comment>
    <comment ref="C1924" authorId="1" shapeId="0" xr:uid="{00000000-0006-0000-0100-000077060000}">
      <text>
        <r>
          <rPr>
            <sz val="11"/>
            <color theme="1"/>
            <rFont val="Calibri"/>
            <family val="2"/>
            <scheme val="minor"/>
          </rPr>
          <t>Seleccione un valor de la lista</t>
        </r>
      </text>
    </comment>
    <comment ref="D1924" authorId="1" shapeId="0" xr:uid="{00000000-0006-0000-0100-000078060000}">
      <text>
        <r>
          <rPr>
            <sz val="11"/>
            <color theme="1"/>
            <rFont val="Calibri"/>
            <family val="2"/>
            <scheme val="minor"/>
          </rPr>
          <t>Introduzca un número con dos decimales como máximo. Debe ser igual o mayor a la "Cantidad Real Consumida"</t>
        </r>
      </text>
    </comment>
    <comment ref="E1924" authorId="1" shapeId="0" xr:uid="{00000000-0006-0000-0100-000079060000}">
      <text>
        <r>
          <rPr>
            <sz val="11"/>
            <color theme="1"/>
            <rFont val="Calibri"/>
            <family val="2"/>
            <scheme val="minor"/>
          </rPr>
          <t>Introduzca un número con dos decimales como máximo</t>
        </r>
      </text>
    </comment>
    <comment ref="F1924" authorId="1" shapeId="0" xr:uid="{00000000-0006-0000-0100-00007A060000}">
      <text>
        <r>
          <rPr>
            <sz val="11"/>
            <color theme="1"/>
            <rFont val="Calibri"/>
            <family val="2"/>
            <scheme val="minor"/>
          </rPr>
          <t>Monto calculado automáticamente por el sistema</t>
        </r>
      </text>
    </comment>
    <comment ref="A1939" authorId="1" shapeId="0" xr:uid="{00000000-0006-0000-0100-00007B060000}">
      <text>
        <r>
          <rPr>
            <sz val="11"/>
            <color theme="1"/>
            <rFont val="Calibri"/>
            <family val="2"/>
            <scheme val="minor"/>
          </rPr>
          <t>Introducir un texto con el nombre o referencia de la contratación</t>
        </r>
      </text>
    </comment>
    <comment ref="B1939" authorId="1" shapeId="0" xr:uid="{00000000-0006-0000-0100-00007C060000}">
      <text>
        <r>
          <rPr>
            <sz val="11"/>
            <color theme="1"/>
            <rFont val="Calibri"/>
            <family val="2"/>
            <scheme val="minor"/>
          </rPr>
          <t>Introduzca un texto con la finalidad de la contratación</t>
        </r>
      </text>
    </comment>
    <comment ref="C1939" authorId="1" shapeId="0" xr:uid="{00000000-0006-0000-0100-00007D060000}">
      <text>
        <r>
          <rPr>
            <sz val="11"/>
            <color theme="1"/>
            <rFont val="Calibri"/>
            <family val="2"/>
            <scheme val="minor"/>
          </rPr>
          <t>Seleccionar un valor del listado</t>
        </r>
      </text>
    </comment>
    <comment ref="D1939" authorId="1" shapeId="0" xr:uid="{00000000-0006-0000-0100-00007E060000}">
      <text>
        <r>
          <rPr>
            <sz val="11"/>
            <color theme="1"/>
            <rFont val="Calibri"/>
            <family val="2"/>
            <scheme val="minor"/>
          </rPr>
          <t>Seleccione el tipo de procedimiento</t>
        </r>
      </text>
    </comment>
    <comment ref="E1939" authorId="1" shapeId="0" xr:uid="{00000000-0006-0000-0100-00007F060000}">
      <text>
        <r>
          <rPr>
            <sz val="11"/>
            <color theme="1"/>
            <rFont val="Calibri"/>
            <family val="2"/>
            <scheme val="minor"/>
          </rPr>
          <t>Seleccione un valor de la lista</t>
        </r>
      </text>
    </comment>
    <comment ref="F1939" authorId="1" shapeId="0" xr:uid="{00000000-0006-0000-0100-000080060000}">
      <text>
        <r>
          <rPr>
            <sz val="11"/>
            <color theme="1"/>
            <rFont val="Calibri"/>
            <family val="2"/>
            <scheme val="minor"/>
          </rPr>
          <t>Introduzca el código SNIP</t>
        </r>
      </text>
    </comment>
    <comment ref="C1940" authorId="1" shapeId="0" xr:uid="{00000000-0006-0000-0100-000081060000}">
      <text>
        <r>
          <rPr>
            <sz val="11"/>
            <color theme="1"/>
            <rFont val="Calibri"/>
            <family val="2"/>
            <scheme val="minor"/>
          </rPr>
          <t>Introduzca la fecha de inicio del proceso, en formato dd-mm-aaaa</t>
        </r>
      </text>
    </comment>
    <comment ref="F1940" authorId="1" shapeId="0" xr:uid="{00000000-0006-0000-0100-000083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1" authorId="1" shapeId="0" xr:uid="{00000000-0006-0000-0100-000084060000}">
      <text/>
    </comment>
    <comment ref="C1942" authorId="1" shapeId="0" xr:uid="{00000000-0006-0000-0100-000082060000}">
      <text>
        <r>
          <rPr>
            <sz val="11"/>
            <color theme="1"/>
            <rFont val="Calibri"/>
            <family val="2"/>
            <scheme val="minor"/>
          </rPr>
          <t>Introduzca la fecha prevista de adjudicación, en formato dd-mm-aaaa</t>
        </r>
      </text>
    </comment>
    <comment ref="F1942" authorId="1" shapeId="0" xr:uid="{00000000-0006-0000-0100-000085060000}">
      <text/>
    </comment>
    <comment ref="F1943" authorId="1" shapeId="0" xr:uid="{00000000-0006-0000-0100-000086060000}">
      <text/>
    </comment>
    <comment ref="A1945" authorId="1" shapeId="0" xr:uid="{00000000-0006-0000-0100-000087060000}">
      <text>
        <r>
          <rPr>
            <sz val="11"/>
            <color theme="1"/>
            <rFont val="Calibri"/>
            <family val="2"/>
            <scheme val="minor"/>
          </rPr>
          <t>Introduzca un codigo UNSPSC</t>
        </r>
      </text>
    </comment>
    <comment ref="B1945" authorId="1" shapeId="0" xr:uid="{00000000-0006-0000-0100-000088060000}">
      <text>
        <r>
          <rPr>
            <sz val="11"/>
            <color theme="1"/>
            <rFont val="Calibri"/>
            <family val="2"/>
            <scheme val="minor"/>
          </rPr>
          <t>Descripción calculada automáticamente a partir de código del artículo</t>
        </r>
      </text>
    </comment>
    <comment ref="C1945" authorId="1" shapeId="0" xr:uid="{00000000-0006-0000-0100-000089060000}">
      <text>
        <r>
          <rPr>
            <sz val="11"/>
            <color theme="1"/>
            <rFont val="Calibri"/>
            <family val="2"/>
            <scheme val="minor"/>
          </rPr>
          <t>Seleccione un valor de la lista</t>
        </r>
      </text>
    </comment>
    <comment ref="D1945" authorId="1" shapeId="0" xr:uid="{00000000-0006-0000-0100-00008A060000}">
      <text>
        <r>
          <rPr>
            <sz val="11"/>
            <color theme="1"/>
            <rFont val="Calibri"/>
            <family val="2"/>
            <scheme val="minor"/>
          </rPr>
          <t>Introduzca un número con dos decimales como máximo. Debe ser igual o mayor a la "Cantidad Real Consumida"</t>
        </r>
      </text>
    </comment>
    <comment ref="E1945" authorId="1" shapeId="0" xr:uid="{00000000-0006-0000-0100-00008B060000}">
      <text>
        <r>
          <rPr>
            <sz val="11"/>
            <color theme="1"/>
            <rFont val="Calibri"/>
            <family val="2"/>
            <scheme val="minor"/>
          </rPr>
          <t>Introduzca un número con dos decimales como máximo</t>
        </r>
      </text>
    </comment>
    <comment ref="F1945" authorId="1" shapeId="0" xr:uid="{00000000-0006-0000-0100-00008C060000}">
      <text>
        <r>
          <rPr>
            <sz val="11"/>
            <color theme="1"/>
            <rFont val="Calibri"/>
            <family val="2"/>
            <scheme val="minor"/>
          </rPr>
          <t>Monto calculado automáticamente por el sistema</t>
        </r>
      </text>
    </comment>
    <comment ref="A1961" authorId="1" shapeId="0" xr:uid="{00000000-0006-0000-0100-00008D060000}">
      <text>
        <r>
          <rPr>
            <sz val="11"/>
            <color theme="1"/>
            <rFont val="Calibri"/>
            <family val="2"/>
            <scheme val="minor"/>
          </rPr>
          <t>Introducir un texto con el nombre o referencia de la contratación</t>
        </r>
      </text>
    </comment>
    <comment ref="B1961" authorId="1" shapeId="0" xr:uid="{00000000-0006-0000-0100-00008E060000}">
      <text>
        <r>
          <rPr>
            <sz val="11"/>
            <color theme="1"/>
            <rFont val="Calibri"/>
            <family val="2"/>
            <scheme val="minor"/>
          </rPr>
          <t>Introduzca un texto con la finalidad de la contratación</t>
        </r>
      </text>
    </comment>
    <comment ref="C1961" authorId="1" shapeId="0" xr:uid="{00000000-0006-0000-0100-00008F060000}">
      <text>
        <r>
          <rPr>
            <sz val="11"/>
            <color theme="1"/>
            <rFont val="Calibri"/>
            <family val="2"/>
            <scheme val="minor"/>
          </rPr>
          <t>Seleccionar un valor del listado</t>
        </r>
      </text>
    </comment>
    <comment ref="D1961" authorId="1" shapeId="0" xr:uid="{00000000-0006-0000-0100-000090060000}">
      <text>
        <r>
          <rPr>
            <sz val="11"/>
            <color theme="1"/>
            <rFont val="Calibri"/>
            <family val="2"/>
            <scheme val="minor"/>
          </rPr>
          <t>Seleccione el tipo de procedimiento</t>
        </r>
      </text>
    </comment>
    <comment ref="E1961" authorId="1" shapeId="0" xr:uid="{00000000-0006-0000-0100-000091060000}">
      <text>
        <r>
          <rPr>
            <sz val="11"/>
            <color theme="1"/>
            <rFont val="Calibri"/>
            <family val="2"/>
            <scheme val="minor"/>
          </rPr>
          <t>Seleccione un valor de la lista</t>
        </r>
      </text>
    </comment>
    <comment ref="F1961" authorId="1" shapeId="0" xr:uid="{00000000-0006-0000-0100-000092060000}">
      <text>
        <r>
          <rPr>
            <sz val="11"/>
            <color theme="1"/>
            <rFont val="Calibri"/>
            <family val="2"/>
            <scheme val="minor"/>
          </rPr>
          <t>Introduzca el código SNIP</t>
        </r>
      </text>
    </comment>
    <comment ref="C1962" authorId="1" shapeId="0" xr:uid="{00000000-0006-0000-0100-000093060000}">
      <text>
        <r>
          <rPr>
            <sz val="11"/>
            <color theme="1"/>
            <rFont val="Calibri"/>
            <family val="2"/>
            <scheme val="minor"/>
          </rPr>
          <t>Introduzca la fecha de inicio del proceso, en formato dd-mm-aaaa</t>
        </r>
      </text>
    </comment>
    <comment ref="F1962" authorId="1" shapeId="0" xr:uid="{00000000-0006-0000-0100-00009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3" authorId="1" shapeId="0" xr:uid="{00000000-0006-0000-0100-000096060000}">
      <text/>
    </comment>
    <comment ref="C1964" authorId="1" shapeId="0" xr:uid="{00000000-0006-0000-0100-000094060000}">
      <text>
        <r>
          <rPr>
            <sz val="11"/>
            <color theme="1"/>
            <rFont val="Calibri"/>
            <family val="2"/>
            <scheme val="minor"/>
          </rPr>
          <t>Introduzca la fecha prevista de adjudicación, en formato dd-mm-aaaa</t>
        </r>
      </text>
    </comment>
    <comment ref="F1964" authorId="1" shapeId="0" xr:uid="{00000000-0006-0000-0100-000097060000}">
      <text/>
    </comment>
    <comment ref="F1965" authorId="1" shapeId="0" xr:uid="{00000000-0006-0000-0100-000098060000}">
      <text/>
    </comment>
    <comment ref="A1967" authorId="1" shapeId="0" xr:uid="{00000000-0006-0000-0100-000099060000}">
      <text>
        <r>
          <rPr>
            <sz val="11"/>
            <color theme="1"/>
            <rFont val="Calibri"/>
            <family val="2"/>
            <scheme val="minor"/>
          </rPr>
          <t>Introduzca un codigo UNSPSC</t>
        </r>
      </text>
    </comment>
    <comment ref="B1967" authorId="1" shapeId="0" xr:uid="{00000000-0006-0000-0100-00009A060000}">
      <text>
        <r>
          <rPr>
            <sz val="11"/>
            <color theme="1"/>
            <rFont val="Calibri"/>
            <family val="2"/>
            <scheme val="minor"/>
          </rPr>
          <t>Descripción calculada automáticamente a partir de código del artículo</t>
        </r>
      </text>
    </comment>
    <comment ref="C1967" authorId="1" shapeId="0" xr:uid="{00000000-0006-0000-0100-00009B060000}">
      <text>
        <r>
          <rPr>
            <sz val="11"/>
            <color theme="1"/>
            <rFont val="Calibri"/>
            <family val="2"/>
            <scheme val="minor"/>
          </rPr>
          <t>Seleccione un valor de la lista</t>
        </r>
      </text>
    </comment>
    <comment ref="D1967" authorId="1" shapeId="0" xr:uid="{00000000-0006-0000-0100-00009C060000}">
      <text>
        <r>
          <rPr>
            <sz val="11"/>
            <color theme="1"/>
            <rFont val="Calibri"/>
            <family val="2"/>
            <scheme val="minor"/>
          </rPr>
          <t>Introduzca un número con dos decimales como máximo. Debe ser igual o mayor a la "Cantidad Real Consumida"</t>
        </r>
      </text>
    </comment>
    <comment ref="E1967" authorId="1" shapeId="0" xr:uid="{00000000-0006-0000-0100-00009D060000}">
      <text>
        <r>
          <rPr>
            <sz val="11"/>
            <color theme="1"/>
            <rFont val="Calibri"/>
            <family val="2"/>
            <scheme val="minor"/>
          </rPr>
          <t>Introduzca un número con dos decimales como máximo</t>
        </r>
      </text>
    </comment>
    <comment ref="F1967" authorId="1" shapeId="0" xr:uid="{00000000-0006-0000-0100-00009E060000}">
      <text>
        <r>
          <rPr>
            <sz val="11"/>
            <color theme="1"/>
            <rFont val="Calibri"/>
            <family val="2"/>
            <scheme val="minor"/>
          </rPr>
          <t>Monto calculado automáticamente por el sistema</t>
        </r>
      </text>
    </comment>
    <comment ref="A1977" authorId="1" shapeId="0" xr:uid="{00000000-0006-0000-0100-00009F060000}">
      <text>
        <r>
          <rPr>
            <sz val="11"/>
            <color theme="1"/>
            <rFont val="Calibri"/>
            <family val="2"/>
            <scheme val="minor"/>
          </rPr>
          <t>Introducir un texto con el nombre o referencia de la contratación</t>
        </r>
      </text>
    </comment>
    <comment ref="B1977" authorId="1" shapeId="0" xr:uid="{00000000-0006-0000-0100-0000A0060000}">
      <text>
        <r>
          <rPr>
            <sz val="11"/>
            <color theme="1"/>
            <rFont val="Calibri"/>
            <family val="2"/>
            <scheme val="minor"/>
          </rPr>
          <t>Introduzca un texto con la finalidad de la contratación</t>
        </r>
      </text>
    </comment>
    <comment ref="C1977" authorId="1" shapeId="0" xr:uid="{00000000-0006-0000-0100-0000A1060000}">
      <text>
        <r>
          <rPr>
            <sz val="11"/>
            <color theme="1"/>
            <rFont val="Calibri"/>
            <family val="2"/>
            <scheme val="minor"/>
          </rPr>
          <t>Seleccionar un valor del listado</t>
        </r>
      </text>
    </comment>
    <comment ref="D1977" authorId="1" shapeId="0" xr:uid="{00000000-0006-0000-0100-0000A2060000}">
      <text>
        <r>
          <rPr>
            <sz val="11"/>
            <color theme="1"/>
            <rFont val="Calibri"/>
            <family val="2"/>
            <scheme val="minor"/>
          </rPr>
          <t>Seleccione el tipo de procedimiento</t>
        </r>
      </text>
    </comment>
    <comment ref="E1977" authorId="1" shapeId="0" xr:uid="{00000000-0006-0000-0100-0000A3060000}">
      <text>
        <r>
          <rPr>
            <sz val="11"/>
            <color theme="1"/>
            <rFont val="Calibri"/>
            <family val="2"/>
            <scheme val="minor"/>
          </rPr>
          <t>Seleccione un valor de la lista</t>
        </r>
      </text>
    </comment>
    <comment ref="F1977" authorId="1" shapeId="0" xr:uid="{00000000-0006-0000-0100-0000A4060000}">
      <text>
        <r>
          <rPr>
            <sz val="11"/>
            <color theme="1"/>
            <rFont val="Calibri"/>
            <family val="2"/>
            <scheme val="minor"/>
          </rPr>
          <t>Introduzca el código SNIP</t>
        </r>
      </text>
    </comment>
    <comment ref="C1978" authorId="1" shapeId="0" xr:uid="{00000000-0006-0000-0100-0000A5060000}">
      <text>
        <r>
          <rPr>
            <sz val="11"/>
            <color theme="1"/>
            <rFont val="Calibri"/>
            <family val="2"/>
            <scheme val="minor"/>
          </rPr>
          <t>Introduzca la fecha de inicio del proceso, en formato dd-mm-aaaa</t>
        </r>
      </text>
    </comment>
    <comment ref="F1978" authorId="1" shapeId="0" xr:uid="{00000000-0006-0000-0100-0000A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9" authorId="1" shapeId="0" xr:uid="{00000000-0006-0000-0100-0000A8060000}">
      <text/>
    </comment>
    <comment ref="C1980" authorId="1" shapeId="0" xr:uid="{00000000-0006-0000-0100-0000A6060000}">
      <text>
        <r>
          <rPr>
            <sz val="11"/>
            <color theme="1"/>
            <rFont val="Calibri"/>
            <family val="2"/>
            <scheme val="minor"/>
          </rPr>
          <t>Introduzca la fecha prevista de adjudicación, en formato dd-mm-aaaa</t>
        </r>
      </text>
    </comment>
    <comment ref="F1980" authorId="1" shapeId="0" xr:uid="{00000000-0006-0000-0100-0000A9060000}">
      <text/>
    </comment>
    <comment ref="F1981" authorId="1" shapeId="0" xr:uid="{00000000-0006-0000-0100-0000AA060000}">
      <text/>
    </comment>
    <comment ref="A1983" authorId="1" shapeId="0" xr:uid="{00000000-0006-0000-0100-0000AB060000}">
      <text>
        <r>
          <rPr>
            <sz val="11"/>
            <color theme="1"/>
            <rFont val="Calibri"/>
            <family val="2"/>
            <scheme val="minor"/>
          </rPr>
          <t>Introduzca un codigo UNSPSC</t>
        </r>
      </text>
    </comment>
    <comment ref="B1983" authorId="1" shapeId="0" xr:uid="{00000000-0006-0000-0100-0000AC060000}">
      <text>
        <r>
          <rPr>
            <sz val="11"/>
            <color theme="1"/>
            <rFont val="Calibri"/>
            <family val="2"/>
            <scheme val="minor"/>
          </rPr>
          <t>Descripción calculada automáticamente a partir de código del artículo</t>
        </r>
      </text>
    </comment>
    <comment ref="C1983" authorId="1" shapeId="0" xr:uid="{00000000-0006-0000-0100-0000AD060000}">
      <text>
        <r>
          <rPr>
            <sz val="11"/>
            <color theme="1"/>
            <rFont val="Calibri"/>
            <family val="2"/>
            <scheme val="minor"/>
          </rPr>
          <t>Seleccione un valor de la lista</t>
        </r>
      </text>
    </comment>
    <comment ref="D1983" authorId="1" shapeId="0" xr:uid="{00000000-0006-0000-0100-0000AE060000}">
      <text>
        <r>
          <rPr>
            <sz val="11"/>
            <color theme="1"/>
            <rFont val="Calibri"/>
            <family val="2"/>
            <scheme val="minor"/>
          </rPr>
          <t>Introduzca un número con dos decimales como máximo. Debe ser igual o mayor a la "Cantidad Real Consumida"</t>
        </r>
      </text>
    </comment>
    <comment ref="E1983" authorId="1" shapeId="0" xr:uid="{00000000-0006-0000-0100-0000AF060000}">
      <text>
        <r>
          <rPr>
            <sz val="11"/>
            <color theme="1"/>
            <rFont val="Calibri"/>
            <family val="2"/>
            <scheme val="minor"/>
          </rPr>
          <t>Introduzca un número con dos decimales como máximo</t>
        </r>
      </text>
    </comment>
    <comment ref="F1983" authorId="1" shapeId="0" xr:uid="{00000000-0006-0000-0100-0000B0060000}">
      <text>
        <r>
          <rPr>
            <sz val="11"/>
            <color theme="1"/>
            <rFont val="Calibri"/>
            <family val="2"/>
            <scheme val="minor"/>
          </rPr>
          <t>Monto calculado automáticamente por el sistema</t>
        </r>
      </text>
    </comment>
    <comment ref="A1988" authorId="1" shapeId="0" xr:uid="{00000000-0006-0000-0100-0000B1060000}">
      <text>
        <r>
          <rPr>
            <sz val="11"/>
            <color theme="1"/>
            <rFont val="Calibri"/>
            <family val="2"/>
            <scheme val="minor"/>
          </rPr>
          <t>Introducir un texto con el nombre o referencia de la contratación</t>
        </r>
      </text>
    </comment>
    <comment ref="B1988" authorId="1" shapeId="0" xr:uid="{00000000-0006-0000-0100-0000B2060000}">
      <text>
        <r>
          <rPr>
            <sz val="11"/>
            <color theme="1"/>
            <rFont val="Calibri"/>
            <family val="2"/>
            <scheme val="minor"/>
          </rPr>
          <t>Introduzca un texto con la finalidad de la contratación</t>
        </r>
      </text>
    </comment>
    <comment ref="C1988" authorId="1" shapeId="0" xr:uid="{00000000-0006-0000-0100-0000B3060000}">
      <text>
        <r>
          <rPr>
            <sz val="11"/>
            <color theme="1"/>
            <rFont val="Calibri"/>
            <family val="2"/>
            <scheme val="minor"/>
          </rPr>
          <t>Seleccionar un valor del listado</t>
        </r>
      </text>
    </comment>
    <comment ref="D1988" authorId="1" shapeId="0" xr:uid="{00000000-0006-0000-0100-0000B4060000}">
      <text>
        <r>
          <rPr>
            <sz val="11"/>
            <color theme="1"/>
            <rFont val="Calibri"/>
            <family val="2"/>
            <scheme val="minor"/>
          </rPr>
          <t>Seleccione el tipo de procedimiento</t>
        </r>
      </text>
    </comment>
    <comment ref="E1988" authorId="1" shapeId="0" xr:uid="{00000000-0006-0000-0100-0000B5060000}">
      <text>
        <r>
          <rPr>
            <sz val="11"/>
            <color theme="1"/>
            <rFont val="Calibri"/>
            <family val="2"/>
            <scheme val="minor"/>
          </rPr>
          <t>Seleccione un valor de la lista</t>
        </r>
      </text>
    </comment>
    <comment ref="F1988" authorId="1" shapeId="0" xr:uid="{00000000-0006-0000-0100-0000B6060000}">
      <text>
        <r>
          <rPr>
            <sz val="11"/>
            <color theme="1"/>
            <rFont val="Calibri"/>
            <family val="2"/>
            <scheme val="minor"/>
          </rPr>
          <t>Introduzca el código SNIP</t>
        </r>
      </text>
    </comment>
    <comment ref="C1989" authorId="1" shapeId="0" xr:uid="{00000000-0006-0000-0100-0000B7060000}">
      <text>
        <r>
          <rPr>
            <sz val="11"/>
            <color theme="1"/>
            <rFont val="Calibri"/>
            <family val="2"/>
            <scheme val="minor"/>
          </rPr>
          <t>Introduzca la fecha de inicio del proceso, en formato dd-mm-aaaa</t>
        </r>
      </text>
    </comment>
    <comment ref="F1989" authorId="1" shapeId="0" xr:uid="{00000000-0006-0000-0100-0000B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0" authorId="1" shapeId="0" xr:uid="{00000000-0006-0000-0100-0000BA060000}">
      <text/>
    </comment>
    <comment ref="C1991" authorId="1" shapeId="0" xr:uid="{00000000-0006-0000-0100-0000B8060000}">
      <text>
        <r>
          <rPr>
            <sz val="11"/>
            <color theme="1"/>
            <rFont val="Calibri"/>
            <family val="2"/>
            <scheme val="minor"/>
          </rPr>
          <t>Introduzca la fecha prevista de adjudicación, en formato dd-mm-aaaa</t>
        </r>
      </text>
    </comment>
    <comment ref="F1991" authorId="1" shapeId="0" xr:uid="{00000000-0006-0000-0100-0000BB060000}">
      <text/>
    </comment>
    <comment ref="F1992" authorId="1" shapeId="0" xr:uid="{00000000-0006-0000-0100-0000BC060000}">
      <text/>
    </comment>
    <comment ref="A1994" authorId="1" shapeId="0" xr:uid="{00000000-0006-0000-0100-0000BD060000}">
      <text>
        <r>
          <rPr>
            <sz val="11"/>
            <color theme="1"/>
            <rFont val="Calibri"/>
            <family val="2"/>
            <scheme val="minor"/>
          </rPr>
          <t>Introduzca un codigo UNSPSC</t>
        </r>
      </text>
    </comment>
    <comment ref="B1994" authorId="1" shapeId="0" xr:uid="{00000000-0006-0000-0100-0000BE060000}">
      <text>
        <r>
          <rPr>
            <sz val="11"/>
            <color theme="1"/>
            <rFont val="Calibri"/>
            <family val="2"/>
            <scheme val="minor"/>
          </rPr>
          <t>Descripción calculada automáticamente a partir de código del artículo</t>
        </r>
      </text>
    </comment>
    <comment ref="C1994" authorId="1" shapeId="0" xr:uid="{00000000-0006-0000-0100-0000BF060000}">
      <text>
        <r>
          <rPr>
            <sz val="11"/>
            <color theme="1"/>
            <rFont val="Calibri"/>
            <family val="2"/>
            <scheme val="minor"/>
          </rPr>
          <t>Seleccione un valor de la lista</t>
        </r>
      </text>
    </comment>
    <comment ref="D1994" authorId="1" shapeId="0" xr:uid="{00000000-0006-0000-0100-0000C0060000}">
      <text>
        <r>
          <rPr>
            <sz val="11"/>
            <color theme="1"/>
            <rFont val="Calibri"/>
            <family val="2"/>
            <scheme val="minor"/>
          </rPr>
          <t>Introduzca un número con dos decimales como máximo. Debe ser igual o mayor a la "Cantidad Real Consumida"</t>
        </r>
      </text>
    </comment>
    <comment ref="E1994" authorId="1" shapeId="0" xr:uid="{00000000-0006-0000-0100-0000C1060000}">
      <text>
        <r>
          <rPr>
            <sz val="11"/>
            <color theme="1"/>
            <rFont val="Calibri"/>
            <family val="2"/>
            <scheme val="minor"/>
          </rPr>
          <t>Introduzca un número con dos decimales como máximo</t>
        </r>
      </text>
    </comment>
    <comment ref="F1994" authorId="1" shapeId="0" xr:uid="{00000000-0006-0000-0100-0000C2060000}">
      <text>
        <r>
          <rPr>
            <sz val="11"/>
            <color theme="1"/>
            <rFont val="Calibri"/>
            <family val="2"/>
            <scheme val="minor"/>
          </rPr>
          <t>Monto calculado automáticamente por el sistema</t>
        </r>
      </text>
    </comment>
    <comment ref="A1999" authorId="1" shapeId="0" xr:uid="{00000000-0006-0000-0100-0000C3060000}">
      <text>
        <r>
          <rPr>
            <sz val="11"/>
            <color theme="1"/>
            <rFont val="Calibri"/>
            <family val="2"/>
            <scheme val="minor"/>
          </rPr>
          <t>Introducir un texto con el nombre o referencia de la contratación</t>
        </r>
      </text>
    </comment>
    <comment ref="B1999" authorId="1" shapeId="0" xr:uid="{00000000-0006-0000-0100-0000C4060000}">
      <text>
        <r>
          <rPr>
            <sz val="11"/>
            <color theme="1"/>
            <rFont val="Calibri"/>
            <family val="2"/>
            <scheme val="minor"/>
          </rPr>
          <t>Introduzca un texto con la finalidad de la contratación</t>
        </r>
      </text>
    </comment>
    <comment ref="C1999" authorId="1" shapeId="0" xr:uid="{00000000-0006-0000-0100-0000C5060000}">
      <text>
        <r>
          <rPr>
            <sz val="11"/>
            <color theme="1"/>
            <rFont val="Calibri"/>
            <family val="2"/>
            <scheme val="minor"/>
          </rPr>
          <t>Seleccionar un valor del listado</t>
        </r>
      </text>
    </comment>
    <comment ref="D1999" authorId="1" shapeId="0" xr:uid="{00000000-0006-0000-0100-0000C6060000}">
      <text>
        <r>
          <rPr>
            <sz val="11"/>
            <color theme="1"/>
            <rFont val="Calibri"/>
            <family val="2"/>
            <scheme val="minor"/>
          </rPr>
          <t>Seleccione el tipo de procedimiento</t>
        </r>
      </text>
    </comment>
    <comment ref="E1999" authorId="1" shapeId="0" xr:uid="{00000000-0006-0000-0100-0000C7060000}">
      <text>
        <r>
          <rPr>
            <sz val="11"/>
            <color theme="1"/>
            <rFont val="Calibri"/>
            <family val="2"/>
            <scheme val="minor"/>
          </rPr>
          <t>Seleccione un valor de la lista</t>
        </r>
      </text>
    </comment>
    <comment ref="F1999" authorId="1" shapeId="0" xr:uid="{00000000-0006-0000-0100-0000C8060000}">
      <text>
        <r>
          <rPr>
            <sz val="11"/>
            <color theme="1"/>
            <rFont val="Calibri"/>
            <family val="2"/>
            <scheme val="minor"/>
          </rPr>
          <t>Introduzca el código SNIP</t>
        </r>
      </text>
    </comment>
    <comment ref="C2000" authorId="1" shapeId="0" xr:uid="{00000000-0006-0000-0100-0000C9060000}">
      <text>
        <r>
          <rPr>
            <sz val="11"/>
            <color theme="1"/>
            <rFont val="Calibri"/>
            <family val="2"/>
            <scheme val="minor"/>
          </rPr>
          <t>Introduzca la fecha de inicio del proceso, en formato dd-mm-aaaa</t>
        </r>
      </text>
    </comment>
    <comment ref="F2000" authorId="1" shapeId="0" xr:uid="{00000000-0006-0000-0100-0000C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1" authorId="1" shapeId="0" xr:uid="{00000000-0006-0000-0100-0000CC060000}">
      <text/>
    </comment>
    <comment ref="C2002" authorId="1" shapeId="0" xr:uid="{00000000-0006-0000-0100-0000CA060000}">
      <text>
        <r>
          <rPr>
            <sz val="11"/>
            <color theme="1"/>
            <rFont val="Calibri"/>
            <family val="2"/>
            <scheme val="minor"/>
          </rPr>
          <t>Introduzca la fecha prevista de adjudicación, en formato dd-mm-aaaa</t>
        </r>
      </text>
    </comment>
    <comment ref="F2002" authorId="1" shapeId="0" xr:uid="{00000000-0006-0000-0100-0000CD060000}">
      <text/>
    </comment>
    <comment ref="F2003" authorId="1" shapeId="0" xr:uid="{00000000-0006-0000-0100-0000CE060000}">
      <text/>
    </comment>
    <comment ref="A2005" authorId="1" shapeId="0" xr:uid="{00000000-0006-0000-0100-0000CF060000}">
      <text>
        <r>
          <rPr>
            <sz val="11"/>
            <color theme="1"/>
            <rFont val="Calibri"/>
            <family val="2"/>
            <scheme val="minor"/>
          </rPr>
          <t>Introduzca un codigo UNSPSC</t>
        </r>
      </text>
    </comment>
    <comment ref="B2005" authorId="1" shapeId="0" xr:uid="{00000000-0006-0000-0100-0000D0060000}">
      <text>
        <r>
          <rPr>
            <sz val="11"/>
            <color theme="1"/>
            <rFont val="Calibri"/>
            <family val="2"/>
            <scheme val="minor"/>
          </rPr>
          <t>Descripción calculada automáticamente a partir de código del artículo</t>
        </r>
      </text>
    </comment>
    <comment ref="C2005" authorId="1" shapeId="0" xr:uid="{00000000-0006-0000-0100-0000D1060000}">
      <text>
        <r>
          <rPr>
            <sz val="11"/>
            <color theme="1"/>
            <rFont val="Calibri"/>
            <family val="2"/>
            <scheme val="minor"/>
          </rPr>
          <t>Seleccione un valor de la lista</t>
        </r>
      </text>
    </comment>
    <comment ref="D2005" authorId="1" shapeId="0" xr:uid="{00000000-0006-0000-0100-0000D2060000}">
      <text>
        <r>
          <rPr>
            <sz val="11"/>
            <color theme="1"/>
            <rFont val="Calibri"/>
            <family val="2"/>
            <scheme val="minor"/>
          </rPr>
          <t>Introduzca un número con dos decimales como máximo. Debe ser igual o mayor a la "Cantidad Real Consumida"</t>
        </r>
      </text>
    </comment>
    <comment ref="E2005" authorId="1" shapeId="0" xr:uid="{00000000-0006-0000-0100-0000D3060000}">
      <text>
        <r>
          <rPr>
            <sz val="11"/>
            <color theme="1"/>
            <rFont val="Calibri"/>
            <family val="2"/>
            <scheme val="minor"/>
          </rPr>
          <t>Introduzca un número con dos decimales como máximo</t>
        </r>
      </text>
    </comment>
    <comment ref="F2005" authorId="1" shapeId="0" xr:uid="{00000000-0006-0000-0100-0000D4060000}">
      <text>
        <r>
          <rPr>
            <sz val="11"/>
            <color theme="1"/>
            <rFont val="Calibri"/>
            <family val="2"/>
            <scheme val="minor"/>
          </rPr>
          <t>Monto calculado automáticamente por el sistema</t>
        </r>
      </text>
    </comment>
    <comment ref="A2012" authorId="1" shapeId="0" xr:uid="{00000000-0006-0000-0100-0000D5060000}">
      <text>
        <r>
          <rPr>
            <sz val="11"/>
            <color theme="1"/>
            <rFont val="Calibri"/>
            <family val="2"/>
            <scheme val="minor"/>
          </rPr>
          <t>Introducir un texto con el nombre o referencia de la contratación</t>
        </r>
      </text>
    </comment>
    <comment ref="B2012" authorId="1" shapeId="0" xr:uid="{00000000-0006-0000-0100-0000D6060000}">
      <text>
        <r>
          <rPr>
            <sz val="11"/>
            <color theme="1"/>
            <rFont val="Calibri"/>
            <family val="2"/>
            <scheme val="minor"/>
          </rPr>
          <t>Introduzca un texto con la finalidad de la contratación</t>
        </r>
      </text>
    </comment>
    <comment ref="C2012" authorId="1" shapeId="0" xr:uid="{00000000-0006-0000-0100-0000D7060000}">
      <text>
        <r>
          <rPr>
            <sz val="11"/>
            <color theme="1"/>
            <rFont val="Calibri"/>
            <family val="2"/>
            <scheme val="minor"/>
          </rPr>
          <t>Seleccionar un valor del listado</t>
        </r>
      </text>
    </comment>
    <comment ref="D2012" authorId="1" shapeId="0" xr:uid="{00000000-0006-0000-0100-0000D8060000}">
      <text>
        <r>
          <rPr>
            <sz val="11"/>
            <color theme="1"/>
            <rFont val="Calibri"/>
            <family val="2"/>
            <scheme val="minor"/>
          </rPr>
          <t>Seleccione el tipo de procedimiento</t>
        </r>
      </text>
    </comment>
    <comment ref="E2012" authorId="1" shapeId="0" xr:uid="{00000000-0006-0000-0100-0000D9060000}">
      <text>
        <r>
          <rPr>
            <sz val="11"/>
            <color theme="1"/>
            <rFont val="Calibri"/>
            <family val="2"/>
            <scheme val="minor"/>
          </rPr>
          <t>Seleccione un valor de la lista</t>
        </r>
      </text>
    </comment>
    <comment ref="F2012" authorId="1" shapeId="0" xr:uid="{00000000-0006-0000-0100-0000DA060000}">
      <text>
        <r>
          <rPr>
            <sz val="11"/>
            <color theme="1"/>
            <rFont val="Calibri"/>
            <family val="2"/>
            <scheme val="minor"/>
          </rPr>
          <t>Introduzca el código SNIP</t>
        </r>
      </text>
    </comment>
    <comment ref="C2013" authorId="1" shapeId="0" xr:uid="{00000000-0006-0000-0100-0000DB060000}">
      <text>
        <r>
          <rPr>
            <sz val="11"/>
            <color theme="1"/>
            <rFont val="Calibri"/>
            <family val="2"/>
            <scheme val="minor"/>
          </rPr>
          <t>Introduzca la fecha de inicio del proceso, en formato dd-mm-aaaa</t>
        </r>
      </text>
    </comment>
    <comment ref="F2013" authorId="1" shapeId="0" xr:uid="{00000000-0006-0000-0100-0000D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4" authorId="1" shapeId="0" xr:uid="{00000000-0006-0000-0100-0000DE060000}">
      <text/>
    </comment>
    <comment ref="C2015" authorId="1" shapeId="0" xr:uid="{00000000-0006-0000-0100-0000DC060000}">
      <text>
        <r>
          <rPr>
            <sz val="11"/>
            <color theme="1"/>
            <rFont val="Calibri"/>
            <family val="2"/>
            <scheme val="minor"/>
          </rPr>
          <t>Introduzca la fecha prevista de adjudicación, en formato dd-mm-aaaa</t>
        </r>
      </text>
    </comment>
    <comment ref="F2015" authorId="1" shapeId="0" xr:uid="{00000000-0006-0000-0100-0000DF060000}">
      <text/>
    </comment>
    <comment ref="F2016" authorId="1" shapeId="0" xr:uid="{00000000-0006-0000-0100-0000E0060000}">
      <text/>
    </comment>
    <comment ref="A2018" authorId="1" shapeId="0" xr:uid="{00000000-0006-0000-0100-0000E1060000}">
      <text>
        <r>
          <rPr>
            <sz val="11"/>
            <color theme="1"/>
            <rFont val="Calibri"/>
            <family val="2"/>
            <scheme val="minor"/>
          </rPr>
          <t>Introduzca un codigo UNSPSC</t>
        </r>
      </text>
    </comment>
    <comment ref="B2018" authorId="1" shapeId="0" xr:uid="{00000000-0006-0000-0100-0000E2060000}">
      <text>
        <r>
          <rPr>
            <sz val="11"/>
            <color theme="1"/>
            <rFont val="Calibri"/>
            <family val="2"/>
            <scheme val="minor"/>
          </rPr>
          <t>Descripción calculada automáticamente a partir de código del artículo</t>
        </r>
      </text>
    </comment>
    <comment ref="C2018" authorId="1" shapeId="0" xr:uid="{00000000-0006-0000-0100-0000E3060000}">
      <text>
        <r>
          <rPr>
            <sz val="11"/>
            <color theme="1"/>
            <rFont val="Calibri"/>
            <family val="2"/>
            <scheme val="minor"/>
          </rPr>
          <t>Seleccione un valor de la lista</t>
        </r>
      </text>
    </comment>
    <comment ref="D2018" authorId="1" shapeId="0" xr:uid="{00000000-0006-0000-0100-0000E4060000}">
      <text>
        <r>
          <rPr>
            <sz val="11"/>
            <color theme="1"/>
            <rFont val="Calibri"/>
            <family val="2"/>
            <scheme val="minor"/>
          </rPr>
          <t>Introduzca un número con dos decimales como máximo. Debe ser igual o mayor a la "Cantidad Real Consumida"</t>
        </r>
      </text>
    </comment>
    <comment ref="E2018" authorId="1" shapeId="0" xr:uid="{00000000-0006-0000-0100-0000E5060000}">
      <text>
        <r>
          <rPr>
            <sz val="11"/>
            <color theme="1"/>
            <rFont val="Calibri"/>
            <family val="2"/>
            <scheme val="minor"/>
          </rPr>
          <t>Introduzca un número con dos decimales como máximo</t>
        </r>
      </text>
    </comment>
    <comment ref="F2018" authorId="1" shapeId="0" xr:uid="{00000000-0006-0000-0100-0000E6060000}">
      <text>
        <r>
          <rPr>
            <sz val="11"/>
            <color theme="1"/>
            <rFont val="Calibri"/>
            <family val="2"/>
            <scheme val="minor"/>
          </rPr>
          <t>Monto calculado automáticamente por el sistema</t>
        </r>
      </text>
    </comment>
    <comment ref="A2023" authorId="1" shapeId="0" xr:uid="{00000000-0006-0000-0100-0000E7060000}">
      <text>
        <r>
          <rPr>
            <sz val="11"/>
            <color theme="1"/>
            <rFont val="Calibri"/>
            <family val="2"/>
            <scheme val="minor"/>
          </rPr>
          <t>Introducir un texto con el nombre o referencia de la contratación</t>
        </r>
      </text>
    </comment>
    <comment ref="B2023" authorId="1" shapeId="0" xr:uid="{00000000-0006-0000-0100-0000E8060000}">
      <text>
        <r>
          <rPr>
            <sz val="11"/>
            <color theme="1"/>
            <rFont val="Calibri"/>
            <family val="2"/>
            <scheme val="minor"/>
          </rPr>
          <t>Introduzca un texto con la finalidad de la contratación</t>
        </r>
      </text>
    </comment>
    <comment ref="C2023" authorId="1" shapeId="0" xr:uid="{00000000-0006-0000-0100-0000E9060000}">
      <text>
        <r>
          <rPr>
            <sz val="11"/>
            <color theme="1"/>
            <rFont val="Calibri"/>
            <family val="2"/>
            <scheme val="minor"/>
          </rPr>
          <t>Seleccionar un valor del listado</t>
        </r>
      </text>
    </comment>
    <comment ref="D2023" authorId="1" shapeId="0" xr:uid="{00000000-0006-0000-0100-0000EA060000}">
      <text>
        <r>
          <rPr>
            <sz val="11"/>
            <color theme="1"/>
            <rFont val="Calibri"/>
            <family val="2"/>
            <scheme val="minor"/>
          </rPr>
          <t>Seleccione el tipo de procedimiento</t>
        </r>
      </text>
    </comment>
    <comment ref="E2023" authorId="1" shapeId="0" xr:uid="{00000000-0006-0000-0100-0000EB060000}">
      <text>
        <r>
          <rPr>
            <sz val="11"/>
            <color theme="1"/>
            <rFont val="Calibri"/>
            <family val="2"/>
            <scheme val="minor"/>
          </rPr>
          <t>Seleccione un valor de la lista</t>
        </r>
      </text>
    </comment>
    <comment ref="F2023" authorId="1" shapeId="0" xr:uid="{00000000-0006-0000-0100-0000EC060000}">
      <text>
        <r>
          <rPr>
            <sz val="11"/>
            <color theme="1"/>
            <rFont val="Calibri"/>
            <family val="2"/>
            <scheme val="minor"/>
          </rPr>
          <t>Introduzca el código SNIP</t>
        </r>
      </text>
    </comment>
    <comment ref="C2024" authorId="1" shapeId="0" xr:uid="{00000000-0006-0000-0100-0000ED060000}">
      <text>
        <r>
          <rPr>
            <sz val="11"/>
            <color theme="1"/>
            <rFont val="Calibri"/>
            <family val="2"/>
            <scheme val="minor"/>
          </rPr>
          <t>Introduzca la fecha de inicio del proceso, en formato dd-mm-aaaa</t>
        </r>
      </text>
    </comment>
    <comment ref="F2024" authorId="1" shapeId="0" xr:uid="{00000000-0006-0000-0100-0000E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5" authorId="1" shapeId="0" xr:uid="{00000000-0006-0000-0100-0000F0060000}">
      <text/>
    </comment>
    <comment ref="C2026" authorId="1" shapeId="0" xr:uid="{00000000-0006-0000-0100-0000EE060000}">
      <text>
        <r>
          <rPr>
            <sz val="11"/>
            <color theme="1"/>
            <rFont val="Calibri"/>
            <family val="2"/>
            <scheme val="minor"/>
          </rPr>
          <t>Introduzca la fecha prevista de adjudicación, en formato dd-mm-aaaa</t>
        </r>
      </text>
    </comment>
    <comment ref="F2026" authorId="1" shapeId="0" xr:uid="{00000000-0006-0000-0100-0000F1060000}">
      <text/>
    </comment>
    <comment ref="F2027" authorId="1" shapeId="0" xr:uid="{00000000-0006-0000-0100-0000F2060000}">
      <text/>
    </comment>
    <comment ref="A2029" authorId="1" shapeId="0" xr:uid="{00000000-0006-0000-0100-0000F3060000}">
      <text>
        <r>
          <rPr>
            <sz val="11"/>
            <color theme="1"/>
            <rFont val="Calibri"/>
            <family val="2"/>
            <scheme val="minor"/>
          </rPr>
          <t>Introduzca un codigo UNSPSC</t>
        </r>
      </text>
    </comment>
    <comment ref="B2029" authorId="1" shapeId="0" xr:uid="{00000000-0006-0000-0100-0000F4060000}">
      <text>
        <r>
          <rPr>
            <sz val="11"/>
            <color theme="1"/>
            <rFont val="Calibri"/>
            <family val="2"/>
            <scheme val="minor"/>
          </rPr>
          <t>Descripción calculada automáticamente a partir de código del artículo</t>
        </r>
      </text>
    </comment>
    <comment ref="C2029" authorId="1" shapeId="0" xr:uid="{00000000-0006-0000-0100-0000F5060000}">
      <text>
        <r>
          <rPr>
            <sz val="11"/>
            <color theme="1"/>
            <rFont val="Calibri"/>
            <family val="2"/>
            <scheme val="minor"/>
          </rPr>
          <t>Seleccione un valor de la lista</t>
        </r>
      </text>
    </comment>
    <comment ref="D2029" authorId="1" shapeId="0" xr:uid="{00000000-0006-0000-0100-0000F6060000}">
      <text>
        <r>
          <rPr>
            <sz val="11"/>
            <color theme="1"/>
            <rFont val="Calibri"/>
            <family val="2"/>
            <scheme val="minor"/>
          </rPr>
          <t>Introduzca un número con dos decimales como máximo. Debe ser igual o mayor a la "Cantidad Real Consumida"</t>
        </r>
      </text>
    </comment>
    <comment ref="E2029" authorId="1" shapeId="0" xr:uid="{00000000-0006-0000-0100-0000F7060000}">
      <text>
        <r>
          <rPr>
            <sz val="11"/>
            <color theme="1"/>
            <rFont val="Calibri"/>
            <family val="2"/>
            <scheme val="minor"/>
          </rPr>
          <t>Introduzca un número con dos decimales como máximo</t>
        </r>
      </text>
    </comment>
    <comment ref="F2029" authorId="1" shapeId="0" xr:uid="{00000000-0006-0000-0100-0000F8060000}">
      <text>
        <r>
          <rPr>
            <sz val="11"/>
            <color theme="1"/>
            <rFont val="Calibri"/>
            <family val="2"/>
            <scheme val="minor"/>
          </rPr>
          <t>Monto calculado automáticamente por el sistema</t>
        </r>
      </text>
    </comment>
    <comment ref="A2034" authorId="1" shapeId="0" xr:uid="{00000000-0006-0000-0100-0000F9060000}">
      <text>
        <r>
          <rPr>
            <sz val="11"/>
            <color theme="1"/>
            <rFont val="Calibri"/>
            <family val="2"/>
            <scheme val="minor"/>
          </rPr>
          <t>Introducir un texto con el nombre o referencia de la contratación</t>
        </r>
      </text>
    </comment>
    <comment ref="B2034" authorId="1" shapeId="0" xr:uid="{00000000-0006-0000-0100-0000FA060000}">
      <text>
        <r>
          <rPr>
            <sz val="11"/>
            <color theme="1"/>
            <rFont val="Calibri"/>
            <family val="2"/>
            <scheme val="minor"/>
          </rPr>
          <t>Introduzca un texto con la finalidad de la contratación</t>
        </r>
      </text>
    </comment>
    <comment ref="C2034" authorId="1" shapeId="0" xr:uid="{00000000-0006-0000-0100-0000FB060000}">
      <text>
        <r>
          <rPr>
            <sz val="11"/>
            <color theme="1"/>
            <rFont val="Calibri"/>
            <family val="2"/>
            <scheme val="minor"/>
          </rPr>
          <t>Seleccionar un valor del listado</t>
        </r>
      </text>
    </comment>
    <comment ref="D2034" authorId="1" shapeId="0" xr:uid="{00000000-0006-0000-0100-0000FC060000}">
      <text>
        <r>
          <rPr>
            <sz val="11"/>
            <color theme="1"/>
            <rFont val="Calibri"/>
            <family val="2"/>
            <scheme val="minor"/>
          </rPr>
          <t>Seleccione el tipo de procedimiento</t>
        </r>
      </text>
    </comment>
    <comment ref="E2034" authorId="1" shapeId="0" xr:uid="{00000000-0006-0000-0100-0000FD060000}">
      <text>
        <r>
          <rPr>
            <sz val="11"/>
            <color theme="1"/>
            <rFont val="Calibri"/>
            <family val="2"/>
            <scheme val="minor"/>
          </rPr>
          <t>Seleccione un valor de la lista</t>
        </r>
      </text>
    </comment>
    <comment ref="F2034" authorId="1" shapeId="0" xr:uid="{00000000-0006-0000-0100-0000FE060000}">
      <text>
        <r>
          <rPr>
            <sz val="11"/>
            <color theme="1"/>
            <rFont val="Calibri"/>
            <family val="2"/>
            <scheme val="minor"/>
          </rPr>
          <t>Introduzca el código SNIP</t>
        </r>
      </text>
    </comment>
    <comment ref="C2035" authorId="1" shapeId="0" xr:uid="{00000000-0006-0000-0100-0000FF060000}">
      <text>
        <r>
          <rPr>
            <sz val="11"/>
            <color theme="1"/>
            <rFont val="Calibri"/>
            <family val="2"/>
            <scheme val="minor"/>
          </rPr>
          <t>Introduzca la fecha de inicio del proceso, en formato dd-mm-aaaa</t>
        </r>
      </text>
    </comment>
    <comment ref="F2035" authorId="1" shapeId="0" xr:uid="{00000000-0006-0000-0100-00000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6" authorId="1" shapeId="0" xr:uid="{00000000-0006-0000-0100-000002070000}">
      <text/>
    </comment>
    <comment ref="C2037" authorId="1" shapeId="0" xr:uid="{00000000-0006-0000-0100-000000070000}">
      <text>
        <r>
          <rPr>
            <sz val="11"/>
            <color theme="1"/>
            <rFont val="Calibri"/>
            <family val="2"/>
            <scheme val="minor"/>
          </rPr>
          <t>Introduzca la fecha prevista de adjudicación, en formato dd-mm-aaaa</t>
        </r>
      </text>
    </comment>
    <comment ref="F2037" authorId="1" shapeId="0" xr:uid="{00000000-0006-0000-0100-000003070000}">
      <text/>
    </comment>
    <comment ref="F2038" authorId="1" shapeId="0" xr:uid="{00000000-0006-0000-0100-000004070000}">
      <text/>
    </comment>
    <comment ref="A2040" authorId="1" shapeId="0" xr:uid="{00000000-0006-0000-0100-000005070000}">
      <text>
        <r>
          <rPr>
            <sz val="11"/>
            <color theme="1"/>
            <rFont val="Calibri"/>
            <family val="2"/>
            <scheme val="minor"/>
          </rPr>
          <t>Introduzca un codigo UNSPSC</t>
        </r>
      </text>
    </comment>
    <comment ref="B2040" authorId="1" shapeId="0" xr:uid="{00000000-0006-0000-0100-000006070000}">
      <text>
        <r>
          <rPr>
            <sz val="11"/>
            <color theme="1"/>
            <rFont val="Calibri"/>
            <family val="2"/>
            <scheme val="minor"/>
          </rPr>
          <t>Descripción calculada automáticamente a partir de código del artículo</t>
        </r>
      </text>
    </comment>
    <comment ref="C2040" authorId="1" shapeId="0" xr:uid="{00000000-0006-0000-0100-000007070000}">
      <text>
        <r>
          <rPr>
            <sz val="11"/>
            <color theme="1"/>
            <rFont val="Calibri"/>
            <family val="2"/>
            <scheme val="minor"/>
          </rPr>
          <t>Seleccione un valor de la lista</t>
        </r>
      </text>
    </comment>
    <comment ref="D2040" authorId="1" shapeId="0" xr:uid="{00000000-0006-0000-0100-000008070000}">
      <text>
        <r>
          <rPr>
            <sz val="11"/>
            <color theme="1"/>
            <rFont val="Calibri"/>
            <family val="2"/>
            <scheme val="minor"/>
          </rPr>
          <t>Introduzca un número con dos decimales como máximo. Debe ser igual o mayor a la "Cantidad Real Consumida"</t>
        </r>
      </text>
    </comment>
    <comment ref="E2040" authorId="1" shapeId="0" xr:uid="{00000000-0006-0000-0100-000009070000}">
      <text>
        <r>
          <rPr>
            <sz val="11"/>
            <color theme="1"/>
            <rFont val="Calibri"/>
            <family val="2"/>
            <scheme val="minor"/>
          </rPr>
          <t>Introduzca un número con dos decimales como máximo</t>
        </r>
      </text>
    </comment>
    <comment ref="F2040" authorId="1" shapeId="0" xr:uid="{00000000-0006-0000-0100-00000A070000}">
      <text>
        <r>
          <rPr>
            <sz val="11"/>
            <color theme="1"/>
            <rFont val="Calibri"/>
            <family val="2"/>
            <scheme val="minor"/>
          </rPr>
          <t>Monto calculado automáticamente por el sistema</t>
        </r>
      </text>
    </comment>
    <comment ref="A2045" authorId="1" shapeId="0" xr:uid="{00000000-0006-0000-0100-00000B070000}">
      <text>
        <r>
          <rPr>
            <sz val="11"/>
            <color theme="1"/>
            <rFont val="Calibri"/>
            <family val="2"/>
            <scheme val="minor"/>
          </rPr>
          <t>Introducir un texto con el nombre o referencia de la contratación</t>
        </r>
      </text>
    </comment>
    <comment ref="B2045" authorId="1" shapeId="0" xr:uid="{00000000-0006-0000-0100-00000C070000}">
      <text>
        <r>
          <rPr>
            <sz val="11"/>
            <color theme="1"/>
            <rFont val="Calibri"/>
            <family val="2"/>
            <scheme val="minor"/>
          </rPr>
          <t>Introduzca un texto con la finalidad de la contratación</t>
        </r>
      </text>
    </comment>
    <comment ref="C2045" authorId="1" shapeId="0" xr:uid="{00000000-0006-0000-0100-00000D070000}">
      <text>
        <r>
          <rPr>
            <sz val="11"/>
            <color theme="1"/>
            <rFont val="Calibri"/>
            <family val="2"/>
            <scheme val="minor"/>
          </rPr>
          <t>Seleccionar un valor del listado</t>
        </r>
      </text>
    </comment>
    <comment ref="D2045" authorId="1" shapeId="0" xr:uid="{00000000-0006-0000-0100-00000E070000}">
      <text>
        <r>
          <rPr>
            <sz val="11"/>
            <color theme="1"/>
            <rFont val="Calibri"/>
            <family val="2"/>
            <scheme val="minor"/>
          </rPr>
          <t>Seleccione el tipo de procedimiento</t>
        </r>
      </text>
    </comment>
    <comment ref="E2045" authorId="1" shapeId="0" xr:uid="{00000000-0006-0000-0100-00000F070000}">
      <text>
        <r>
          <rPr>
            <sz val="11"/>
            <color theme="1"/>
            <rFont val="Calibri"/>
            <family val="2"/>
            <scheme val="minor"/>
          </rPr>
          <t>Seleccione un valor de la lista</t>
        </r>
      </text>
    </comment>
    <comment ref="F2045" authorId="1" shapeId="0" xr:uid="{00000000-0006-0000-0100-000010070000}">
      <text>
        <r>
          <rPr>
            <sz val="11"/>
            <color theme="1"/>
            <rFont val="Calibri"/>
            <family val="2"/>
            <scheme val="minor"/>
          </rPr>
          <t>Introduzca el código SNIP</t>
        </r>
      </text>
    </comment>
    <comment ref="C2046" authorId="1" shapeId="0" xr:uid="{00000000-0006-0000-0100-000011070000}">
      <text>
        <r>
          <rPr>
            <sz val="11"/>
            <color theme="1"/>
            <rFont val="Calibri"/>
            <family val="2"/>
            <scheme val="minor"/>
          </rPr>
          <t>Introduzca la fecha de inicio del proceso, en formato dd-mm-aaaa</t>
        </r>
      </text>
    </comment>
    <comment ref="F2046" authorId="1" shapeId="0" xr:uid="{00000000-0006-0000-0100-00001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7" authorId="1" shapeId="0" xr:uid="{00000000-0006-0000-0100-000014070000}">
      <text/>
    </comment>
    <comment ref="C2048" authorId="1" shapeId="0" xr:uid="{00000000-0006-0000-0100-000012070000}">
      <text>
        <r>
          <rPr>
            <sz val="11"/>
            <color theme="1"/>
            <rFont val="Calibri"/>
            <family val="2"/>
            <scheme val="minor"/>
          </rPr>
          <t>Introduzca la fecha prevista de adjudicación, en formato dd-mm-aaaa</t>
        </r>
      </text>
    </comment>
    <comment ref="F2048" authorId="1" shapeId="0" xr:uid="{00000000-0006-0000-0100-000015070000}">
      <text/>
    </comment>
    <comment ref="F2049" authorId="1" shapeId="0" xr:uid="{00000000-0006-0000-0100-000016070000}">
      <text/>
    </comment>
    <comment ref="A2051" authorId="1" shapeId="0" xr:uid="{00000000-0006-0000-0100-000017070000}">
      <text>
        <r>
          <rPr>
            <sz val="11"/>
            <color theme="1"/>
            <rFont val="Calibri"/>
            <family val="2"/>
            <scheme val="minor"/>
          </rPr>
          <t>Introduzca un codigo UNSPSC</t>
        </r>
      </text>
    </comment>
    <comment ref="B2051" authorId="1" shapeId="0" xr:uid="{00000000-0006-0000-0100-000018070000}">
      <text>
        <r>
          <rPr>
            <sz val="11"/>
            <color theme="1"/>
            <rFont val="Calibri"/>
            <family val="2"/>
            <scheme val="minor"/>
          </rPr>
          <t>Descripción calculada automáticamente a partir de código del artículo</t>
        </r>
      </text>
    </comment>
    <comment ref="C2051" authorId="1" shapeId="0" xr:uid="{00000000-0006-0000-0100-000019070000}">
      <text>
        <r>
          <rPr>
            <sz val="11"/>
            <color theme="1"/>
            <rFont val="Calibri"/>
            <family val="2"/>
            <scheme val="minor"/>
          </rPr>
          <t>Seleccione un valor de la lista</t>
        </r>
      </text>
    </comment>
    <comment ref="D2051" authorId="1" shapeId="0" xr:uid="{00000000-0006-0000-0100-00001A070000}">
      <text>
        <r>
          <rPr>
            <sz val="11"/>
            <color theme="1"/>
            <rFont val="Calibri"/>
            <family val="2"/>
            <scheme val="minor"/>
          </rPr>
          <t>Introduzca un número con dos decimales como máximo. Debe ser igual o mayor a la "Cantidad Real Consumida"</t>
        </r>
      </text>
    </comment>
    <comment ref="E2051" authorId="1" shapeId="0" xr:uid="{00000000-0006-0000-0100-00001B070000}">
      <text>
        <r>
          <rPr>
            <sz val="11"/>
            <color theme="1"/>
            <rFont val="Calibri"/>
            <family val="2"/>
            <scheme val="minor"/>
          </rPr>
          <t>Introduzca un número con dos decimales como máximo</t>
        </r>
      </text>
    </comment>
    <comment ref="F2051" authorId="1" shapeId="0" xr:uid="{00000000-0006-0000-0100-00001C070000}">
      <text>
        <r>
          <rPr>
            <sz val="11"/>
            <color theme="1"/>
            <rFont val="Calibri"/>
            <family val="2"/>
            <scheme val="minor"/>
          </rPr>
          <t>Monto calculado automáticamente por el sistema</t>
        </r>
      </text>
    </comment>
    <comment ref="A2056" authorId="1" shapeId="0" xr:uid="{00000000-0006-0000-0100-00001D070000}">
      <text>
        <r>
          <rPr>
            <sz val="11"/>
            <color theme="1"/>
            <rFont val="Calibri"/>
            <family val="2"/>
            <scheme val="minor"/>
          </rPr>
          <t>Introducir un texto con el nombre o referencia de la contratación</t>
        </r>
      </text>
    </comment>
    <comment ref="B2056" authorId="1" shapeId="0" xr:uid="{00000000-0006-0000-0100-00001E070000}">
      <text>
        <r>
          <rPr>
            <sz val="11"/>
            <color theme="1"/>
            <rFont val="Calibri"/>
            <family val="2"/>
            <scheme val="minor"/>
          </rPr>
          <t>Introduzca un texto con la finalidad de la contratación</t>
        </r>
      </text>
    </comment>
    <comment ref="C2056" authorId="1" shapeId="0" xr:uid="{00000000-0006-0000-0100-00001F070000}">
      <text>
        <r>
          <rPr>
            <sz val="11"/>
            <color theme="1"/>
            <rFont val="Calibri"/>
            <family val="2"/>
            <scheme val="minor"/>
          </rPr>
          <t>Seleccionar un valor del listado</t>
        </r>
      </text>
    </comment>
    <comment ref="D2056" authorId="1" shapeId="0" xr:uid="{00000000-0006-0000-0100-000020070000}">
      <text>
        <r>
          <rPr>
            <sz val="11"/>
            <color theme="1"/>
            <rFont val="Calibri"/>
            <family val="2"/>
            <scheme val="minor"/>
          </rPr>
          <t>Seleccione el tipo de procedimiento</t>
        </r>
      </text>
    </comment>
    <comment ref="E2056" authorId="1" shapeId="0" xr:uid="{00000000-0006-0000-0100-000021070000}">
      <text>
        <r>
          <rPr>
            <sz val="11"/>
            <color theme="1"/>
            <rFont val="Calibri"/>
            <family val="2"/>
            <scheme val="minor"/>
          </rPr>
          <t>Seleccione un valor de la lista</t>
        </r>
      </text>
    </comment>
    <comment ref="F2056" authorId="1" shapeId="0" xr:uid="{00000000-0006-0000-0100-000022070000}">
      <text>
        <r>
          <rPr>
            <sz val="11"/>
            <color theme="1"/>
            <rFont val="Calibri"/>
            <family val="2"/>
            <scheme val="minor"/>
          </rPr>
          <t>Introduzca el código SNIP</t>
        </r>
      </text>
    </comment>
    <comment ref="C2057" authorId="1" shapeId="0" xr:uid="{00000000-0006-0000-0100-000023070000}">
      <text>
        <r>
          <rPr>
            <sz val="11"/>
            <color theme="1"/>
            <rFont val="Calibri"/>
            <family val="2"/>
            <scheme val="minor"/>
          </rPr>
          <t>Introduzca la fecha de inicio del proceso, en formato dd-mm-aaaa</t>
        </r>
      </text>
    </comment>
    <comment ref="F2057" authorId="1" shapeId="0" xr:uid="{00000000-0006-0000-0100-00002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8" authorId="1" shapeId="0" xr:uid="{00000000-0006-0000-0100-000026070000}">
      <text/>
    </comment>
    <comment ref="C2059" authorId="1" shapeId="0" xr:uid="{00000000-0006-0000-0100-000024070000}">
      <text>
        <r>
          <rPr>
            <sz val="11"/>
            <color theme="1"/>
            <rFont val="Calibri"/>
            <family val="2"/>
            <scheme val="minor"/>
          </rPr>
          <t>Introduzca la fecha prevista de adjudicación, en formato dd-mm-aaaa</t>
        </r>
      </text>
    </comment>
    <comment ref="F2059" authorId="1" shapeId="0" xr:uid="{00000000-0006-0000-0100-000027070000}">
      <text/>
    </comment>
    <comment ref="F2060" authorId="1" shapeId="0" xr:uid="{00000000-0006-0000-0100-000028070000}">
      <text/>
    </comment>
    <comment ref="A2062" authorId="1" shapeId="0" xr:uid="{00000000-0006-0000-0100-000029070000}">
      <text>
        <r>
          <rPr>
            <sz val="11"/>
            <color theme="1"/>
            <rFont val="Calibri"/>
            <family val="2"/>
            <scheme val="minor"/>
          </rPr>
          <t>Introduzca un codigo UNSPSC</t>
        </r>
      </text>
    </comment>
    <comment ref="B2062" authorId="1" shapeId="0" xr:uid="{00000000-0006-0000-0100-00002A070000}">
      <text>
        <r>
          <rPr>
            <sz val="11"/>
            <color theme="1"/>
            <rFont val="Calibri"/>
            <family val="2"/>
            <scheme val="minor"/>
          </rPr>
          <t>Descripción calculada automáticamente a partir de código del artículo</t>
        </r>
      </text>
    </comment>
    <comment ref="C2062" authorId="1" shapeId="0" xr:uid="{00000000-0006-0000-0100-00002B070000}">
      <text>
        <r>
          <rPr>
            <sz val="11"/>
            <color theme="1"/>
            <rFont val="Calibri"/>
            <family val="2"/>
            <scheme val="minor"/>
          </rPr>
          <t>Seleccione un valor de la lista</t>
        </r>
      </text>
    </comment>
    <comment ref="D2062" authorId="1" shapeId="0" xr:uid="{00000000-0006-0000-0100-00002C070000}">
      <text>
        <r>
          <rPr>
            <sz val="11"/>
            <color theme="1"/>
            <rFont val="Calibri"/>
            <family val="2"/>
            <scheme val="minor"/>
          </rPr>
          <t>Introduzca un número con dos decimales como máximo. Debe ser igual o mayor a la "Cantidad Real Consumida"</t>
        </r>
      </text>
    </comment>
    <comment ref="E2062" authorId="1" shapeId="0" xr:uid="{00000000-0006-0000-0100-00002D070000}">
      <text>
        <r>
          <rPr>
            <sz val="11"/>
            <color theme="1"/>
            <rFont val="Calibri"/>
            <family val="2"/>
            <scheme val="minor"/>
          </rPr>
          <t>Introduzca un número con dos decimales como máximo</t>
        </r>
      </text>
    </comment>
    <comment ref="F2062" authorId="1" shapeId="0" xr:uid="{00000000-0006-0000-0100-00002E070000}">
      <text>
        <r>
          <rPr>
            <sz val="11"/>
            <color theme="1"/>
            <rFont val="Calibri"/>
            <family val="2"/>
            <scheme val="minor"/>
          </rPr>
          <t>Monto calculado automáticamente por el sistema</t>
        </r>
      </text>
    </comment>
    <comment ref="A2067" authorId="1" shapeId="0" xr:uid="{00000000-0006-0000-0100-00002F070000}">
      <text>
        <r>
          <rPr>
            <sz val="11"/>
            <color theme="1"/>
            <rFont val="Calibri"/>
            <family val="2"/>
            <scheme val="minor"/>
          </rPr>
          <t>Introducir un texto con el nombre o referencia de la contratación</t>
        </r>
      </text>
    </comment>
    <comment ref="B2067" authorId="1" shapeId="0" xr:uid="{00000000-0006-0000-0100-000030070000}">
      <text>
        <r>
          <rPr>
            <sz val="11"/>
            <color theme="1"/>
            <rFont val="Calibri"/>
            <family val="2"/>
            <scheme val="minor"/>
          </rPr>
          <t>Introduzca un texto con la finalidad de la contratación</t>
        </r>
      </text>
    </comment>
    <comment ref="C2067" authorId="1" shapeId="0" xr:uid="{00000000-0006-0000-0100-000031070000}">
      <text>
        <r>
          <rPr>
            <sz val="11"/>
            <color theme="1"/>
            <rFont val="Calibri"/>
            <family val="2"/>
            <scheme val="minor"/>
          </rPr>
          <t>Seleccionar un valor del listado</t>
        </r>
      </text>
    </comment>
    <comment ref="D2067" authorId="1" shapeId="0" xr:uid="{00000000-0006-0000-0100-000032070000}">
      <text>
        <r>
          <rPr>
            <sz val="11"/>
            <color theme="1"/>
            <rFont val="Calibri"/>
            <family val="2"/>
            <scheme val="minor"/>
          </rPr>
          <t>Seleccione el tipo de procedimiento</t>
        </r>
      </text>
    </comment>
    <comment ref="E2067" authorId="1" shapeId="0" xr:uid="{00000000-0006-0000-0100-000033070000}">
      <text>
        <r>
          <rPr>
            <sz val="11"/>
            <color theme="1"/>
            <rFont val="Calibri"/>
            <family val="2"/>
            <scheme val="minor"/>
          </rPr>
          <t>Seleccione un valor de la lista</t>
        </r>
      </text>
    </comment>
    <comment ref="F2067" authorId="1" shapeId="0" xr:uid="{00000000-0006-0000-0100-000034070000}">
      <text>
        <r>
          <rPr>
            <sz val="11"/>
            <color theme="1"/>
            <rFont val="Calibri"/>
            <family val="2"/>
            <scheme val="minor"/>
          </rPr>
          <t>Introduzca el código SNIP</t>
        </r>
      </text>
    </comment>
    <comment ref="C2068" authorId="1" shapeId="0" xr:uid="{00000000-0006-0000-0100-000035070000}">
      <text>
        <r>
          <rPr>
            <sz val="11"/>
            <color theme="1"/>
            <rFont val="Calibri"/>
            <family val="2"/>
            <scheme val="minor"/>
          </rPr>
          <t>Introduzca la fecha de inicio del proceso, en formato dd-mm-aaaa</t>
        </r>
      </text>
    </comment>
    <comment ref="F2068" authorId="1" shapeId="0" xr:uid="{00000000-0006-0000-0100-00003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9" authorId="1" shapeId="0" xr:uid="{00000000-0006-0000-0100-000038070000}">
      <text/>
    </comment>
    <comment ref="C2070" authorId="1" shapeId="0" xr:uid="{00000000-0006-0000-0100-000036070000}">
      <text>
        <r>
          <rPr>
            <sz val="11"/>
            <color theme="1"/>
            <rFont val="Calibri"/>
            <family val="2"/>
            <scheme val="minor"/>
          </rPr>
          <t>Introduzca la fecha prevista de adjudicación, en formato dd-mm-aaaa</t>
        </r>
      </text>
    </comment>
    <comment ref="F2070" authorId="1" shapeId="0" xr:uid="{00000000-0006-0000-0100-000039070000}">
      <text/>
    </comment>
    <comment ref="F2071" authorId="1" shapeId="0" xr:uid="{00000000-0006-0000-0100-00003A070000}">
      <text/>
    </comment>
    <comment ref="A2073" authorId="1" shapeId="0" xr:uid="{00000000-0006-0000-0100-00003B070000}">
      <text>
        <r>
          <rPr>
            <sz val="11"/>
            <color theme="1"/>
            <rFont val="Calibri"/>
            <family val="2"/>
            <scheme val="minor"/>
          </rPr>
          <t>Introduzca un codigo UNSPSC</t>
        </r>
      </text>
    </comment>
    <comment ref="B2073" authorId="1" shapeId="0" xr:uid="{00000000-0006-0000-0100-00003C070000}">
      <text>
        <r>
          <rPr>
            <sz val="11"/>
            <color theme="1"/>
            <rFont val="Calibri"/>
            <family val="2"/>
            <scheme val="minor"/>
          </rPr>
          <t>Descripción calculada automáticamente a partir de código del artículo</t>
        </r>
      </text>
    </comment>
    <comment ref="C2073" authorId="1" shapeId="0" xr:uid="{00000000-0006-0000-0100-00003D070000}">
      <text>
        <r>
          <rPr>
            <sz val="11"/>
            <color theme="1"/>
            <rFont val="Calibri"/>
            <family val="2"/>
            <scheme val="minor"/>
          </rPr>
          <t>Seleccione un valor de la lista</t>
        </r>
      </text>
    </comment>
    <comment ref="D2073" authorId="1" shapeId="0" xr:uid="{00000000-0006-0000-0100-00003E070000}">
      <text>
        <r>
          <rPr>
            <sz val="11"/>
            <color theme="1"/>
            <rFont val="Calibri"/>
            <family val="2"/>
            <scheme val="minor"/>
          </rPr>
          <t>Introduzca un número con dos decimales como máximo. Debe ser igual o mayor a la "Cantidad Real Consumida"</t>
        </r>
      </text>
    </comment>
    <comment ref="E2073" authorId="1" shapeId="0" xr:uid="{00000000-0006-0000-0100-00003F070000}">
      <text>
        <r>
          <rPr>
            <sz val="11"/>
            <color theme="1"/>
            <rFont val="Calibri"/>
            <family val="2"/>
            <scheme val="minor"/>
          </rPr>
          <t>Introduzca un número con dos decimales como máximo</t>
        </r>
      </text>
    </comment>
    <comment ref="F2073" authorId="1" shapeId="0" xr:uid="{00000000-0006-0000-0100-000040070000}">
      <text>
        <r>
          <rPr>
            <sz val="11"/>
            <color theme="1"/>
            <rFont val="Calibri"/>
            <family val="2"/>
            <scheme val="minor"/>
          </rPr>
          <t>Monto calculado automáticamente por el sistema</t>
        </r>
      </text>
    </comment>
    <comment ref="A2078" authorId="1" shapeId="0" xr:uid="{00000000-0006-0000-0100-000041070000}">
      <text>
        <r>
          <rPr>
            <sz val="11"/>
            <color theme="1"/>
            <rFont val="Calibri"/>
            <family val="2"/>
            <scheme val="minor"/>
          </rPr>
          <t>Introducir un texto con el nombre o referencia de la contratación</t>
        </r>
      </text>
    </comment>
    <comment ref="B2078" authorId="1" shapeId="0" xr:uid="{00000000-0006-0000-0100-000042070000}">
      <text>
        <r>
          <rPr>
            <sz val="11"/>
            <color theme="1"/>
            <rFont val="Calibri"/>
            <family val="2"/>
            <scheme val="minor"/>
          </rPr>
          <t>Introduzca un texto con la finalidad de la contratación</t>
        </r>
      </text>
    </comment>
    <comment ref="C2078" authorId="1" shapeId="0" xr:uid="{00000000-0006-0000-0100-000043070000}">
      <text>
        <r>
          <rPr>
            <sz val="11"/>
            <color theme="1"/>
            <rFont val="Calibri"/>
            <family val="2"/>
            <scheme val="minor"/>
          </rPr>
          <t>Seleccionar un valor del listado</t>
        </r>
      </text>
    </comment>
    <comment ref="D2078" authorId="1" shapeId="0" xr:uid="{00000000-0006-0000-0100-000044070000}">
      <text>
        <r>
          <rPr>
            <sz val="11"/>
            <color theme="1"/>
            <rFont val="Calibri"/>
            <family val="2"/>
            <scheme val="minor"/>
          </rPr>
          <t>Seleccione el tipo de procedimiento</t>
        </r>
      </text>
    </comment>
    <comment ref="E2078" authorId="1" shapeId="0" xr:uid="{00000000-0006-0000-0100-000045070000}">
      <text>
        <r>
          <rPr>
            <sz val="11"/>
            <color theme="1"/>
            <rFont val="Calibri"/>
            <family val="2"/>
            <scheme val="minor"/>
          </rPr>
          <t>Seleccione un valor de la lista</t>
        </r>
      </text>
    </comment>
    <comment ref="F2078" authorId="1" shapeId="0" xr:uid="{00000000-0006-0000-0100-000046070000}">
      <text>
        <r>
          <rPr>
            <sz val="11"/>
            <color theme="1"/>
            <rFont val="Calibri"/>
            <family val="2"/>
            <scheme val="minor"/>
          </rPr>
          <t>Introduzca el código SNIP</t>
        </r>
      </text>
    </comment>
    <comment ref="C2079" authorId="1" shapeId="0" xr:uid="{00000000-0006-0000-0100-000047070000}">
      <text>
        <r>
          <rPr>
            <sz val="11"/>
            <color theme="1"/>
            <rFont val="Calibri"/>
            <family val="2"/>
            <scheme val="minor"/>
          </rPr>
          <t>Introduzca la fecha de inicio del proceso, en formato dd-mm-aaaa</t>
        </r>
      </text>
    </comment>
    <comment ref="F2079" authorId="1" shapeId="0" xr:uid="{00000000-0006-0000-0100-00004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0" authorId="1" shapeId="0" xr:uid="{00000000-0006-0000-0100-00004A070000}">
      <text/>
    </comment>
    <comment ref="C2081" authorId="1" shapeId="0" xr:uid="{00000000-0006-0000-0100-000048070000}">
      <text>
        <r>
          <rPr>
            <sz val="11"/>
            <color theme="1"/>
            <rFont val="Calibri"/>
            <family val="2"/>
            <scheme val="minor"/>
          </rPr>
          <t>Introduzca la fecha prevista de adjudicación, en formato dd-mm-aaaa</t>
        </r>
      </text>
    </comment>
    <comment ref="F2081" authorId="1" shapeId="0" xr:uid="{00000000-0006-0000-0100-00004B070000}">
      <text/>
    </comment>
    <comment ref="F2082" authorId="1" shapeId="0" xr:uid="{00000000-0006-0000-0100-00004C070000}">
      <text/>
    </comment>
    <comment ref="A2084" authorId="1" shapeId="0" xr:uid="{00000000-0006-0000-0100-00004D070000}">
      <text>
        <r>
          <rPr>
            <sz val="11"/>
            <color theme="1"/>
            <rFont val="Calibri"/>
            <family val="2"/>
            <scheme val="minor"/>
          </rPr>
          <t>Introduzca un codigo UNSPSC</t>
        </r>
      </text>
    </comment>
    <comment ref="B2084" authorId="1" shapeId="0" xr:uid="{00000000-0006-0000-0100-00004E070000}">
      <text>
        <r>
          <rPr>
            <sz val="11"/>
            <color theme="1"/>
            <rFont val="Calibri"/>
            <family val="2"/>
            <scheme val="minor"/>
          </rPr>
          <t>Descripción calculada automáticamente a partir de código del artículo</t>
        </r>
      </text>
    </comment>
    <comment ref="C2084" authorId="1" shapeId="0" xr:uid="{00000000-0006-0000-0100-00004F070000}">
      <text>
        <r>
          <rPr>
            <sz val="11"/>
            <color theme="1"/>
            <rFont val="Calibri"/>
            <family val="2"/>
            <scheme val="minor"/>
          </rPr>
          <t>Seleccione un valor de la lista</t>
        </r>
      </text>
    </comment>
    <comment ref="D2084" authorId="1" shapeId="0" xr:uid="{00000000-0006-0000-0100-000050070000}">
      <text>
        <r>
          <rPr>
            <sz val="11"/>
            <color theme="1"/>
            <rFont val="Calibri"/>
            <family val="2"/>
            <scheme val="minor"/>
          </rPr>
          <t>Introduzca un número con dos decimales como máximo. Debe ser igual o mayor a la "Cantidad Real Consumida"</t>
        </r>
      </text>
    </comment>
    <comment ref="E2084" authorId="1" shapeId="0" xr:uid="{00000000-0006-0000-0100-000051070000}">
      <text>
        <r>
          <rPr>
            <sz val="11"/>
            <color theme="1"/>
            <rFont val="Calibri"/>
            <family val="2"/>
            <scheme val="minor"/>
          </rPr>
          <t>Introduzca un número con dos decimales como máximo</t>
        </r>
      </text>
    </comment>
    <comment ref="F2084" authorId="1" shapeId="0" xr:uid="{00000000-0006-0000-0100-000052070000}">
      <text>
        <r>
          <rPr>
            <sz val="11"/>
            <color theme="1"/>
            <rFont val="Calibri"/>
            <family val="2"/>
            <scheme val="minor"/>
          </rPr>
          <t>Monto calculado automáticamente por el sistema</t>
        </r>
      </text>
    </comment>
    <comment ref="A2089" authorId="1" shapeId="0" xr:uid="{00000000-0006-0000-0100-000053070000}">
      <text>
        <r>
          <rPr>
            <sz val="11"/>
            <color theme="1"/>
            <rFont val="Calibri"/>
            <family val="2"/>
            <scheme val="minor"/>
          </rPr>
          <t>Introducir un texto con el nombre o referencia de la contratación</t>
        </r>
      </text>
    </comment>
    <comment ref="B2089" authorId="1" shapeId="0" xr:uid="{00000000-0006-0000-0100-000054070000}">
      <text>
        <r>
          <rPr>
            <sz val="11"/>
            <color theme="1"/>
            <rFont val="Calibri"/>
            <family val="2"/>
            <scheme val="minor"/>
          </rPr>
          <t>Introduzca un texto con la finalidad de la contratación</t>
        </r>
      </text>
    </comment>
    <comment ref="C2089" authorId="1" shapeId="0" xr:uid="{00000000-0006-0000-0100-000055070000}">
      <text>
        <r>
          <rPr>
            <sz val="11"/>
            <color theme="1"/>
            <rFont val="Calibri"/>
            <family val="2"/>
            <scheme val="minor"/>
          </rPr>
          <t>Seleccionar un valor del listado</t>
        </r>
      </text>
    </comment>
    <comment ref="D2089" authorId="1" shapeId="0" xr:uid="{00000000-0006-0000-0100-000056070000}">
      <text>
        <r>
          <rPr>
            <sz val="11"/>
            <color theme="1"/>
            <rFont val="Calibri"/>
            <family val="2"/>
            <scheme val="minor"/>
          </rPr>
          <t>Seleccione el tipo de procedimiento</t>
        </r>
      </text>
    </comment>
    <comment ref="E2089" authorId="1" shapeId="0" xr:uid="{00000000-0006-0000-0100-000057070000}">
      <text>
        <r>
          <rPr>
            <sz val="11"/>
            <color theme="1"/>
            <rFont val="Calibri"/>
            <family val="2"/>
            <scheme val="minor"/>
          </rPr>
          <t>Seleccione un valor de la lista</t>
        </r>
      </text>
    </comment>
    <comment ref="F2089" authorId="1" shapeId="0" xr:uid="{00000000-0006-0000-0100-000058070000}">
      <text>
        <r>
          <rPr>
            <sz val="11"/>
            <color theme="1"/>
            <rFont val="Calibri"/>
            <family val="2"/>
            <scheme val="minor"/>
          </rPr>
          <t>Introduzca el código SNIP</t>
        </r>
      </text>
    </comment>
    <comment ref="C2090" authorId="1" shapeId="0" xr:uid="{00000000-0006-0000-0100-000059070000}">
      <text>
        <r>
          <rPr>
            <sz val="11"/>
            <color theme="1"/>
            <rFont val="Calibri"/>
            <family val="2"/>
            <scheme val="minor"/>
          </rPr>
          <t>Introduzca la fecha de inicio del proceso, en formato dd-mm-aaaa</t>
        </r>
      </text>
    </comment>
    <comment ref="F2090" authorId="1" shapeId="0" xr:uid="{00000000-0006-0000-0100-00005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1" authorId="1" shapeId="0" xr:uid="{00000000-0006-0000-0100-00005C070000}">
      <text/>
    </comment>
    <comment ref="C2092" authorId="1" shapeId="0" xr:uid="{00000000-0006-0000-0100-00005A070000}">
      <text>
        <r>
          <rPr>
            <sz val="11"/>
            <color theme="1"/>
            <rFont val="Calibri"/>
            <family val="2"/>
            <scheme val="minor"/>
          </rPr>
          <t>Introduzca la fecha prevista de adjudicación, en formato dd-mm-aaaa</t>
        </r>
      </text>
    </comment>
    <comment ref="F2092" authorId="1" shapeId="0" xr:uid="{00000000-0006-0000-0100-00005D070000}">
      <text/>
    </comment>
    <comment ref="F2093" authorId="1" shapeId="0" xr:uid="{00000000-0006-0000-0100-00005E070000}">
      <text/>
    </comment>
    <comment ref="A2095" authorId="1" shapeId="0" xr:uid="{00000000-0006-0000-0100-00005F070000}">
      <text>
        <r>
          <rPr>
            <sz val="11"/>
            <color theme="1"/>
            <rFont val="Calibri"/>
            <family val="2"/>
            <scheme val="minor"/>
          </rPr>
          <t>Introduzca un codigo UNSPSC</t>
        </r>
      </text>
    </comment>
    <comment ref="B2095" authorId="1" shapeId="0" xr:uid="{00000000-0006-0000-0100-000060070000}">
      <text>
        <r>
          <rPr>
            <sz val="11"/>
            <color theme="1"/>
            <rFont val="Calibri"/>
            <family val="2"/>
            <scheme val="minor"/>
          </rPr>
          <t>Descripción calculada automáticamente a partir de código del artículo</t>
        </r>
      </text>
    </comment>
    <comment ref="C2095" authorId="1" shapeId="0" xr:uid="{00000000-0006-0000-0100-000061070000}">
      <text>
        <r>
          <rPr>
            <sz val="11"/>
            <color theme="1"/>
            <rFont val="Calibri"/>
            <family val="2"/>
            <scheme val="minor"/>
          </rPr>
          <t>Seleccione un valor de la lista</t>
        </r>
      </text>
    </comment>
    <comment ref="D2095" authorId="1" shapeId="0" xr:uid="{00000000-0006-0000-0100-000062070000}">
      <text>
        <r>
          <rPr>
            <sz val="11"/>
            <color theme="1"/>
            <rFont val="Calibri"/>
            <family val="2"/>
            <scheme val="minor"/>
          </rPr>
          <t>Introduzca un número con dos decimales como máximo. Debe ser igual o mayor a la "Cantidad Real Consumida"</t>
        </r>
      </text>
    </comment>
    <comment ref="E2095" authorId="1" shapeId="0" xr:uid="{00000000-0006-0000-0100-000063070000}">
      <text>
        <r>
          <rPr>
            <sz val="11"/>
            <color theme="1"/>
            <rFont val="Calibri"/>
            <family val="2"/>
            <scheme val="minor"/>
          </rPr>
          <t>Introduzca un número con dos decimales como máximo</t>
        </r>
      </text>
    </comment>
    <comment ref="F2095" authorId="1" shapeId="0" xr:uid="{00000000-0006-0000-0100-000064070000}">
      <text>
        <r>
          <rPr>
            <sz val="11"/>
            <color theme="1"/>
            <rFont val="Calibri"/>
            <family val="2"/>
            <scheme val="minor"/>
          </rPr>
          <t>Monto calculado automáticamente por el sistema</t>
        </r>
      </text>
    </comment>
    <comment ref="A2100" authorId="1" shapeId="0" xr:uid="{00000000-0006-0000-0100-000065070000}">
      <text>
        <r>
          <rPr>
            <sz val="11"/>
            <color theme="1"/>
            <rFont val="Calibri"/>
            <family val="2"/>
            <scheme val="minor"/>
          </rPr>
          <t>Introducir un texto con el nombre o referencia de la contratación</t>
        </r>
      </text>
    </comment>
    <comment ref="B2100" authorId="1" shapeId="0" xr:uid="{00000000-0006-0000-0100-000066070000}">
      <text>
        <r>
          <rPr>
            <sz val="11"/>
            <color theme="1"/>
            <rFont val="Calibri"/>
            <family val="2"/>
            <scheme val="minor"/>
          </rPr>
          <t>Introduzca un texto con la finalidad de la contratación</t>
        </r>
      </text>
    </comment>
    <comment ref="C2100" authorId="1" shapeId="0" xr:uid="{00000000-0006-0000-0100-000067070000}">
      <text>
        <r>
          <rPr>
            <sz val="11"/>
            <color theme="1"/>
            <rFont val="Calibri"/>
            <family val="2"/>
            <scheme val="minor"/>
          </rPr>
          <t>Seleccionar un valor del listado</t>
        </r>
      </text>
    </comment>
    <comment ref="D2100" authorId="1" shapeId="0" xr:uid="{00000000-0006-0000-0100-000068070000}">
      <text>
        <r>
          <rPr>
            <sz val="11"/>
            <color theme="1"/>
            <rFont val="Calibri"/>
            <family val="2"/>
            <scheme val="minor"/>
          </rPr>
          <t>Seleccione el tipo de procedimiento</t>
        </r>
      </text>
    </comment>
    <comment ref="E2100" authorId="1" shapeId="0" xr:uid="{00000000-0006-0000-0100-000069070000}">
      <text>
        <r>
          <rPr>
            <sz val="11"/>
            <color theme="1"/>
            <rFont val="Calibri"/>
            <family val="2"/>
            <scheme val="minor"/>
          </rPr>
          <t>Seleccione un valor de la lista</t>
        </r>
      </text>
    </comment>
    <comment ref="F2100" authorId="1" shapeId="0" xr:uid="{00000000-0006-0000-0100-00006A070000}">
      <text>
        <r>
          <rPr>
            <sz val="11"/>
            <color theme="1"/>
            <rFont val="Calibri"/>
            <family val="2"/>
            <scheme val="minor"/>
          </rPr>
          <t>Introduzca el código SNIP</t>
        </r>
      </text>
    </comment>
    <comment ref="C2101" authorId="1" shapeId="0" xr:uid="{00000000-0006-0000-0100-00006B070000}">
      <text>
        <r>
          <rPr>
            <sz val="11"/>
            <color theme="1"/>
            <rFont val="Calibri"/>
            <family val="2"/>
            <scheme val="minor"/>
          </rPr>
          <t>Introduzca la fecha de inicio del proceso, en formato dd-mm-aaaa</t>
        </r>
      </text>
    </comment>
    <comment ref="F2101" authorId="1" shapeId="0" xr:uid="{00000000-0006-0000-0100-00006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2" authorId="1" shapeId="0" xr:uid="{00000000-0006-0000-0100-00006E070000}">
      <text/>
    </comment>
    <comment ref="C2103" authorId="1" shapeId="0" xr:uid="{00000000-0006-0000-0100-00006C070000}">
      <text>
        <r>
          <rPr>
            <sz val="11"/>
            <color theme="1"/>
            <rFont val="Calibri"/>
            <family val="2"/>
            <scheme val="minor"/>
          </rPr>
          <t>Introduzca la fecha prevista de adjudicación, en formato dd-mm-aaaa</t>
        </r>
      </text>
    </comment>
    <comment ref="F2103" authorId="1" shapeId="0" xr:uid="{00000000-0006-0000-0100-00006F070000}">
      <text/>
    </comment>
    <comment ref="F2104" authorId="1" shapeId="0" xr:uid="{00000000-0006-0000-0100-000070070000}">
      <text/>
    </comment>
    <comment ref="A2106" authorId="1" shapeId="0" xr:uid="{00000000-0006-0000-0100-000071070000}">
      <text>
        <r>
          <rPr>
            <sz val="11"/>
            <color theme="1"/>
            <rFont val="Calibri"/>
            <family val="2"/>
            <scheme val="minor"/>
          </rPr>
          <t>Introduzca un codigo UNSPSC</t>
        </r>
      </text>
    </comment>
    <comment ref="B2106" authorId="1" shapeId="0" xr:uid="{00000000-0006-0000-0100-000072070000}">
      <text>
        <r>
          <rPr>
            <sz val="11"/>
            <color theme="1"/>
            <rFont val="Calibri"/>
            <family val="2"/>
            <scheme val="minor"/>
          </rPr>
          <t>Descripción calculada automáticamente a partir de código del artículo</t>
        </r>
      </text>
    </comment>
    <comment ref="C2106" authorId="1" shapeId="0" xr:uid="{00000000-0006-0000-0100-000073070000}">
      <text>
        <r>
          <rPr>
            <sz val="11"/>
            <color theme="1"/>
            <rFont val="Calibri"/>
            <family val="2"/>
            <scheme val="minor"/>
          </rPr>
          <t>Seleccione un valor de la lista</t>
        </r>
      </text>
    </comment>
    <comment ref="D2106" authorId="1" shapeId="0" xr:uid="{00000000-0006-0000-0100-000074070000}">
      <text>
        <r>
          <rPr>
            <sz val="11"/>
            <color theme="1"/>
            <rFont val="Calibri"/>
            <family val="2"/>
            <scheme val="minor"/>
          </rPr>
          <t>Introduzca un número con dos decimales como máximo. Debe ser igual o mayor a la "Cantidad Real Consumida"</t>
        </r>
      </text>
    </comment>
    <comment ref="E2106" authorId="1" shapeId="0" xr:uid="{00000000-0006-0000-0100-000075070000}">
      <text>
        <r>
          <rPr>
            <sz val="11"/>
            <color theme="1"/>
            <rFont val="Calibri"/>
            <family val="2"/>
            <scheme val="minor"/>
          </rPr>
          <t>Introduzca un número con dos decimales como máximo</t>
        </r>
      </text>
    </comment>
    <comment ref="F2106" authorId="1" shapeId="0" xr:uid="{00000000-0006-0000-0100-000076070000}">
      <text>
        <r>
          <rPr>
            <sz val="11"/>
            <color theme="1"/>
            <rFont val="Calibri"/>
            <family val="2"/>
            <scheme val="minor"/>
          </rPr>
          <t>Monto calculado automáticamente por el sistema</t>
        </r>
      </text>
    </comment>
    <comment ref="A2111" authorId="1" shapeId="0" xr:uid="{00000000-0006-0000-0100-000077070000}">
      <text>
        <r>
          <rPr>
            <sz val="11"/>
            <color theme="1"/>
            <rFont val="Calibri"/>
            <family val="2"/>
            <scheme val="minor"/>
          </rPr>
          <t>Introducir un texto con el nombre o referencia de la contratación</t>
        </r>
      </text>
    </comment>
    <comment ref="B2111" authorId="1" shapeId="0" xr:uid="{00000000-0006-0000-0100-000078070000}">
      <text>
        <r>
          <rPr>
            <sz val="11"/>
            <color theme="1"/>
            <rFont val="Calibri"/>
            <family val="2"/>
            <scheme val="minor"/>
          </rPr>
          <t>Introduzca un texto con la finalidad de la contratación</t>
        </r>
      </text>
    </comment>
    <comment ref="C2111" authorId="1" shapeId="0" xr:uid="{00000000-0006-0000-0100-000079070000}">
      <text>
        <r>
          <rPr>
            <sz val="11"/>
            <color theme="1"/>
            <rFont val="Calibri"/>
            <family val="2"/>
            <scheme val="minor"/>
          </rPr>
          <t>Seleccionar un valor del listado</t>
        </r>
      </text>
    </comment>
    <comment ref="D2111" authorId="1" shapeId="0" xr:uid="{00000000-0006-0000-0100-00007A070000}">
      <text>
        <r>
          <rPr>
            <sz val="11"/>
            <color theme="1"/>
            <rFont val="Calibri"/>
            <family val="2"/>
            <scheme val="minor"/>
          </rPr>
          <t>Seleccione el tipo de procedimiento</t>
        </r>
      </text>
    </comment>
    <comment ref="E2111" authorId="1" shapeId="0" xr:uid="{00000000-0006-0000-0100-00007B070000}">
      <text>
        <r>
          <rPr>
            <sz val="11"/>
            <color theme="1"/>
            <rFont val="Calibri"/>
            <family val="2"/>
            <scheme val="minor"/>
          </rPr>
          <t>Seleccione un valor de la lista</t>
        </r>
      </text>
    </comment>
    <comment ref="F2111" authorId="1" shapeId="0" xr:uid="{00000000-0006-0000-0100-00007C070000}">
      <text>
        <r>
          <rPr>
            <sz val="11"/>
            <color theme="1"/>
            <rFont val="Calibri"/>
            <family val="2"/>
            <scheme val="minor"/>
          </rPr>
          <t>Introduzca el código SNIP</t>
        </r>
      </text>
    </comment>
    <comment ref="C2112" authorId="1" shapeId="0" xr:uid="{00000000-0006-0000-0100-00007D070000}">
      <text>
        <r>
          <rPr>
            <sz val="11"/>
            <color theme="1"/>
            <rFont val="Calibri"/>
            <family val="2"/>
            <scheme val="minor"/>
          </rPr>
          <t>Introduzca la fecha de inicio del proceso, en formato dd-mm-aaaa</t>
        </r>
      </text>
    </comment>
    <comment ref="F2112" authorId="1" shapeId="0" xr:uid="{00000000-0006-0000-0100-00007F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3" authorId="1" shapeId="0" xr:uid="{00000000-0006-0000-0100-000080070000}">
      <text/>
    </comment>
    <comment ref="C2114" authorId="1" shapeId="0" xr:uid="{00000000-0006-0000-0100-00007E070000}">
      <text>
        <r>
          <rPr>
            <sz val="11"/>
            <color theme="1"/>
            <rFont val="Calibri"/>
            <family val="2"/>
            <scheme val="minor"/>
          </rPr>
          <t>Introduzca la fecha prevista de adjudicación, en formato dd-mm-aaaa</t>
        </r>
      </text>
    </comment>
    <comment ref="F2114" authorId="1" shapeId="0" xr:uid="{00000000-0006-0000-0100-000081070000}">
      <text/>
    </comment>
    <comment ref="F2115" authorId="1" shapeId="0" xr:uid="{00000000-0006-0000-0100-000082070000}">
      <text/>
    </comment>
    <comment ref="A2117" authorId="1" shapeId="0" xr:uid="{00000000-0006-0000-0100-000083070000}">
      <text>
        <r>
          <rPr>
            <sz val="11"/>
            <color theme="1"/>
            <rFont val="Calibri"/>
            <family val="2"/>
            <scheme val="minor"/>
          </rPr>
          <t>Introduzca un codigo UNSPSC</t>
        </r>
      </text>
    </comment>
    <comment ref="B2117" authorId="1" shapeId="0" xr:uid="{00000000-0006-0000-0100-000084070000}">
      <text>
        <r>
          <rPr>
            <sz val="11"/>
            <color theme="1"/>
            <rFont val="Calibri"/>
            <family val="2"/>
            <scheme val="minor"/>
          </rPr>
          <t>Descripción calculada automáticamente a partir de código del artículo</t>
        </r>
      </text>
    </comment>
    <comment ref="C2117" authorId="1" shapeId="0" xr:uid="{00000000-0006-0000-0100-000085070000}">
      <text>
        <r>
          <rPr>
            <sz val="11"/>
            <color theme="1"/>
            <rFont val="Calibri"/>
            <family val="2"/>
            <scheme val="minor"/>
          </rPr>
          <t>Seleccione un valor de la lista</t>
        </r>
      </text>
    </comment>
    <comment ref="D2117" authorId="1" shapeId="0" xr:uid="{00000000-0006-0000-0100-000086070000}">
      <text>
        <r>
          <rPr>
            <sz val="11"/>
            <color theme="1"/>
            <rFont val="Calibri"/>
            <family val="2"/>
            <scheme val="minor"/>
          </rPr>
          <t>Introduzca un número con dos decimales como máximo. Debe ser igual o mayor a la "Cantidad Real Consumida"</t>
        </r>
      </text>
    </comment>
    <comment ref="E2117" authorId="1" shapeId="0" xr:uid="{00000000-0006-0000-0100-000087070000}">
      <text>
        <r>
          <rPr>
            <sz val="11"/>
            <color theme="1"/>
            <rFont val="Calibri"/>
            <family val="2"/>
            <scheme val="minor"/>
          </rPr>
          <t>Introduzca un número con dos decimales como máximo</t>
        </r>
      </text>
    </comment>
    <comment ref="F2117" authorId="1" shapeId="0" xr:uid="{00000000-0006-0000-0100-000088070000}">
      <text>
        <r>
          <rPr>
            <sz val="11"/>
            <color theme="1"/>
            <rFont val="Calibri"/>
            <family val="2"/>
            <scheme val="minor"/>
          </rPr>
          <t>Monto calculado automáticamente por el sistema</t>
        </r>
      </text>
    </comment>
    <comment ref="A2122" authorId="1" shapeId="0" xr:uid="{00000000-0006-0000-0100-000089070000}">
      <text>
        <r>
          <rPr>
            <sz val="11"/>
            <color theme="1"/>
            <rFont val="Calibri"/>
            <family val="2"/>
            <scheme val="minor"/>
          </rPr>
          <t>Introducir un texto con el nombre o referencia de la contratación</t>
        </r>
      </text>
    </comment>
    <comment ref="B2122" authorId="1" shapeId="0" xr:uid="{00000000-0006-0000-0100-00008A070000}">
      <text>
        <r>
          <rPr>
            <sz val="11"/>
            <color theme="1"/>
            <rFont val="Calibri"/>
            <family val="2"/>
            <scheme val="minor"/>
          </rPr>
          <t>Introduzca un texto con la finalidad de la contratación</t>
        </r>
      </text>
    </comment>
    <comment ref="C2122" authorId="1" shapeId="0" xr:uid="{00000000-0006-0000-0100-00008B070000}">
      <text>
        <r>
          <rPr>
            <sz val="11"/>
            <color theme="1"/>
            <rFont val="Calibri"/>
            <family val="2"/>
            <scheme val="minor"/>
          </rPr>
          <t>Seleccionar un valor del listado</t>
        </r>
      </text>
    </comment>
    <comment ref="D2122" authorId="1" shapeId="0" xr:uid="{00000000-0006-0000-0100-00008C070000}">
      <text>
        <r>
          <rPr>
            <sz val="11"/>
            <color theme="1"/>
            <rFont val="Calibri"/>
            <family val="2"/>
            <scheme val="minor"/>
          </rPr>
          <t>Seleccione el tipo de procedimiento</t>
        </r>
      </text>
    </comment>
    <comment ref="E2122" authorId="1" shapeId="0" xr:uid="{00000000-0006-0000-0100-00008D070000}">
      <text>
        <r>
          <rPr>
            <sz val="11"/>
            <color theme="1"/>
            <rFont val="Calibri"/>
            <family val="2"/>
            <scheme val="minor"/>
          </rPr>
          <t>Seleccione un valor de la lista</t>
        </r>
      </text>
    </comment>
    <comment ref="F2122" authorId="1" shapeId="0" xr:uid="{00000000-0006-0000-0100-00008E070000}">
      <text>
        <r>
          <rPr>
            <sz val="11"/>
            <color theme="1"/>
            <rFont val="Calibri"/>
            <family val="2"/>
            <scheme val="minor"/>
          </rPr>
          <t>Introduzca el código SNIP</t>
        </r>
      </text>
    </comment>
    <comment ref="C2123" authorId="1" shapeId="0" xr:uid="{00000000-0006-0000-0100-00008F070000}">
      <text>
        <r>
          <rPr>
            <sz val="11"/>
            <color theme="1"/>
            <rFont val="Calibri"/>
            <family val="2"/>
            <scheme val="minor"/>
          </rPr>
          <t>Introduzca la fecha de inicio del proceso, en formato dd-mm-aaaa</t>
        </r>
      </text>
    </comment>
    <comment ref="F2123" authorId="1" shapeId="0" xr:uid="{00000000-0006-0000-0100-00009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4" authorId="1" shapeId="0" xr:uid="{00000000-0006-0000-0100-000092070000}">
      <text/>
    </comment>
    <comment ref="C2125" authorId="1" shapeId="0" xr:uid="{00000000-0006-0000-0100-000090070000}">
      <text>
        <r>
          <rPr>
            <sz val="11"/>
            <color theme="1"/>
            <rFont val="Calibri"/>
            <family val="2"/>
            <scheme val="minor"/>
          </rPr>
          <t>Introduzca la fecha prevista de adjudicación, en formato dd-mm-aaaa</t>
        </r>
      </text>
    </comment>
    <comment ref="F2125" authorId="1" shapeId="0" xr:uid="{00000000-0006-0000-0100-000093070000}">
      <text/>
    </comment>
    <comment ref="F2126" authorId="1" shapeId="0" xr:uid="{00000000-0006-0000-0100-000094070000}">
      <text/>
    </comment>
    <comment ref="A2128" authorId="1" shapeId="0" xr:uid="{00000000-0006-0000-0100-000095070000}">
      <text>
        <r>
          <rPr>
            <sz val="11"/>
            <color theme="1"/>
            <rFont val="Calibri"/>
            <family val="2"/>
            <scheme val="minor"/>
          </rPr>
          <t>Introduzca un codigo UNSPSC</t>
        </r>
      </text>
    </comment>
    <comment ref="B2128" authorId="1" shapeId="0" xr:uid="{00000000-0006-0000-0100-000096070000}">
      <text>
        <r>
          <rPr>
            <sz val="11"/>
            <color theme="1"/>
            <rFont val="Calibri"/>
            <family val="2"/>
            <scheme val="minor"/>
          </rPr>
          <t>Descripción calculada automáticamente a partir de código del artículo</t>
        </r>
      </text>
    </comment>
    <comment ref="C2128" authorId="1" shapeId="0" xr:uid="{00000000-0006-0000-0100-000097070000}">
      <text>
        <r>
          <rPr>
            <sz val="11"/>
            <color theme="1"/>
            <rFont val="Calibri"/>
            <family val="2"/>
            <scheme val="minor"/>
          </rPr>
          <t>Seleccione un valor de la lista</t>
        </r>
      </text>
    </comment>
    <comment ref="D2128" authorId="1" shapeId="0" xr:uid="{00000000-0006-0000-0100-000098070000}">
      <text>
        <r>
          <rPr>
            <sz val="11"/>
            <color theme="1"/>
            <rFont val="Calibri"/>
            <family val="2"/>
            <scheme val="minor"/>
          </rPr>
          <t>Introduzca un número con dos decimales como máximo. Debe ser igual o mayor a la "Cantidad Real Consumida"</t>
        </r>
      </text>
    </comment>
    <comment ref="E2128" authorId="1" shapeId="0" xr:uid="{00000000-0006-0000-0100-000099070000}">
      <text>
        <r>
          <rPr>
            <sz val="11"/>
            <color theme="1"/>
            <rFont val="Calibri"/>
            <family val="2"/>
            <scheme val="minor"/>
          </rPr>
          <t>Introduzca un número con dos decimales como máximo</t>
        </r>
      </text>
    </comment>
    <comment ref="F2128" authorId="1" shapeId="0" xr:uid="{00000000-0006-0000-0100-00009A070000}">
      <text>
        <r>
          <rPr>
            <sz val="11"/>
            <color theme="1"/>
            <rFont val="Calibri"/>
            <family val="2"/>
            <scheme val="minor"/>
          </rPr>
          <t>Monto calculado automáticamente por el sistema</t>
        </r>
      </text>
    </comment>
    <comment ref="A2133" authorId="1" shapeId="0" xr:uid="{00000000-0006-0000-0100-00009B070000}">
      <text>
        <r>
          <rPr>
            <sz val="11"/>
            <color theme="1"/>
            <rFont val="Calibri"/>
            <family val="2"/>
            <scheme val="minor"/>
          </rPr>
          <t>Introducir un texto con el nombre o referencia de la contratación</t>
        </r>
      </text>
    </comment>
    <comment ref="B2133" authorId="1" shapeId="0" xr:uid="{00000000-0006-0000-0100-00009C070000}">
      <text>
        <r>
          <rPr>
            <sz val="11"/>
            <color theme="1"/>
            <rFont val="Calibri"/>
            <family val="2"/>
            <scheme val="minor"/>
          </rPr>
          <t>Introduzca un texto con la finalidad de la contratación</t>
        </r>
      </text>
    </comment>
    <comment ref="C2133" authorId="1" shapeId="0" xr:uid="{00000000-0006-0000-0100-00009D070000}">
      <text>
        <r>
          <rPr>
            <sz val="11"/>
            <color theme="1"/>
            <rFont val="Calibri"/>
            <family val="2"/>
            <scheme val="minor"/>
          </rPr>
          <t>Seleccionar un valor del listado</t>
        </r>
      </text>
    </comment>
    <comment ref="D2133" authorId="1" shapeId="0" xr:uid="{00000000-0006-0000-0100-00009E070000}">
      <text>
        <r>
          <rPr>
            <sz val="11"/>
            <color theme="1"/>
            <rFont val="Calibri"/>
            <family val="2"/>
            <scheme val="minor"/>
          </rPr>
          <t>Seleccione el tipo de procedimiento</t>
        </r>
      </text>
    </comment>
    <comment ref="E2133" authorId="1" shapeId="0" xr:uid="{00000000-0006-0000-0100-00009F070000}">
      <text>
        <r>
          <rPr>
            <sz val="11"/>
            <color theme="1"/>
            <rFont val="Calibri"/>
            <family val="2"/>
            <scheme val="minor"/>
          </rPr>
          <t>Seleccione un valor de la lista</t>
        </r>
      </text>
    </comment>
    <comment ref="F2133" authorId="1" shapeId="0" xr:uid="{00000000-0006-0000-0100-0000A0070000}">
      <text>
        <r>
          <rPr>
            <sz val="11"/>
            <color theme="1"/>
            <rFont val="Calibri"/>
            <family val="2"/>
            <scheme val="minor"/>
          </rPr>
          <t>Introduzca el código SNIP</t>
        </r>
      </text>
    </comment>
    <comment ref="C2134" authorId="1" shapeId="0" xr:uid="{00000000-0006-0000-0100-0000A1070000}">
      <text>
        <r>
          <rPr>
            <sz val="11"/>
            <color theme="1"/>
            <rFont val="Calibri"/>
            <family val="2"/>
            <scheme val="minor"/>
          </rPr>
          <t>Introduzca la fecha de inicio del proceso, en formato dd-mm-aaaa</t>
        </r>
      </text>
    </comment>
    <comment ref="F2134" authorId="1" shapeId="0" xr:uid="{00000000-0006-0000-0100-0000A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5" authorId="1" shapeId="0" xr:uid="{00000000-0006-0000-0100-0000A4070000}">
      <text/>
    </comment>
    <comment ref="C2136" authorId="1" shapeId="0" xr:uid="{00000000-0006-0000-0100-0000A2070000}">
      <text>
        <r>
          <rPr>
            <sz val="11"/>
            <color theme="1"/>
            <rFont val="Calibri"/>
            <family val="2"/>
            <scheme val="minor"/>
          </rPr>
          <t>Introduzca la fecha prevista de adjudicación, en formato dd-mm-aaaa</t>
        </r>
      </text>
    </comment>
    <comment ref="F2136" authorId="1" shapeId="0" xr:uid="{00000000-0006-0000-0100-0000A5070000}">
      <text/>
    </comment>
    <comment ref="F2137" authorId="1" shapeId="0" xr:uid="{00000000-0006-0000-0100-0000A6070000}">
      <text/>
    </comment>
    <comment ref="A2139" authorId="1" shapeId="0" xr:uid="{00000000-0006-0000-0100-0000A7070000}">
      <text>
        <r>
          <rPr>
            <sz val="11"/>
            <color theme="1"/>
            <rFont val="Calibri"/>
            <family val="2"/>
            <scheme val="minor"/>
          </rPr>
          <t>Introduzca un codigo UNSPSC</t>
        </r>
      </text>
    </comment>
    <comment ref="B2139" authorId="1" shapeId="0" xr:uid="{00000000-0006-0000-0100-0000A8070000}">
      <text>
        <r>
          <rPr>
            <sz val="11"/>
            <color theme="1"/>
            <rFont val="Calibri"/>
            <family val="2"/>
            <scheme val="minor"/>
          </rPr>
          <t>Descripción calculada automáticamente a partir de código del artículo</t>
        </r>
      </text>
    </comment>
    <comment ref="C2139" authorId="1" shapeId="0" xr:uid="{00000000-0006-0000-0100-0000A9070000}">
      <text>
        <r>
          <rPr>
            <sz val="11"/>
            <color theme="1"/>
            <rFont val="Calibri"/>
            <family val="2"/>
            <scheme val="minor"/>
          </rPr>
          <t>Seleccione un valor de la lista</t>
        </r>
      </text>
    </comment>
    <comment ref="D2139" authorId="1" shapeId="0" xr:uid="{00000000-0006-0000-0100-0000AA070000}">
      <text>
        <r>
          <rPr>
            <sz val="11"/>
            <color theme="1"/>
            <rFont val="Calibri"/>
            <family val="2"/>
            <scheme val="minor"/>
          </rPr>
          <t>Introduzca un número con dos decimales como máximo. Debe ser igual o mayor a la "Cantidad Real Consumida"</t>
        </r>
      </text>
    </comment>
    <comment ref="E2139" authorId="1" shapeId="0" xr:uid="{00000000-0006-0000-0100-0000AB070000}">
      <text>
        <r>
          <rPr>
            <sz val="11"/>
            <color theme="1"/>
            <rFont val="Calibri"/>
            <family val="2"/>
            <scheme val="minor"/>
          </rPr>
          <t>Introduzca un número con dos decimales como máximo</t>
        </r>
      </text>
    </comment>
    <comment ref="F2139" authorId="1" shapeId="0" xr:uid="{00000000-0006-0000-0100-0000AC070000}">
      <text>
        <r>
          <rPr>
            <sz val="11"/>
            <color theme="1"/>
            <rFont val="Calibri"/>
            <family val="2"/>
            <scheme val="minor"/>
          </rPr>
          <t>Monto calculado automáticamente por el sistema</t>
        </r>
      </text>
    </comment>
    <comment ref="A2144" authorId="1" shapeId="0" xr:uid="{00000000-0006-0000-0100-0000AD070000}">
      <text>
        <r>
          <rPr>
            <sz val="11"/>
            <color theme="1"/>
            <rFont val="Calibri"/>
            <family val="2"/>
            <scheme val="minor"/>
          </rPr>
          <t>Introducir un texto con el nombre o referencia de la contratación</t>
        </r>
      </text>
    </comment>
    <comment ref="B2144" authorId="1" shapeId="0" xr:uid="{00000000-0006-0000-0100-0000AE070000}">
      <text>
        <r>
          <rPr>
            <sz val="11"/>
            <color theme="1"/>
            <rFont val="Calibri"/>
            <family val="2"/>
            <scheme val="minor"/>
          </rPr>
          <t>Introduzca un texto con la finalidad de la contratación</t>
        </r>
      </text>
    </comment>
    <comment ref="C2144" authorId="1" shapeId="0" xr:uid="{00000000-0006-0000-0100-0000AF070000}">
      <text>
        <r>
          <rPr>
            <sz val="11"/>
            <color theme="1"/>
            <rFont val="Calibri"/>
            <family val="2"/>
            <scheme val="minor"/>
          </rPr>
          <t>Seleccionar un valor del listado</t>
        </r>
      </text>
    </comment>
    <comment ref="D2144" authorId="1" shapeId="0" xr:uid="{00000000-0006-0000-0100-0000B0070000}">
      <text>
        <r>
          <rPr>
            <sz val="11"/>
            <color theme="1"/>
            <rFont val="Calibri"/>
            <family val="2"/>
            <scheme val="minor"/>
          </rPr>
          <t>Seleccione el tipo de procedimiento</t>
        </r>
      </text>
    </comment>
    <comment ref="E2144" authorId="1" shapeId="0" xr:uid="{00000000-0006-0000-0100-0000B1070000}">
      <text>
        <r>
          <rPr>
            <sz val="11"/>
            <color theme="1"/>
            <rFont val="Calibri"/>
            <family val="2"/>
            <scheme val="minor"/>
          </rPr>
          <t>Seleccione un valor de la lista</t>
        </r>
      </text>
    </comment>
    <comment ref="F2144" authorId="1" shapeId="0" xr:uid="{00000000-0006-0000-0100-0000B2070000}">
      <text>
        <r>
          <rPr>
            <sz val="11"/>
            <color theme="1"/>
            <rFont val="Calibri"/>
            <family val="2"/>
            <scheme val="minor"/>
          </rPr>
          <t>Introduzca el código SNIP</t>
        </r>
      </text>
    </comment>
    <comment ref="C2145" authorId="1" shapeId="0" xr:uid="{00000000-0006-0000-0100-0000B3070000}">
      <text>
        <r>
          <rPr>
            <sz val="11"/>
            <color theme="1"/>
            <rFont val="Calibri"/>
            <family val="2"/>
            <scheme val="minor"/>
          </rPr>
          <t>Introduzca la fecha de inicio del proceso, en formato dd-mm-aaaa</t>
        </r>
      </text>
    </comment>
    <comment ref="F2145" authorId="1" shapeId="0" xr:uid="{00000000-0006-0000-0100-0000B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6" authorId="1" shapeId="0" xr:uid="{00000000-0006-0000-0100-0000B6070000}">
      <text/>
    </comment>
    <comment ref="C2147" authorId="1" shapeId="0" xr:uid="{00000000-0006-0000-0100-0000B4070000}">
      <text>
        <r>
          <rPr>
            <sz val="11"/>
            <color theme="1"/>
            <rFont val="Calibri"/>
            <family val="2"/>
            <scheme val="minor"/>
          </rPr>
          <t>Introduzca la fecha prevista de adjudicación, en formato dd-mm-aaaa</t>
        </r>
      </text>
    </comment>
    <comment ref="F2147" authorId="1" shapeId="0" xr:uid="{00000000-0006-0000-0100-0000B7070000}">
      <text/>
    </comment>
    <comment ref="F2148" authorId="1" shapeId="0" xr:uid="{00000000-0006-0000-0100-0000B8070000}">
      <text/>
    </comment>
    <comment ref="A2150" authorId="1" shapeId="0" xr:uid="{00000000-0006-0000-0100-0000B9070000}">
      <text>
        <r>
          <rPr>
            <sz val="11"/>
            <color theme="1"/>
            <rFont val="Calibri"/>
            <family val="2"/>
            <scheme val="minor"/>
          </rPr>
          <t>Introduzca un codigo UNSPSC</t>
        </r>
      </text>
    </comment>
    <comment ref="B2150" authorId="1" shapeId="0" xr:uid="{00000000-0006-0000-0100-0000BA070000}">
      <text>
        <r>
          <rPr>
            <sz val="11"/>
            <color theme="1"/>
            <rFont val="Calibri"/>
            <family val="2"/>
            <scheme val="minor"/>
          </rPr>
          <t>Descripción calculada automáticamente a partir de código del artículo</t>
        </r>
      </text>
    </comment>
    <comment ref="C2150" authorId="1" shapeId="0" xr:uid="{00000000-0006-0000-0100-0000BB070000}">
      <text>
        <r>
          <rPr>
            <sz val="11"/>
            <color theme="1"/>
            <rFont val="Calibri"/>
            <family val="2"/>
            <scheme val="minor"/>
          </rPr>
          <t>Seleccione un valor de la lista</t>
        </r>
      </text>
    </comment>
    <comment ref="D2150" authorId="1" shapeId="0" xr:uid="{00000000-0006-0000-0100-0000BC070000}">
      <text>
        <r>
          <rPr>
            <sz val="11"/>
            <color theme="1"/>
            <rFont val="Calibri"/>
            <family val="2"/>
            <scheme val="minor"/>
          </rPr>
          <t>Introduzca un número con dos decimales como máximo. Debe ser igual o mayor a la "Cantidad Real Consumida"</t>
        </r>
      </text>
    </comment>
    <comment ref="E2150" authorId="1" shapeId="0" xr:uid="{00000000-0006-0000-0100-0000BD070000}">
      <text>
        <r>
          <rPr>
            <sz val="11"/>
            <color theme="1"/>
            <rFont val="Calibri"/>
            <family val="2"/>
            <scheme val="minor"/>
          </rPr>
          <t>Introduzca un número con dos decimales como máximo</t>
        </r>
      </text>
    </comment>
    <comment ref="F2150" authorId="1" shapeId="0" xr:uid="{00000000-0006-0000-0100-0000BE070000}">
      <text>
        <r>
          <rPr>
            <sz val="11"/>
            <color theme="1"/>
            <rFont val="Calibri"/>
            <family val="2"/>
            <scheme val="minor"/>
          </rPr>
          <t>Monto calculado automáticamente por el sistema</t>
        </r>
      </text>
    </comment>
    <comment ref="A2195" authorId="1" shapeId="0" xr:uid="{00000000-0006-0000-0100-0000BF070000}">
      <text>
        <r>
          <rPr>
            <sz val="11"/>
            <color theme="1"/>
            <rFont val="Calibri"/>
            <family val="2"/>
            <scheme val="minor"/>
          </rPr>
          <t>Introducir un texto con el nombre o referencia de la contratación</t>
        </r>
      </text>
    </comment>
    <comment ref="B2195" authorId="1" shapeId="0" xr:uid="{00000000-0006-0000-0100-0000C0070000}">
      <text>
        <r>
          <rPr>
            <sz val="11"/>
            <color theme="1"/>
            <rFont val="Calibri"/>
            <family val="2"/>
            <scheme val="minor"/>
          </rPr>
          <t>Introduzca un texto con la finalidad de la contratación</t>
        </r>
      </text>
    </comment>
    <comment ref="C2195" authorId="1" shapeId="0" xr:uid="{00000000-0006-0000-0100-0000C1070000}">
      <text>
        <r>
          <rPr>
            <sz val="11"/>
            <color theme="1"/>
            <rFont val="Calibri"/>
            <family val="2"/>
            <scheme val="minor"/>
          </rPr>
          <t>Seleccionar un valor del listado</t>
        </r>
      </text>
    </comment>
    <comment ref="D2195" authorId="1" shapeId="0" xr:uid="{00000000-0006-0000-0100-0000C2070000}">
      <text>
        <r>
          <rPr>
            <sz val="11"/>
            <color theme="1"/>
            <rFont val="Calibri"/>
            <family val="2"/>
            <scheme val="minor"/>
          </rPr>
          <t>Seleccione el tipo de procedimiento</t>
        </r>
      </text>
    </comment>
    <comment ref="E2195" authorId="1" shapeId="0" xr:uid="{00000000-0006-0000-0100-0000C3070000}">
      <text>
        <r>
          <rPr>
            <sz val="11"/>
            <color theme="1"/>
            <rFont val="Calibri"/>
            <family val="2"/>
            <scheme val="minor"/>
          </rPr>
          <t>Seleccione un valor de la lista</t>
        </r>
      </text>
    </comment>
    <comment ref="F2195" authorId="1" shapeId="0" xr:uid="{00000000-0006-0000-0100-0000C4070000}">
      <text>
        <r>
          <rPr>
            <sz val="11"/>
            <color theme="1"/>
            <rFont val="Calibri"/>
            <family val="2"/>
            <scheme val="minor"/>
          </rPr>
          <t>Introduzca el código SNIP</t>
        </r>
      </text>
    </comment>
    <comment ref="C2196" authorId="1" shapeId="0" xr:uid="{00000000-0006-0000-0100-0000C5070000}">
      <text>
        <r>
          <rPr>
            <sz val="11"/>
            <color theme="1"/>
            <rFont val="Calibri"/>
            <family val="2"/>
            <scheme val="minor"/>
          </rPr>
          <t>Introduzca la fecha de inicio del proceso, en formato dd-mm-aaaa</t>
        </r>
      </text>
    </comment>
    <comment ref="F2196" authorId="1" shapeId="0" xr:uid="{00000000-0006-0000-0100-0000C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7" authorId="1" shapeId="0" xr:uid="{00000000-0006-0000-0100-0000C8070000}">
      <text/>
    </comment>
    <comment ref="C2198" authorId="1" shapeId="0" xr:uid="{00000000-0006-0000-0100-0000C6070000}">
      <text>
        <r>
          <rPr>
            <sz val="11"/>
            <color theme="1"/>
            <rFont val="Calibri"/>
            <family val="2"/>
            <scheme val="minor"/>
          </rPr>
          <t>Introduzca la fecha prevista de adjudicación, en formato dd-mm-aaaa</t>
        </r>
      </text>
    </comment>
    <comment ref="F2198" authorId="1" shapeId="0" xr:uid="{00000000-0006-0000-0100-0000C9070000}">
      <text/>
    </comment>
    <comment ref="F2199" authorId="1" shapeId="0" xr:uid="{00000000-0006-0000-0100-0000CA070000}">
      <text/>
    </comment>
    <comment ref="A2201" authorId="1" shapeId="0" xr:uid="{00000000-0006-0000-0100-0000CB070000}">
      <text>
        <r>
          <rPr>
            <sz val="11"/>
            <color theme="1"/>
            <rFont val="Calibri"/>
            <family val="2"/>
            <scheme val="minor"/>
          </rPr>
          <t>Introduzca un codigo UNSPSC</t>
        </r>
      </text>
    </comment>
    <comment ref="B2201" authorId="1" shapeId="0" xr:uid="{00000000-0006-0000-0100-0000CC070000}">
      <text>
        <r>
          <rPr>
            <sz val="11"/>
            <color theme="1"/>
            <rFont val="Calibri"/>
            <family val="2"/>
            <scheme val="minor"/>
          </rPr>
          <t>Descripción calculada automáticamente a partir de código del artículo</t>
        </r>
      </text>
    </comment>
    <comment ref="C2201" authorId="1" shapeId="0" xr:uid="{00000000-0006-0000-0100-0000CD070000}">
      <text>
        <r>
          <rPr>
            <sz val="11"/>
            <color theme="1"/>
            <rFont val="Calibri"/>
            <family val="2"/>
            <scheme val="minor"/>
          </rPr>
          <t>Seleccione un valor de la lista</t>
        </r>
      </text>
    </comment>
    <comment ref="D2201" authorId="1" shapeId="0" xr:uid="{00000000-0006-0000-0100-0000CE070000}">
      <text>
        <r>
          <rPr>
            <sz val="11"/>
            <color theme="1"/>
            <rFont val="Calibri"/>
            <family val="2"/>
            <scheme val="minor"/>
          </rPr>
          <t>Introduzca un número con dos decimales como máximo. Debe ser igual o mayor a la "Cantidad Real Consumida"</t>
        </r>
      </text>
    </comment>
    <comment ref="E2201" authorId="1" shapeId="0" xr:uid="{00000000-0006-0000-0100-0000CF070000}">
      <text>
        <r>
          <rPr>
            <sz val="11"/>
            <color theme="1"/>
            <rFont val="Calibri"/>
            <family val="2"/>
            <scheme val="minor"/>
          </rPr>
          <t>Introduzca un número con dos decimales como máximo</t>
        </r>
      </text>
    </comment>
    <comment ref="F2201" authorId="1" shapeId="0" xr:uid="{00000000-0006-0000-0100-0000D0070000}">
      <text>
        <r>
          <rPr>
            <sz val="11"/>
            <color theme="1"/>
            <rFont val="Calibri"/>
            <family val="2"/>
            <scheme val="minor"/>
          </rPr>
          <t>Monto calculado automáticamente por el sistema</t>
        </r>
      </text>
    </comment>
    <comment ref="A2206" authorId="1" shapeId="0" xr:uid="{00000000-0006-0000-0100-0000D1070000}">
      <text>
        <r>
          <rPr>
            <sz val="11"/>
            <color theme="1"/>
            <rFont val="Calibri"/>
            <family val="2"/>
            <scheme val="minor"/>
          </rPr>
          <t>Introducir un texto con el nombre o referencia de la contratación</t>
        </r>
      </text>
    </comment>
    <comment ref="B2206" authorId="1" shapeId="0" xr:uid="{00000000-0006-0000-0100-0000D2070000}">
      <text>
        <r>
          <rPr>
            <sz val="11"/>
            <color theme="1"/>
            <rFont val="Calibri"/>
            <family val="2"/>
            <scheme val="minor"/>
          </rPr>
          <t>Introduzca un texto con la finalidad de la contratación</t>
        </r>
      </text>
    </comment>
    <comment ref="C2206" authorId="1" shapeId="0" xr:uid="{00000000-0006-0000-0100-0000D3070000}">
      <text>
        <r>
          <rPr>
            <sz val="11"/>
            <color theme="1"/>
            <rFont val="Calibri"/>
            <family val="2"/>
            <scheme val="minor"/>
          </rPr>
          <t>Seleccionar un valor del listado</t>
        </r>
      </text>
    </comment>
    <comment ref="D2206" authorId="1" shapeId="0" xr:uid="{00000000-0006-0000-0100-0000D4070000}">
      <text>
        <r>
          <rPr>
            <sz val="11"/>
            <color theme="1"/>
            <rFont val="Calibri"/>
            <family val="2"/>
            <scheme val="minor"/>
          </rPr>
          <t>Seleccione el tipo de procedimiento</t>
        </r>
      </text>
    </comment>
    <comment ref="E2206" authorId="1" shapeId="0" xr:uid="{00000000-0006-0000-0100-0000D5070000}">
      <text>
        <r>
          <rPr>
            <sz val="11"/>
            <color theme="1"/>
            <rFont val="Calibri"/>
            <family val="2"/>
            <scheme val="minor"/>
          </rPr>
          <t>Seleccione un valor de la lista</t>
        </r>
      </text>
    </comment>
    <comment ref="F2206" authorId="1" shapeId="0" xr:uid="{00000000-0006-0000-0100-0000D6070000}">
      <text>
        <r>
          <rPr>
            <sz val="11"/>
            <color theme="1"/>
            <rFont val="Calibri"/>
            <family val="2"/>
            <scheme val="minor"/>
          </rPr>
          <t>Introduzca el código SNIP</t>
        </r>
      </text>
    </comment>
    <comment ref="C2207" authorId="1" shapeId="0" xr:uid="{00000000-0006-0000-0100-0000D7070000}">
      <text>
        <r>
          <rPr>
            <sz val="11"/>
            <color theme="1"/>
            <rFont val="Calibri"/>
            <family val="2"/>
            <scheme val="minor"/>
          </rPr>
          <t>Introduzca la fecha de inicio del proceso, en formato dd-mm-aaaa</t>
        </r>
      </text>
    </comment>
    <comment ref="F2207" authorId="1" shapeId="0" xr:uid="{00000000-0006-0000-0100-0000D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8" authorId="1" shapeId="0" xr:uid="{00000000-0006-0000-0100-0000DA070000}">
      <text/>
    </comment>
    <comment ref="C2209" authorId="1" shapeId="0" xr:uid="{00000000-0006-0000-0100-0000D8070000}">
      <text>
        <r>
          <rPr>
            <sz val="11"/>
            <color theme="1"/>
            <rFont val="Calibri"/>
            <family val="2"/>
            <scheme val="minor"/>
          </rPr>
          <t>Introduzca la fecha prevista de adjudicación, en formato dd-mm-aaaa</t>
        </r>
      </text>
    </comment>
    <comment ref="F2209" authorId="1" shapeId="0" xr:uid="{00000000-0006-0000-0100-0000DB070000}">
      <text/>
    </comment>
    <comment ref="F2210" authorId="1" shapeId="0" xr:uid="{00000000-0006-0000-0100-0000DC070000}">
      <text/>
    </comment>
    <comment ref="A2212" authorId="1" shapeId="0" xr:uid="{00000000-0006-0000-0100-0000DD070000}">
      <text>
        <r>
          <rPr>
            <sz val="11"/>
            <color theme="1"/>
            <rFont val="Calibri"/>
            <family val="2"/>
            <scheme val="minor"/>
          </rPr>
          <t>Introduzca un codigo UNSPSC</t>
        </r>
      </text>
    </comment>
    <comment ref="B2212" authorId="1" shapeId="0" xr:uid="{00000000-0006-0000-0100-0000DE070000}">
      <text>
        <r>
          <rPr>
            <sz val="11"/>
            <color theme="1"/>
            <rFont val="Calibri"/>
            <family val="2"/>
            <scheme val="minor"/>
          </rPr>
          <t>Descripción calculada automáticamente a partir de código del artículo</t>
        </r>
      </text>
    </comment>
    <comment ref="C2212" authorId="1" shapeId="0" xr:uid="{00000000-0006-0000-0100-0000DF070000}">
      <text>
        <r>
          <rPr>
            <sz val="11"/>
            <color theme="1"/>
            <rFont val="Calibri"/>
            <family val="2"/>
            <scheme val="minor"/>
          </rPr>
          <t>Seleccione un valor de la lista</t>
        </r>
      </text>
    </comment>
    <comment ref="D2212" authorId="1" shapeId="0" xr:uid="{00000000-0006-0000-0100-0000E0070000}">
      <text>
        <r>
          <rPr>
            <sz val="11"/>
            <color theme="1"/>
            <rFont val="Calibri"/>
            <family val="2"/>
            <scheme val="minor"/>
          </rPr>
          <t>Introduzca un número con dos decimales como máximo. Debe ser igual o mayor a la "Cantidad Real Consumida"</t>
        </r>
      </text>
    </comment>
    <comment ref="E2212" authorId="1" shapeId="0" xr:uid="{00000000-0006-0000-0100-0000E1070000}">
      <text>
        <r>
          <rPr>
            <sz val="11"/>
            <color theme="1"/>
            <rFont val="Calibri"/>
            <family val="2"/>
            <scheme val="minor"/>
          </rPr>
          <t>Introduzca un número con dos decimales como máximo</t>
        </r>
      </text>
    </comment>
    <comment ref="F2212" authorId="1" shapeId="0" xr:uid="{00000000-0006-0000-0100-0000E2070000}">
      <text>
        <r>
          <rPr>
            <sz val="11"/>
            <color theme="1"/>
            <rFont val="Calibri"/>
            <family val="2"/>
            <scheme val="minor"/>
          </rPr>
          <t>Monto calculado automáticamente por el sistema</t>
        </r>
      </text>
    </comment>
    <comment ref="A2217" authorId="1" shapeId="0" xr:uid="{00000000-0006-0000-0100-0000E3070000}">
      <text>
        <r>
          <rPr>
            <sz val="11"/>
            <color theme="1"/>
            <rFont val="Calibri"/>
            <family val="2"/>
            <scheme val="minor"/>
          </rPr>
          <t>Introducir un texto con el nombre o referencia de la contratación</t>
        </r>
      </text>
    </comment>
    <comment ref="B2217" authorId="1" shapeId="0" xr:uid="{00000000-0006-0000-0100-0000E4070000}">
      <text>
        <r>
          <rPr>
            <sz val="11"/>
            <color theme="1"/>
            <rFont val="Calibri"/>
            <family val="2"/>
            <scheme val="minor"/>
          </rPr>
          <t>Introduzca un texto con la finalidad de la contratación</t>
        </r>
      </text>
    </comment>
    <comment ref="C2217" authorId="1" shapeId="0" xr:uid="{00000000-0006-0000-0100-0000E5070000}">
      <text>
        <r>
          <rPr>
            <sz val="11"/>
            <color theme="1"/>
            <rFont val="Calibri"/>
            <family val="2"/>
            <scheme val="minor"/>
          </rPr>
          <t>Seleccionar un valor del listado</t>
        </r>
      </text>
    </comment>
    <comment ref="D2217" authorId="1" shapeId="0" xr:uid="{00000000-0006-0000-0100-0000E6070000}">
      <text>
        <r>
          <rPr>
            <sz val="11"/>
            <color theme="1"/>
            <rFont val="Calibri"/>
            <family val="2"/>
            <scheme val="minor"/>
          </rPr>
          <t>Seleccione el tipo de procedimiento</t>
        </r>
      </text>
    </comment>
    <comment ref="E2217" authorId="1" shapeId="0" xr:uid="{00000000-0006-0000-0100-0000E7070000}">
      <text>
        <r>
          <rPr>
            <sz val="11"/>
            <color theme="1"/>
            <rFont val="Calibri"/>
            <family val="2"/>
            <scheme val="minor"/>
          </rPr>
          <t>Seleccione un valor de la lista</t>
        </r>
      </text>
    </comment>
    <comment ref="F2217" authorId="1" shapeId="0" xr:uid="{00000000-0006-0000-0100-0000E8070000}">
      <text>
        <r>
          <rPr>
            <sz val="11"/>
            <color theme="1"/>
            <rFont val="Calibri"/>
            <family val="2"/>
            <scheme val="minor"/>
          </rPr>
          <t>Introduzca el código SNIP</t>
        </r>
      </text>
    </comment>
    <comment ref="C2218" authorId="1" shapeId="0" xr:uid="{00000000-0006-0000-0100-0000E9070000}">
      <text>
        <r>
          <rPr>
            <sz val="11"/>
            <color theme="1"/>
            <rFont val="Calibri"/>
            <family val="2"/>
            <scheme val="minor"/>
          </rPr>
          <t>Introduzca la fecha de inicio del proceso, en formato dd-mm-aaaa</t>
        </r>
      </text>
    </comment>
    <comment ref="F2218" authorId="1" shapeId="0" xr:uid="{00000000-0006-0000-0100-0000E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9" authorId="1" shapeId="0" xr:uid="{00000000-0006-0000-0100-0000EC070000}">
      <text/>
    </comment>
    <comment ref="C2220" authorId="1" shapeId="0" xr:uid="{00000000-0006-0000-0100-0000EA070000}">
      <text>
        <r>
          <rPr>
            <sz val="11"/>
            <color theme="1"/>
            <rFont val="Calibri"/>
            <family val="2"/>
            <scheme val="minor"/>
          </rPr>
          <t>Introduzca la fecha prevista de adjudicación, en formato dd-mm-aaaa</t>
        </r>
      </text>
    </comment>
    <comment ref="F2220" authorId="1" shapeId="0" xr:uid="{00000000-0006-0000-0100-0000ED070000}">
      <text/>
    </comment>
    <comment ref="F2221" authorId="1" shapeId="0" xr:uid="{00000000-0006-0000-0100-0000EE070000}">
      <text/>
    </comment>
    <comment ref="A2223" authorId="1" shapeId="0" xr:uid="{00000000-0006-0000-0100-0000EF070000}">
      <text>
        <r>
          <rPr>
            <sz val="11"/>
            <color theme="1"/>
            <rFont val="Calibri"/>
            <family val="2"/>
            <scheme val="minor"/>
          </rPr>
          <t>Introduzca un codigo UNSPSC</t>
        </r>
      </text>
    </comment>
    <comment ref="B2223" authorId="1" shapeId="0" xr:uid="{00000000-0006-0000-0100-0000F0070000}">
      <text>
        <r>
          <rPr>
            <sz val="11"/>
            <color theme="1"/>
            <rFont val="Calibri"/>
            <family val="2"/>
            <scheme val="minor"/>
          </rPr>
          <t>Descripción calculada automáticamente a partir de código del artículo</t>
        </r>
      </text>
    </comment>
    <comment ref="C2223" authorId="1" shapeId="0" xr:uid="{00000000-0006-0000-0100-0000F1070000}">
      <text>
        <r>
          <rPr>
            <sz val="11"/>
            <color theme="1"/>
            <rFont val="Calibri"/>
            <family val="2"/>
            <scheme val="minor"/>
          </rPr>
          <t>Seleccione un valor de la lista</t>
        </r>
      </text>
    </comment>
    <comment ref="D2223" authorId="1" shapeId="0" xr:uid="{00000000-0006-0000-0100-0000F2070000}">
      <text>
        <r>
          <rPr>
            <sz val="11"/>
            <color theme="1"/>
            <rFont val="Calibri"/>
            <family val="2"/>
            <scheme val="minor"/>
          </rPr>
          <t>Introduzca un número con dos decimales como máximo. Debe ser igual o mayor a la "Cantidad Real Consumida"</t>
        </r>
      </text>
    </comment>
    <comment ref="E2223" authorId="1" shapeId="0" xr:uid="{00000000-0006-0000-0100-0000F3070000}">
      <text>
        <r>
          <rPr>
            <sz val="11"/>
            <color theme="1"/>
            <rFont val="Calibri"/>
            <family val="2"/>
            <scheme val="minor"/>
          </rPr>
          <t>Introduzca un número con dos decimales como máximo</t>
        </r>
      </text>
    </comment>
    <comment ref="F2223" authorId="1" shapeId="0" xr:uid="{00000000-0006-0000-0100-0000F4070000}">
      <text>
        <r>
          <rPr>
            <sz val="11"/>
            <color theme="1"/>
            <rFont val="Calibri"/>
            <family val="2"/>
            <scheme val="minor"/>
          </rPr>
          <t>Monto calculado automáticamente por el sistema</t>
        </r>
      </text>
    </comment>
    <comment ref="A2228" authorId="1" shapeId="0" xr:uid="{00000000-0006-0000-0100-0000F5070000}">
      <text>
        <r>
          <rPr>
            <sz val="11"/>
            <color theme="1"/>
            <rFont val="Calibri"/>
            <family val="2"/>
            <scheme val="minor"/>
          </rPr>
          <t>Introducir un texto con el nombre o referencia de la contratación</t>
        </r>
      </text>
    </comment>
    <comment ref="B2228" authorId="1" shapeId="0" xr:uid="{00000000-0006-0000-0100-0000F6070000}">
      <text>
        <r>
          <rPr>
            <sz val="11"/>
            <color theme="1"/>
            <rFont val="Calibri"/>
            <family val="2"/>
            <scheme val="minor"/>
          </rPr>
          <t>Introduzca un texto con la finalidad de la contratación</t>
        </r>
      </text>
    </comment>
    <comment ref="C2228" authorId="1" shapeId="0" xr:uid="{00000000-0006-0000-0100-0000F7070000}">
      <text>
        <r>
          <rPr>
            <sz val="11"/>
            <color theme="1"/>
            <rFont val="Calibri"/>
            <family val="2"/>
            <scheme val="minor"/>
          </rPr>
          <t>Seleccionar un valor del listado</t>
        </r>
      </text>
    </comment>
    <comment ref="D2228" authorId="1" shapeId="0" xr:uid="{00000000-0006-0000-0100-0000F8070000}">
      <text>
        <r>
          <rPr>
            <sz val="11"/>
            <color theme="1"/>
            <rFont val="Calibri"/>
            <family val="2"/>
            <scheme val="minor"/>
          </rPr>
          <t>Seleccione el tipo de procedimiento</t>
        </r>
      </text>
    </comment>
    <comment ref="E2228" authorId="1" shapeId="0" xr:uid="{00000000-0006-0000-0100-0000F9070000}">
      <text>
        <r>
          <rPr>
            <sz val="11"/>
            <color theme="1"/>
            <rFont val="Calibri"/>
            <family val="2"/>
            <scheme val="minor"/>
          </rPr>
          <t>Seleccione un valor de la lista</t>
        </r>
      </text>
    </comment>
    <comment ref="F2228" authorId="1" shapeId="0" xr:uid="{00000000-0006-0000-0100-0000FA070000}">
      <text>
        <r>
          <rPr>
            <sz val="11"/>
            <color theme="1"/>
            <rFont val="Calibri"/>
            <family val="2"/>
            <scheme val="minor"/>
          </rPr>
          <t>Introduzca el código SNIP</t>
        </r>
      </text>
    </comment>
    <comment ref="C2229" authorId="1" shapeId="0" xr:uid="{00000000-0006-0000-0100-0000FB070000}">
      <text>
        <r>
          <rPr>
            <sz val="11"/>
            <color theme="1"/>
            <rFont val="Calibri"/>
            <family val="2"/>
            <scheme val="minor"/>
          </rPr>
          <t>Introduzca la fecha de inicio del proceso, en formato dd-mm-aaaa</t>
        </r>
      </text>
    </comment>
    <comment ref="F2229" authorId="1" shapeId="0" xr:uid="{00000000-0006-0000-0100-0000F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0" authorId="1" shapeId="0" xr:uid="{00000000-0006-0000-0100-0000FE070000}">
      <text/>
    </comment>
    <comment ref="C2231" authorId="1" shapeId="0" xr:uid="{00000000-0006-0000-0100-0000FC070000}">
      <text>
        <r>
          <rPr>
            <sz val="11"/>
            <color theme="1"/>
            <rFont val="Calibri"/>
            <family val="2"/>
            <scheme val="minor"/>
          </rPr>
          <t>Introduzca la fecha prevista de adjudicación, en formato dd-mm-aaaa</t>
        </r>
      </text>
    </comment>
    <comment ref="F2231" authorId="1" shapeId="0" xr:uid="{00000000-0006-0000-0100-0000FF070000}">
      <text/>
    </comment>
    <comment ref="F2232" authorId="1" shapeId="0" xr:uid="{00000000-0006-0000-0100-000000080000}">
      <text/>
    </comment>
    <comment ref="A2234" authorId="1" shapeId="0" xr:uid="{00000000-0006-0000-0100-000001080000}">
      <text>
        <r>
          <rPr>
            <sz val="11"/>
            <color theme="1"/>
            <rFont val="Calibri"/>
            <family val="2"/>
            <scheme val="minor"/>
          </rPr>
          <t>Introduzca un codigo UNSPSC</t>
        </r>
      </text>
    </comment>
    <comment ref="B2234" authorId="1" shapeId="0" xr:uid="{00000000-0006-0000-0100-000002080000}">
      <text>
        <r>
          <rPr>
            <sz val="11"/>
            <color theme="1"/>
            <rFont val="Calibri"/>
            <family val="2"/>
            <scheme val="minor"/>
          </rPr>
          <t>Descripción calculada automáticamente a partir de código del artículo</t>
        </r>
      </text>
    </comment>
    <comment ref="C2234" authorId="1" shapeId="0" xr:uid="{00000000-0006-0000-0100-000003080000}">
      <text>
        <r>
          <rPr>
            <sz val="11"/>
            <color theme="1"/>
            <rFont val="Calibri"/>
            <family val="2"/>
            <scheme val="minor"/>
          </rPr>
          <t>Seleccione un valor de la lista</t>
        </r>
      </text>
    </comment>
    <comment ref="D2234" authorId="1" shapeId="0" xr:uid="{00000000-0006-0000-0100-000004080000}">
      <text>
        <r>
          <rPr>
            <sz val="11"/>
            <color theme="1"/>
            <rFont val="Calibri"/>
            <family val="2"/>
            <scheme val="minor"/>
          </rPr>
          <t>Introduzca un número con dos decimales como máximo. Debe ser igual o mayor a la "Cantidad Real Consumida"</t>
        </r>
      </text>
    </comment>
    <comment ref="E2234" authorId="1" shapeId="0" xr:uid="{00000000-0006-0000-0100-000005080000}">
      <text>
        <r>
          <rPr>
            <sz val="11"/>
            <color theme="1"/>
            <rFont val="Calibri"/>
            <family val="2"/>
            <scheme val="minor"/>
          </rPr>
          <t>Introduzca un número con dos decimales como máximo</t>
        </r>
      </text>
    </comment>
    <comment ref="F2234" authorId="1" shapeId="0" xr:uid="{00000000-0006-0000-0100-000006080000}">
      <text>
        <r>
          <rPr>
            <sz val="11"/>
            <color theme="1"/>
            <rFont val="Calibri"/>
            <family val="2"/>
            <scheme val="minor"/>
          </rPr>
          <t>Monto calculado automáticamente por el sistema</t>
        </r>
      </text>
    </comment>
    <comment ref="A2240" authorId="1" shapeId="0" xr:uid="{00000000-0006-0000-0100-000007080000}">
      <text>
        <r>
          <rPr>
            <sz val="11"/>
            <color theme="1"/>
            <rFont val="Calibri"/>
            <family val="2"/>
            <scheme val="minor"/>
          </rPr>
          <t>Introducir un texto con el nombre o referencia de la contratación</t>
        </r>
      </text>
    </comment>
    <comment ref="B2240" authorId="1" shapeId="0" xr:uid="{00000000-0006-0000-0100-000008080000}">
      <text>
        <r>
          <rPr>
            <sz val="11"/>
            <color theme="1"/>
            <rFont val="Calibri"/>
            <family val="2"/>
            <scheme val="minor"/>
          </rPr>
          <t>Introduzca un texto con la finalidad de la contratación</t>
        </r>
      </text>
    </comment>
    <comment ref="C2240" authorId="1" shapeId="0" xr:uid="{00000000-0006-0000-0100-000009080000}">
      <text>
        <r>
          <rPr>
            <sz val="11"/>
            <color theme="1"/>
            <rFont val="Calibri"/>
            <family val="2"/>
            <scheme val="minor"/>
          </rPr>
          <t>Seleccionar un valor del listado</t>
        </r>
      </text>
    </comment>
    <comment ref="D2240" authorId="1" shapeId="0" xr:uid="{00000000-0006-0000-0100-00000A080000}">
      <text>
        <r>
          <rPr>
            <sz val="11"/>
            <color theme="1"/>
            <rFont val="Calibri"/>
            <family val="2"/>
            <scheme val="minor"/>
          </rPr>
          <t>Seleccione el tipo de procedimiento</t>
        </r>
      </text>
    </comment>
    <comment ref="E2240" authorId="1" shapeId="0" xr:uid="{00000000-0006-0000-0100-00000B080000}">
      <text>
        <r>
          <rPr>
            <sz val="11"/>
            <color theme="1"/>
            <rFont val="Calibri"/>
            <family val="2"/>
            <scheme val="minor"/>
          </rPr>
          <t>Seleccione un valor de la lista</t>
        </r>
      </text>
    </comment>
    <comment ref="F2240" authorId="1" shapeId="0" xr:uid="{00000000-0006-0000-0100-00000C080000}">
      <text>
        <r>
          <rPr>
            <sz val="11"/>
            <color theme="1"/>
            <rFont val="Calibri"/>
            <family val="2"/>
            <scheme val="minor"/>
          </rPr>
          <t>Introduzca el código SNIP</t>
        </r>
      </text>
    </comment>
    <comment ref="C2241" authorId="1" shapeId="0" xr:uid="{00000000-0006-0000-0100-00000D080000}">
      <text>
        <r>
          <rPr>
            <sz val="11"/>
            <color theme="1"/>
            <rFont val="Calibri"/>
            <family val="2"/>
            <scheme val="minor"/>
          </rPr>
          <t>Introduzca la fecha de inicio del proceso, en formato dd-mm-aaaa</t>
        </r>
      </text>
    </comment>
    <comment ref="F2241" authorId="1" shapeId="0" xr:uid="{00000000-0006-0000-0100-00000F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42" authorId="1" shapeId="0" xr:uid="{00000000-0006-0000-0100-000010080000}">
      <text/>
    </comment>
    <comment ref="C2243" authorId="1" shapeId="0" xr:uid="{00000000-0006-0000-0100-00000E080000}">
      <text>
        <r>
          <rPr>
            <sz val="11"/>
            <color theme="1"/>
            <rFont val="Calibri"/>
            <family val="2"/>
            <scheme val="minor"/>
          </rPr>
          <t>Introduzca la fecha prevista de adjudicación, en formato dd-mm-aaaa</t>
        </r>
      </text>
    </comment>
    <comment ref="F2243" authorId="1" shapeId="0" xr:uid="{00000000-0006-0000-0100-000011080000}">
      <text/>
    </comment>
    <comment ref="F2244" authorId="1" shapeId="0" xr:uid="{00000000-0006-0000-0100-000012080000}">
      <text/>
    </comment>
    <comment ref="A2246" authorId="1" shapeId="0" xr:uid="{00000000-0006-0000-0100-000013080000}">
      <text>
        <r>
          <rPr>
            <sz val="11"/>
            <color theme="1"/>
            <rFont val="Calibri"/>
            <family val="2"/>
            <scheme val="minor"/>
          </rPr>
          <t>Introduzca un codigo UNSPSC</t>
        </r>
      </text>
    </comment>
    <comment ref="B2246" authorId="1" shapeId="0" xr:uid="{00000000-0006-0000-0100-000014080000}">
      <text>
        <r>
          <rPr>
            <sz val="11"/>
            <color theme="1"/>
            <rFont val="Calibri"/>
            <family val="2"/>
            <scheme val="minor"/>
          </rPr>
          <t>Descripción calculada automáticamente a partir de código del artículo</t>
        </r>
      </text>
    </comment>
    <comment ref="C2246" authorId="1" shapeId="0" xr:uid="{00000000-0006-0000-0100-000015080000}">
      <text>
        <r>
          <rPr>
            <sz val="11"/>
            <color theme="1"/>
            <rFont val="Calibri"/>
            <family val="2"/>
            <scheme val="minor"/>
          </rPr>
          <t>Seleccione un valor de la lista</t>
        </r>
      </text>
    </comment>
    <comment ref="D2246" authorId="1" shapeId="0" xr:uid="{00000000-0006-0000-0100-000016080000}">
      <text>
        <r>
          <rPr>
            <sz val="11"/>
            <color theme="1"/>
            <rFont val="Calibri"/>
            <family val="2"/>
            <scheme val="minor"/>
          </rPr>
          <t>Introduzca un número con dos decimales como máximo. Debe ser igual o mayor a la "Cantidad Real Consumida"</t>
        </r>
      </text>
    </comment>
    <comment ref="E2246" authorId="1" shapeId="0" xr:uid="{00000000-0006-0000-0100-000017080000}">
      <text>
        <r>
          <rPr>
            <sz val="11"/>
            <color theme="1"/>
            <rFont val="Calibri"/>
            <family val="2"/>
            <scheme val="minor"/>
          </rPr>
          <t>Introduzca un número con dos decimales como máximo</t>
        </r>
      </text>
    </comment>
    <comment ref="F2246" authorId="1" shapeId="0" xr:uid="{00000000-0006-0000-0100-000018080000}">
      <text>
        <r>
          <rPr>
            <sz val="11"/>
            <color theme="1"/>
            <rFont val="Calibri"/>
            <family val="2"/>
            <scheme val="minor"/>
          </rPr>
          <t>Monto calculado automáticamente por el sistema</t>
        </r>
      </text>
    </comment>
    <comment ref="A2251" authorId="1" shapeId="0" xr:uid="{00000000-0006-0000-0100-000019080000}">
      <text>
        <r>
          <rPr>
            <sz val="11"/>
            <color theme="1"/>
            <rFont val="Calibri"/>
            <family val="2"/>
            <scheme val="minor"/>
          </rPr>
          <t>Introducir un texto con el nombre o referencia de la contratación</t>
        </r>
      </text>
    </comment>
    <comment ref="B2251" authorId="1" shapeId="0" xr:uid="{00000000-0006-0000-0100-00001A080000}">
      <text>
        <r>
          <rPr>
            <sz val="11"/>
            <color theme="1"/>
            <rFont val="Calibri"/>
            <family val="2"/>
            <scheme val="minor"/>
          </rPr>
          <t>Introduzca un texto con la finalidad de la contratación</t>
        </r>
      </text>
    </comment>
    <comment ref="C2251" authorId="1" shapeId="0" xr:uid="{00000000-0006-0000-0100-00001B080000}">
      <text>
        <r>
          <rPr>
            <sz val="11"/>
            <color theme="1"/>
            <rFont val="Calibri"/>
            <family val="2"/>
            <scheme val="minor"/>
          </rPr>
          <t>Seleccionar un valor del listado</t>
        </r>
      </text>
    </comment>
    <comment ref="D2251" authorId="1" shapeId="0" xr:uid="{00000000-0006-0000-0100-00001C080000}">
      <text>
        <r>
          <rPr>
            <sz val="11"/>
            <color theme="1"/>
            <rFont val="Calibri"/>
            <family val="2"/>
            <scheme val="minor"/>
          </rPr>
          <t>Seleccione el tipo de procedimiento</t>
        </r>
      </text>
    </comment>
    <comment ref="E2251" authorId="1" shapeId="0" xr:uid="{00000000-0006-0000-0100-00001D080000}">
      <text>
        <r>
          <rPr>
            <sz val="11"/>
            <color theme="1"/>
            <rFont val="Calibri"/>
            <family val="2"/>
            <scheme val="minor"/>
          </rPr>
          <t>Seleccione un valor de la lista</t>
        </r>
      </text>
    </comment>
    <comment ref="F2251" authorId="1" shapeId="0" xr:uid="{00000000-0006-0000-0100-00001E080000}">
      <text>
        <r>
          <rPr>
            <sz val="11"/>
            <color theme="1"/>
            <rFont val="Calibri"/>
            <family val="2"/>
            <scheme val="minor"/>
          </rPr>
          <t>Introduzca el código SNIP</t>
        </r>
      </text>
    </comment>
    <comment ref="C2252" authorId="1" shapeId="0" xr:uid="{00000000-0006-0000-0100-00001F080000}">
      <text>
        <r>
          <rPr>
            <sz val="11"/>
            <color theme="1"/>
            <rFont val="Calibri"/>
            <family val="2"/>
            <scheme val="minor"/>
          </rPr>
          <t>Introduzca la fecha de inicio del proceso, en formato dd-mm-aaaa</t>
        </r>
      </text>
    </comment>
    <comment ref="F2252" authorId="1" shapeId="0" xr:uid="{00000000-0006-0000-0100-000021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53" authorId="1" shapeId="0" xr:uid="{00000000-0006-0000-0100-000022080000}">
      <text/>
    </comment>
    <comment ref="C2254" authorId="1" shapeId="0" xr:uid="{00000000-0006-0000-0100-000020080000}">
      <text>
        <r>
          <rPr>
            <sz val="11"/>
            <color theme="1"/>
            <rFont val="Calibri"/>
            <family val="2"/>
            <scheme val="minor"/>
          </rPr>
          <t>Introduzca la fecha prevista de adjudicación, en formato dd-mm-aaaa</t>
        </r>
      </text>
    </comment>
    <comment ref="F2254" authorId="1" shapeId="0" xr:uid="{00000000-0006-0000-0100-000023080000}">
      <text/>
    </comment>
    <comment ref="F2255" authorId="1" shapeId="0" xr:uid="{00000000-0006-0000-0100-000024080000}">
      <text/>
    </comment>
    <comment ref="A2257" authorId="1" shapeId="0" xr:uid="{00000000-0006-0000-0100-000025080000}">
      <text>
        <r>
          <rPr>
            <sz val="11"/>
            <color theme="1"/>
            <rFont val="Calibri"/>
            <family val="2"/>
            <scheme val="minor"/>
          </rPr>
          <t>Introduzca un codigo UNSPSC</t>
        </r>
      </text>
    </comment>
    <comment ref="B2257" authorId="1" shapeId="0" xr:uid="{00000000-0006-0000-0100-000026080000}">
      <text>
        <r>
          <rPr>
            <sz val="11"/>
            <color theme="1"/>
            <rFont val="Calibri"/>
            <family val="2"/>
            <scheme val="minor"/>
          </rPr>
          <t>Descripción calculada automáticamente a partir de código del artículo</t>
        </r>
      </text>
    </comment>
    <comment ref="C2257" authorId="1" shapeId="0" xr:uid="{00000000-0006-0000-0100-000027080000}">
      <text>
        <r>
          <rPr>
            <sz val="11"/>
            <color theme="1"/>
            <rFont val="Calibri"/>
            <family val="2"/>
            <scheme val="minor"/>
          </rPr>
          <t>Seleccione un valor de la lista</t>
        </r>
      </text>
    </comment>
    <comment ref="D2257" authorId="1" shapeId="0" xr:uid="{00000000-0006-0000-0100-000028080000}">
      <text>
        <r>
          <rPr>
            <sz val="11"/>
            <color theme="1"/>
            <rFont val="Calibri"/>
            <family val="2"/>
            <scheme val="minor"/>
          </rPr>
          <t>Introduzca un número con dos decimales como máximo. Debe ser igual o mayor a la "Cantidad Real Consumida"</t>
        </r>
      </text>
    </comment>
    <comment ref="E2257" authorId="1" shapeId="0" xr:uid="{00000000-0006-0000-0100-000029080000}">
      <text>
        <r>
          <rPr>
            <sz val="11"/>
            <color theme="1"/>
            <rFont val="Calibri"/>
            <family val="2"/>
            <scheme val="minor"/>
          </rPr>
          <t>Introduzca un número con dos decimales como máximo</t>
        </r>
      </text>
    </comment>
    <comment ref="F2257" authorId="1" shapeId="0" xr:uid="{00000000-0006-0000-0100-00002A080000}">
      <text>
        <r>
          <rPr>
            <sz val="11"/>
            <color theme="1"/>
            <rFont val="Calibri"/>
            <family val="2"/>
            <scheme val="minor"/>
          </rPr>
          <t>Monto calculado automáticamente por el sistema</t>
        </r>
      </text>
    </comment>
    <comment ref="A2262" authorId="1" shapeId="0" xr:uid="{00000000-0006-0000-0100-00002B080000}">
      <text>
        <r>
          <rPr>
            <sz val="11"/>
            <color theme="1"/>
            <rFont val="Calibri"/>
            <family val="2"/>
            <scheme val="minor"/>
          </rPr>
          <t>Introducir un texto con el nombre o referencia de la contratación</t>
        </r>
      </text>
    </comment>
    <comment ref="B2262" authorId="1" shapeId="0" xr:uid="{00000000-0006-0000-0100-00002C080000}">
      <text>
        <r>
          <rPr>
            <sz val="11"/>
            <color theme="1"/>
            <rFont val="Calibri"/>
            <family val="2"/>
            <scheme val="minor"/>
          </rPr>
          <t>Introduzca un texto con la finalidad de la contratación</t>
        </r>
      </text>
    </comment>
    <comment ref="C2262" authorId="1" shapeId="0" xr:uid="{00000000-0006-0000-0100-00002D080000}">
      <text>
        <r>
          <rPr>
            <sz val="11"/>
            <color theme="1"/>
            <rFont val="Calibri"/>
            <family val="2"/>
            <scheme val="minor"/>
          </rPr>
          <t>Seleccionar un valor del listado</t>
        </r>
      </text>
    </comment>
    <comment ref="D2262" authorId="1" shapeId="0" xr:uid="{00000000-0006-0000-0100-00002E080000}">
      <text>
        <r>
          <rPr>
            <sz val="11"/>
            <color theme="1"/>
            <rFont val="Calibri"/>
            <family val="2"/>
            <scheme val="minor"/>
          </rPr>
          <t>Seleccione el tipo de procedimiento</t>
        </r>
      </text>
    </comment>
    <comment ref="E2262" authorId="1" shapeId="0" xr:uid="{00000000-0006-0000-0100-00002F080000}">
      <text>
        <r>
          <rPr>
            <sz val="11"/>
            <color theme="1"/>
            <rFont val="Calibri"/>
            <family val="2"/>
            <scheme val="minor"/>
          </rPr>
          <t>Seleccione un valor de la lista</t>
        </r>
      </text>
    </comment>
    <comment ref="F2262" authorId="1" shapeId="0" xr:uid="{00000000-0006-0000-0100-000030080000}">
      <text>
        <r>
          <rPr>
            <sz val="11"/>
            <color theme="1"/>
            <rFont val="Calibri"/>
            <family val="2"/>
            <scheme val="minor"/>
          </rPr>
          <t>Introduzca el código SNIP</t>
        </r>
      </text>
    </comment>
    <comment ref="C2263" authorId="1" shapeId="0" xr:uid="{00000000-0006-0000-0100-000031080000}">
      <text>
        <r>
          <rPr>
            <sz val="11"/>
            <color theme="1"/>
            <rFont val="Calibri"/>
            <family val="2"/>
            <scheme val="minor"/>
          </rPr>
          <t>Introduzca la fecha de inicio del proceso, en formato dd-mm-aaaa</t>
        </r>
      </text>
    </comment>
    <comment ref="F2263" authorId="1" shapeId="0" xr:uid="{00000000-0006-0000-0100-000033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64" authorId="1" shapeId="0" xr:uid="{00000000-0006-0000-0100-000034080000}">
      <text/>
    </comment>
    <comment ref="C2265" authorId="1" shapeId="0" xr:uid="{00000000-0006-0000-0100-000032080000}">
      <text>
        <r>
          <rPr>
            <sz val="11"/>
            <color theme="1"/>
            <rFont val="Calibri"/>
            <family val="2"/>
            <scheme val="minor"/>
          </rPr>
          <t>Introduzca la fecha prevista de adjudicación, en formato dd-mm-aaaa</t>
        </r>
      </text>
    </comment>
    <comment ref="F2265" authorId="1" shapeId="0" xr:uid="{00000000-0006-0000-0100-000035080000}">
      <text/>
    </comment>
    <comment ref="F2266" authorId="1" shapeId="0" xr:uid="{00000000-0006-0000-0100-000036080000}">
      <text/>
    </comment>
    <comment ref="A2268" authorId="1" shapeId="0" xr:uid="{00000000-0006-0000-0100-000037080000}">
      <text>
        <r>
          <rPr>
            <sz val="11"/>
            <color theme="1"/>
            <rFont val="Calibri"/>
            <family val="2"/>
            <scheme val="minor"/>
          </rPr>
          <t>Introduzca un codigo UNSPSC</t>
        </r>
      </text>
    </comment>
    <comment ref="B2268" authorId="1" shapeId="0" xr:uid="{00000000-0006-0000-0100-000038080000}">
      <text>
        <r>
          <rPr>
            <sz val="11"/>
            <color theme="1"/>
            <rFont val="Calibri"/>
            <family val="2"/>
            <scheme val="minor"/>
          </rPr>
          <t>Descripción calculada automáticamente a partir de código del artículo</t>
        </r>
      </text>
    </comment>
    <comment ref="C2268" authorId="1" shapeId="0" xr:uid="{00000000-0006-0000-0100-000039080000}">
      <text>
        <r>
          <rPr>
            <sz val="11"/>
            <color theme="1"/>
            <rFont val="Calibri"/>
            <family val="2"/>
            <scheme val="minor"/>
          </rPr>
          <t>Seleccione un valor de la lista</t>
        </r>
      </text>
    </comment>
    <comment ref="D2268" authorId="1" shapeId="0" xr:uid="{00000000-0006-0000-0100-00003A080000}">
      <text>
        <r>
          <rPr>
            <sz val="11"/>
            <color theme="1"/>
            <rFont val="Calibri"/>
            <family val="2"/>
            <scheme val="minor"/>
          </rPr>
          <t>Introduzca un número con dos decimales como máximo. Debe ser igual o mayor a la "Cantidad Real Consumida"</t>
        </r>
      </text>
    </comment>
    <comment ref="E2268" authorId="1" shapeId="0" xr:uid="{00000000-0006-0000-0100-00003B080000}">
      <text>
        <r>
          <rPr>
            <sz val="11"/>
            <color theme="1"/>
            <rFont val="Calibri"/>
            <family val="2"/>
            <scheme val="minor"/>
          </rPr>
          <t>Introduzca un número con dos decimales como máximo</t>
        </r>
      </text>
    </comment>
    <comment ref="F2268" authorId="1" shapeId="0" xr:uid="{00000000-0006-0000-0100-00003C080000}">
      <text>
        <r>
          <rPr>
            <sz val="11"/>
            <color theme="1"/>
            <rFont val="Calibri"/>
            <family val="2"/>
            <scheme val="minor"/>
          </rPr>
          <t>Monto calculado automáticamente por el sistema</t>
        </r>
      </text>
    </comment>
    <comment ref="A2273" authorId="1" shapeId="0" xr:uid="{00000000-0006-0000-0100-00003D080000}">
      <text>
        <r>
          <rPr>
            <sz val="11"/>
            <color theme="1"/>
            <rFont val="Calibri"/>
            <family val="2"/>
            <scheme val="minor"/>
          </rPr>
          <t>Introducir un texto con el nombre o referencia de la contratación</t>
        </r>
      </text>
    </comment>
    <comment ref="B2273" authorId="1" shapeId="0" xr:uid="{00000000-0006-0000-0100-00003E080000}">
      <text>
        <r>
          <rPr>
            <sz val="11"/>
            <color theme="1"/>
            <rFont val="Calibri"/>
            <family val="2"/>
            <scheme val="minor"/>
          </rPr>
          <t>Introduzca un texto con la finalidad de la contratación</t>
        </r>
      </text>
    </comment>
    <comment ref="C2273" authorId="1" shapeId="0" xr:uid="{00000000-0006-0000-0100-00003F080000}">
      <text>
        <r>
          <rPr>
            <sz val="11"/>
            <color theme="1"/>
            <rFont val="Calibri"/>
            <family val="2"/>
            <scheme val="minor"/>
          </rPr>
          <t>Seleccionar un valor del listado</t>
        </r>
      </text>
    </comment>
    <comment ref="D2273" authorId="1" shapeId="0" xr:uid="{00000000-0006-0000-0100-000040080000}">
      <text>
        <r>
          <rPr>
            <sz val="11"/>
            <color theme="1"/>
            <rFont val="Calibri"/>
            <family val="2"/>
            <scheme val="minor"/>
          </rPr>
          <t>Seleccione el tipo de procedimiento</t>
        </r>
      </text>
    </comment>
    <comment ref="E2273" authorId="1" shapeId="0" xr:uid="{00000000-0006-0000-0100-000041080000}">
      <text>
        <r>
          <rPr>
            <sz val="11"/>
            <color theme="1"/>
            <rFont val="Calibri"/>
            <family val="2"/>
            <scheme val="minor"/>
          </rPr>
          <t>Seleccione un valor de la lista</t>
        </r>
      </text>
    </comment>
    <comment ref="F2273" authorId="1" shapeId="0" xr:uid="{00000000-0006-0000-0100-000042080000}">
      <text>
        <r>
          <rPr>
            <sz val="11"/>
            <color theme="1"/>
            <rFont val="Calibri"/>
            <family val="2"/>
            <scheme val="minor"/>
          </rPr>
          <t>Introduzca el código SNIP</t>
        </r>
      </text>
    </comment>
    <comment ref="C2274" authorId="1" shapeId="0" xr:uid="{00000000-0006-0000-0100-000043080000}">
      <text>
        <r>
          <rPr>
            <sz val="11"/>
            <color theme="1"/>
            <rFont val="Calibri"/>
            <family val="2"/>
            <scheme val="minor"/>
          </rPr>
          <t>Introduzca la fecha de inicio del proceso, en formato dd-mm-aaaa</t>
        </r>
      </text>
    </comment>
    <comment ref="F2274" authorId="1" shapeId="0" xr:uid="{00000000-0006-0000-0100-000045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75" authorId="1" shapeId="0" xr:uid="{00000000-0006-0000-0100-000046080000}">
      <text/>
    </comment>
    <comment ref="C2276" authorId="1" shapeId="0" xr:uid="{00000000-0006-0000-0100-000044080000}">
      <text>
        <r>
          <rPr>
            <sz val="11"/>
            <color theme="1"/>
            <rFont val="Calibri"/>
            <family val="2"/>
            <scheme val="minor"/>
          </rPr>
          <t>Introduzca la fecha prevista de adjudicación, en formato dd-mm-aaaa</t>
        </r>
      </text>
    </comment>
    <comment ref="F2276" authorId="1" shapeId="0" xr:uid="{00000000-0006-0000-0100-000047080000}">
      <text/>
    </comment>
    <comment ref="F2277" authorId="1" shapeId="0" xr:uid="{00000000-0006-0000-0100-000048080000}">
      <text/>
    </comment>
    <comment ref="A2279" authorId="1" shapeId="0" xr:uid="{00000000-0006-0000-0100-000049080000}">
      <text>
        <r>
          <rPr>
            <sz val="11"/>
            <color theme="1"/>
            <rFont val="Calibri"/>
            <family val="2"/>
            <scheme val="minor"/>
          </rPr>
          <t>Introduzca un codigo UNSPSC</t>
        </r>
      </text>
    </comment>
    <comment ref="B2279" authorId="1" shapeId="0" xr:uid="{00000000-0006-0000-0100-00004A080000}">
      <text>
        <r>
          <rPr>
            <sz val="11"/>
            <color theme="1"/>
            <rFont val="Calibri"/>
            <family val="2"/>
            <scheme val="minor"/>
          </rPr>
          <t>Descripción calculada automáticamente a partir de código del artículo</t>
        </r>
      </text>
    </comment>
    <comment ref="C2279" authorId="1" shapeId="0" xr:uid="{00000000-0006-0000-0100-00004B080000}">
      <text>
        <r>
          <rPr>
            <sz val="11"/>
            <color theme="1"/>
            <rFont val="Calibri"/>
            <family val="2"/>
            <scheme val="minor"/>
          </rPr>
          <t>Seleccione un valor de la lista</t>
        </r>
      </text>
    </comment>
    <comment ref="D2279" authorId="1" shapeId="0" xr:uid="{00000000-0006-0000-0100-00004C080000}">
      <text>
        <r>
          <rPr>
            <sz val="11"/>
            <color theme="1"/>
            <rFont val="Calibri"/>
            <family val="2"/>
            <scheme val="minor"/>
          </rPr>
          <t>Introduzca un número con dos decimales como máximo. Debe ser igual o mayor a la "Cantidad Real Consumida"</t>
        </r>
      </text>
    </comment>
    <comment ref="E2279" authorId="1" shapeId="0" xr:uid="{00000000-0006-0000-0100-00004D080000}">
      <text>
        <r>
          <rPr>
            <sz val="11"/>
            <color theme="1"/>
            <rFont val="Calibri"/>
            <family val="2"/>
            <scheme val="minor"/>
          </rPr>
          <t>Introduzca un número con dos decimales como máximo</t>
        </r>
      </text>
    </comment>
    <comment ref="F2279" authorId="1" shapeId="0" xr:uid="{00000000-0006-0000-0100-00004E080000}">
      <text>
        <r>
          <rPr>
            <sz val="11"/>
            <color theme="1"/>
            <rFont val="Calibri"/>
            <family val="2"/>
            <scheme val="minor"/>
          </rPr>
          <t>Monto calculado automáticamente por el sistema</t>
        </r>
      </text>
    </comment>
    <comment ref="A2298" authorId="1" shapeId="0" xr:uid="{00000000-0006-0000-0100-00004F080000}">
      <text>
        <r>
          <rPr>
            <sz val="11"/>
            <color theme="1"/>
            <rFont val="Calibri"/>
            <family val="2"/>
            <scheme val="minor"/>
          </rPr>
          <t>Introducir un texto con el nombre o referencia de la contratación</t>
        </r>
      </text>
    </comment>
    <comment ref="B2298" authorId="1" shapeId="0" xr:uid="{00000000-0006-0000-0100-000050080000}">
      <text>
        <r>
          <rPr>
            <sz val="11"/>
            <color theme="1"/>
            <rFont val="Calibri"/>
            <family val="2"/>
            <scheme val="minor"/>
          </rPr>
          <t>Introduzca un texto con la finalidad de la contratación</t>
        </r>
      </text>
    </comment>
    <comment ref="C2298" authorId="1" shapeId="0" xr:uid="{00000000-0006-0000-0100-000051080000}">
      <text>
        <r>
          <rPr>
            <sz val="11"/>
            <color theme="1"/>
            <rFont val="Calibri"/>
            <family val="2"/>
            <scheme val="minor"/>
          </rPr>
          <t>Seleccionar un valor del listado</t>
        </r>
      </text>
    </comment>
    <comment ref="D2298" authorId="1" shapeId="0" xr:uid="{00000000-0006-0000-0100-000052080000}">
      <text>
        <r>
          <rPr>
            <sz val="11"/>
            <color theme="1"/>
            <rFont val="Calibri"/>
            <family val="2"/>
            <scheme val="minor"/>
          </rPr>
          <t>Seleccione el tipo de procedimiento</t>
        </r>
      </text>
    </comment>
    <comment ref="E2298" authorId="1" shapeId="0" xr:uid="{00000000-0006-0000-0100-000053080000}">
      <text>
        <r>
          <rPr>
            <sz val="11"/>
            <color theme="1"/>
            <rFont val="Calibri"/>
            <family val="2"/>
            <scheme val="minor"/>
          </rPr>
          <t>Seleccione un valor de la lista</t>
        </r>
      </text>
    </comment>
    <comment ref="F2298" authorId="1" shapeId="0" xr:uid="{00000000-0006-0000-0100-000054080000}">
      <text>
        <r>
          <rPr>
            <sz val="11"/>
            <color theme="1"/>
            <rFont val="Calibri"/>
            <family val="2"/>
            <scheme val="minor"/>
          </rPr>
          <t>Introduzca el código SNIP</t>
        </r>
      </text>
    </comment>
    <comment ref="C2299" authorId="1" shapeId="0" xr:uid="{00000000-0006-0000-0100-000055080000}">
      <text>
        <r>
          <rPr>
            <sz val="11"/>
            <color theme="1"/>
            <rFont val="Calibri"/>
            <family val="2"/>
            <scheme val="minor"/>
          </rPr>
          <t>Introduzca la fecha de inicio del proceso, en formato dd-mm-aaaa</t>
        </r>
      </text>
    </comment>
    <comment ref="F2299" authorId="1" shapeId="0" xr:uid="{00000000-0006-0000-0100-000057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00" authorId="1" shapeId="0" xr:uid="{00000000-0006-0000-0100-000058080000}">
      <text/>
    </comment>
    <comment ref="C2301" authorId="1" shapeId="0" xr:uid="{00000000-0006-0000-0100-000056080000}">
      <text>
        <r>
          <rPr>
            <sz val="11"/>
            <color theme="1"/>
            <rFont val="Calibri"/>
            <family val="2"/>
            <scheme val="minor"/>
          </rPr>
          <t>Introduzca la fecha prevista de adjudicación, en formato dd-mm-aaaa</t>
        </r>
      </text>
    </comment>
    <comment ref="F2301" authorId="1" shapeId="0" xr:uid="{00000000-0006-0000-0100-000059080000}">
      <text/>
    </comment>
    <comment ref="F2302" authorId="1" shapeId="0" xr:uid="{00000000-0006-0000-0100-00005A080000}">
      <text/>
    </comment>
    <comment ref="A2304" authorId="1" shapeId="0" xr:uid="{00000000-0006-0000-0100-00005B080000}">
      <text>
        <r>
          <rPr>
            <sz val="11"/>
            <color theme="1"/>
            <rFont val="Calibri"/>
            <family val="2"/>
            <scheme val="minor"/>
          </rPr>
          <t>Introduzca un codigo UNSPSC</t>
        </r>
      </text>
    </comment>
    <comment ref="B2304" authorId="1" shapeId="0" xr:uid="{00000000-0006-0000-0100-00005C080000}">
      <text>
        <r>
          <rPr>
            <sz val="11"/>
            <color theme="1"/>
            <rFont val="Calibri"/>
            <family val="2"/>
            <scheme val="minor"/>
          </rPr>
          <t>Descripción calculada automáticamente a partir de código del artículo</t>
        </r>
      </text>
    </comment>
    <comment ref="C2304" authorId="1" shapeId="0" xr:uid="{00000000-0006-0000-0100-00005D080000}">
      <text>
        <r>
          <rPr>
            <sz val="11"/>
            <color theme="1"/>
            <rFont val="Calibri"/>
            <family val="2"/>
            <scheme val="minor"/>
          </rPr>
          <t>Seleccione un valor de la lista</t>
        </r>
      </text>
    </comment>
    <comment ref="D2304" authorId="1" shapeId="0" xr:uid="{00000000-0006-0000-0100-00005E080000}">
      <text>
        <r>
          <rPr>
            <sz val="11"/>
            <color theme="1"/>
            <rFont val="Calibri"/>
            <family val="2"/>
            <scheme val="minor"/>
          </rPr>
          <t>Introduzca un número con dos decimales como máximo. Debe ser igual o mayor a la "Cantidad Real Consumida"</t>
        </r>
      </text>
    </comment>
    <comment ref="E2304" authorId="1" shapeId="0" xr:uid="{00000000-0006-0000-0100-00005F080000}">
      <text>
        <r>
          <rPr>
            <sz val="11"/>
            <color theme="1"/>
            <rFont val="Calibri"/>
            <family val="2"/>
            <scheme val="minor"/>
          </rPr>
          <t>Introduzca un número con dos decimales como máximo</t>
        </r>
      </text>
    </comment>
    <comment ref="F2304" authorId="1" shapeId="0" xr:uid="{00000000-0006-0000-0100-000060080000}">
      <text>
        <r>
          <rPr>
            <sz val="11"/>
            <color theme="1"/>
            <rFont val="Calibri"/>
            <family val="2"/>
            <scheme val="minor"/>
          </rPr>
          <t>Monto calculado automáticamente por el sistema</t>
        </r>
      </text>
    </comment>
    <comment ref="A2319" authorId="1" shapeId="0" xr:uid="{00000000-0006-0000-0100-000061080000}">
      <text>
        <r>
          <rPr>
            <sz val="11"/>
            <color theme="1"/>
            <rFont val="Calibri"/>
            <family val="2"/>
            <scheme val="minor"/>
          </rPr>
          <t>Introducir un texto con el nombre o referencia de la contratación</t>
        </r>
      </text>
    </comment>
    <comment ref="B2319" authorId="1" shapeId="0" xr:uid="{00000000-0006-0000-0100-000062080000}">
      <text>
        <r>
          <rPr>
            <sz val="11"/>
            <color theme="1"/>
            <rFont val="Calibri"/>
            <family val="2"/>
            <scheme val="minor"/>
          </rPr>
          <t>Introduzca un texto con la finalidad de la contratación</t>
        </r>
      </text>
    </comment>
    <comment ref="C2319" authorId="1" shapeId="0" xr:uid="{00000000-0006-0000-0100-000063080000}">
      <text>
        <r>
          <rPr>
            <sz val="11"/>
            <color theme="1"/>
            <rFont val="Calibri"/>
            <family val="2"/>
            <scheme val="minor"/>
          </rPr>
          <t>Seleccionar un valor del listado</t>
        </r>
      </text>
    </comment>
    <comment ref="D2319" authorId="1" shapeId="0" xr:uid="{00000000-0006-0000-0100-000064080000}">
      <text>
        <r>
          <rPr>
            <sz val="11"/>
            <color theme="1"/>
            <rFont val="Calibri"/>
            <family val="2"/>
            <scheme val="minor"/>
          </rPr>
          <t>Seleccione el tipo de procedimiento</t>
        </r>
      </text>
    </comment>
    <comment ref="E2319" authorId="1" shapeId="0" xr:uid="{00000000-0006-0000-0100-000065080000}">
      <text>
        <r>
          <rPr>
            <sz val="11"/>
            <color theme="1"/>
            <rFont val="Calibri"/>
            <family val="2"/>
            <scheme val="minor"/>
          </rPr>
          <t>Seleccione un valor de la lista</t>
        </r>
      </text>
    </comment>
    <comment ref="F2319" authorId="1" shapeId="0" xr:uid="{00000000-0006-0000-0100-000066080000}">
      <text>
        <r>
          <rPr>
            <sz val="11"/>
            <color theme="1"/>
            <rFont val="Calibri"/>
            <family val="2"/>
            <scheme val="minor"/>
          </rPr>
          <t>Introduzca el código SNIP</t>
        </r>
      </text>
    </comment>
    <comment ref="C2320" authorId="1" shapeId="0" xr:uid="{00000000-0006-0000-0100-000067080000}">
      <text>
        <r>
          <rPr>
            <sz val="11"/>
            <color theme="1"/>
            <rFont val="Calibri"/>
            <family val="2"/>
            <scheme val="minor"/>
          </rPr>
          <t>Introduzca la fecha de inicio del proceso, en formato dd-mm-aaaa</t>
        </r>
      </text>
    </comment>
    <comment ref="F2320" authorId="1" shapeId="0" xr:uid="{00000000-0006-0000-0100-000069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1" authorId="1" shapeId="0" xr:uid="{00000000-0006-0000-0100-00006A080000}">
      <text/>
    </comment>
    <comment ref="C2322" authorId="1" shapeId="0" xr:uid="{00000000-0006-0000-0100-000068080000}">
      <text>
        <r>
          <rPr>
            <sz val="11"/>
            <color theme="1"/>
            <rFont val="Calibri"/>
            <family val="2"/>
            <scheme val="minor"/>
          </rPr>
          <t>Introduzca la fecha prevista de adjudicación, en formato dd-mm-aaaa</t>
        </r>
      </text>
    </comment>
    <comment ref="F2322" authorId="1" shapeId="0" xr:uid="{00000000-0006-0000-0100-00006B080000}">
      <text/>
    </comment>
    <comment ref="F2323" authorId="1" shapeId="0" xr:uid="{00000000-0006-0000-0100-00006C080000}">
      <text/>
    </comment>
    <comment ref="A2325" authorId="1" shapeId="0" xr:uid="{00000000-0006-0000-0100-00006D080000}">
      <text>
        <r>
          <rPr>
            <sz val="11"/>
            <color theme="1"/>
            <rFont val="Calibri"/>
            <family val="2"/>
            <scheme val="minor"/>
          </rPr>
          <t>Introduzca un codigo UNSPSC</t>
        </r>
      </text>
    </comment>
    <comment ref="B2325" authorId="1" shapeId="0" xr:uid="{00000000-0006-0000-0100-00006E080000}">
      <text>
        <r>
          <rPr>
            <sz val="11"/>
            <color theme="1"/>
            <rFont val="Calibri"/>
            <family val="2"/>
            <scheme val="minor"/>
          </rPr>
          <t>Descripción calculada automáticamente a partir de código del artículo</t>
        </r>
      </text>
    </comment>
    <comment ref="C2325" authorId="1" shapeId="0" xr:uid="{00000000-0006-0000-0100-00006F080000}">
      <text>
        <r>
          <rPr>
            <sz val="11"/>
            <color theme="1"/>
            <rFont val="Calibri"/>
            <family val="2"/>
            <scheme val="minor"/>
          </rPr>
          <t>Seleccione un valor de la lista</t>
        </r>
      </text>
    </comment>
    <comment ref="D2325" authorId="1" shapeId="0" xr:uid="{00000000-0006-0000-0100-000070080000}">
      <text>
        <r>
          <rPr>
            <sz val="11"/>
            <color theme="1"/>
            <rFont val="Calibri"/>
            <family val="2"/>
            <scheme val="minor"/>
          </rPr>
          <t>Introduzca un número con dos decimales como máximo. Debe ser igual o mayor a la "Cantidad Real Consumida"</t>
        </r>
      </text>
    </comment>
    <comment ref="E2325" authorId="1" shapeId="0" xr:uid="{00000000-0006-0000-0100-000071080000}">
      <text>
        <r>
          <rPr>
            <sz val="11"/>
            <color theme="1"/>
            <rFont val="Calibri"/>
            <family val="2"/>
            <scheme val="minor"/>
          </rPr>
          <t>Introduzca un número con dos decimales como máximo</t>
        </r>
      </text>
    </comment>
    <comment ref="F2325" authorId="1" shapeId="0" xr:uid="{00000000-0006-0000-0100-000072080000}">
      <text>
        <r>
          <rPr>
            <sz val="11"/>
            <color theme="1"/>
            <rFont val="Calibri"/>
            <family val="2"/>
            <scheme val="minor"/>
          </rPr>
          <t>Monto calculado automáticamente por el sistema</t>
        </r>
      </text>
    </comment>
    <comment ref="A2331" authorId="1" shapeId="0" xr:uid="{00000000-0006-0000-0100-000073080000}">
      <text>
        <r>
          <rPr>
            <sz val="11"/>
            <color theme="1"/>
            <rFont val="Calibri"/>
            <family val="2"/>
            <scheme val="minor"/>
          </rPr>
          <t>Introducir un texto con el nombre o referencia de la contratación</t>
        </r>
      </text>
    </comment>
    <comment ref="B2331" authorId="1" shapeId="0" xr:uid="{00000000-0006-0000-0100-000074080000}">
      <text>
        <r>
          <rPr>
            <sz val="11"/>
            <color theme="1"/>
            <rFont val="Calibri"/>
            <family val="2"/>
            <scheme val="minor"/>
          </rPr>
          <t>Introduzca un texto con la finalidad de la contratación</t>
        </r>
      </text>
    </comment>
    <comment ref="C2331" authorId="1" shapeId="0" xr:uid="{00000000-0006-0000-0100-000075080000}">
      <text>
        <r>
          <rPr>
            <sz val="11"/>
            <color theme="1"/>
            <rFont val="Calibri"/>
            <family val="2"/>
            <scheme val="minor"/>
          </rPr>
          <t>Seleccionar un valor del listado</t>
        </r>
      </text>
    </comment>
    <comment ref="D2331" authorId="1" shapeId="0" xr:uid="{00000000-0006-0000-0100-000076080000}">
      <text>
        <r>
          <rPr>
            <sz val="11"/>
            <color theme="1"/>
            <rFont val="Calibri"/>
            <family val="2"/>
            <scheme val="minor"/>
          </rPr>
          <t>Seleccione el tipo de procedimiento</t>
        </r>
      </text>
    </comment>
    <comment ref="E2331" authorId="1" shapeId="0" xr:uid="{00000000-0006-0000-0100-000077080000}">
      <text>
        <r>
          <rPr>
            <sz val="11"/>
            <color theme="1"/>
            <rFont val="Calibri"/>
            <family val="2"/>
            <scheme val="minor"/>
          </rPr>
          <t>Seleccione un valor de la lista</t>
        </r>
      </text>
    </comment>
    <comment ref="F2331" authorId="1" shapeId="0" xr:uid="{00000000-0006-0000-0100-000078080000}">
      <text>
        <r>
          <rPr>
            <sz val="11"/>
            <color theme="1"/>
            <rFont val="Calibri"/>
            <family val="2"/>
            <scheme val="minor"/>
          </rPr>
          <t>Introduzca el código SNIP</t>
        </r>
      </text>
    </comment>
    <comment ref="C2332" authorId="1" shapeId="0" xr:uid="{00000000-0006-0000-0100-000079080000}">
      <text>
        <r>
          <rPr>
            <sz val="11"/>
            <color theme="1"/>
            <rFont val="Calibri"/>
            <family val="2"/>
            <scheme val="minor"/>
          </rPr>
          <t>Introduzca la fecha de inicio del proceso, en formato dd-mm-aaaa</t>
        </r>
      </text>
    </comment>
    <comment ref="F2332" authorId="1" shapeId="0" xr:uid="{00000000-0006-0000-0100-00007B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33" authorId="1" shapeId="0" xr:uid="{00000000-0006-0000-0100-00007C080000}">
      <text/>
    </comment>
    <comment ref="C2334" authorId="1" shapeId="0" xr:uid="{00000000-0006-0000-0100-00007A080000}">
      <text>
        <r>
          <rPr>
            <sz val="11"/>
            <color theme="1"/>
            <rFont val="Calibri"/>
            <family val="2"/>
            <scheme val="minor"/>
          </rPr>
          <t>Introduzca la fecha prevista de adjudicación, en formato dd-mm-aaaa</t>
        </r>
      </text>
    </comment>
    <comment ref="F2334" authorId="1" shapeId="0" xr:uid="{00000000-0006-0000-0100-00007D080000}">
      <text/>
    </comment>
    <comment ref="F2335" authorId="1" shapeId="0" xr:uid="{00000000-0006-0000-0100-00007E080000}">
      <text/>
    </comment>
    <comment ref="A2337" authorId="1" shapeId="0" xr:uid="{00000000-0006-0000-0100-00007F080000}">
      <text>
        <r>
          <rPr>
            <sz val="11"/>
            <color theme="1"/>
            <rFont val="Calibri"/>
            <family val="2"/>
            <scheme val="minor"/>
          </rPr>
          <t>Introduzca un codigo UNSPSC</t>
        </r>
      </text>
    </comment>
    <comment ref="B2337" authorId="1" shapeId="0" xr:uid="{00000000-0006-0000-0100-000080080000}">
      <text>
        <r>
          <rPr>
            <sz val="11"/>
            <color theme="1"/>
            <rFont val="Calibri"/>
            <family val="2"/>
            <scheme val="minor"/>
          </rPr>
          <t>Descripción calculada automáticamente a partir de código del artículo</t>
        </r>
      </text>
    </comment>
    <comment ref="C2337" authorId="1" shapeId="0" xr:uid="{00000000-0006-0000-0100-000081080000}">
      <text>
        <r>
          <rPr>
            <sz val="11"/>
            <color theme="1"/>
            <rFont val="Calibri"/>
            <family val="2"/>
            <scheme val="minor"/>
          </rPr>
          <t>Seleccione un valor de la lista</t>
        </r>
      </text>
    </comment>
    <comment ref="D2337" authorId="1" shapeId="0" xr:uid="{00000000-0006-0000-0100-000082080000}">
      <text>
        <r>
          <rPr>
            <sz val="11"/>
            <color theme="1"/>
            <rFont val="Calibri"/>
            <family val="2"/>
            <scheme val="minor"/>
          </rPr>
          <t>Introduzca un número con dos decimales como máximo. Debe ser igual o mayor a la "Cantidad Real Consumida"</t>
        </r>
      </text>
    </comment>
    <comment ref="E2337" authorId="1" shapeId="0" xr:uid="{00000000-0006-0000-0100-000083080000}">
      <text>
        <r>
          <rPr>
            <sz val="11"/>
            <color theme="1"/>
            <rFont val="Calibri"/>
            <family val="2"/>
            <scheme val="minor"/>
          </rPr>
          <t>Introduzca un número con dos decimales como máximo</t>
        </r>
      </text>
    </comment>
    <comment ref="F2337" authorId="1" shapeId="0" xr:uid="{00000000-0006-0000-0100-000084080000}">
      <text>
        <r>
          <rPr>
            <sz val="11"/>
            <color theme="1"/>
            <rFont val="Calibri"/>
            <family val="2"/>
            <scheme val="minor"/>
          </rPr>
          <t>Monto calculado automáticamente por el sistema</t>
        </r>
      </text>
    </comment>
    <comment ref="A2342" authorId="1" shapeId="0" xr:uid="{00000000-0006-0000-0100-000085080000}">
      <text>
        <r>
          <rPr>
            <sz val="11"/>
            <color theme="1"/>
            <rFont val="Calibri"/>
            <family val="2"/>
            <scheme val="minor"/>
          </rPr>
          <t>Introducir un texto con el nombre o referencia de la contratación</t>
        </r>
      </text>
    </comment>
    <comment ref="B2342" authorId="1" shapeId="0" xr:uid="{00000000-0006-0000-0100-000086080000}">
      <text>
        <r>
          <rPr>
            <sz val="11"/>
            <color theme="1"/>
            <rFont val="Calibri"/>
            <family val="2"/>
            <scheme val="minor"/>
          </rPr>
          <t>Introduzca un texto con la finalidad de la contratación</t>
        </r>
      </text>
    </comment>
    <comment ref="C2342" authorId="1" shapeId="0" xr:uid="{00000000-0006-0000-0100-000087080000}">
      <text>
        <r>
          <rPr>
            <sz val="11"/>
            <color theme="1"/>
            <rFont val="Calibri"/>
            <family val="2"/>
            <scheme val="minor"/>
          </rPr>
          <t>Seleccionar un valor del listado</t>
        </r>
      </text>
    </comment>
    <comment ref="D2342" authorId="1" shapeId="0" xr:uid="{00000000-0006-0000-0100-000088080000}">
      <text>
        <r>
          <rPr>
            <sz val="11"/>
            <color theme="1"/>
            <rFont val="Calibri"/>
            <family val="2"/>
            <scheme val="minor"/>
          </rPr>
          <t>Seleccione el tipo de procedimiento</t>
        </r>
      </text>
    </comment>
    <comment ref="E2342" authorId="1" shapeId="0" xr:uid="{00000000-0006-0000-0100-000089080000}">
      <text>
        <r>
          <rPr>
            <sz val="11"/>
            <color theme="1"/>
            <rFont val="Calibri"/>
            <family val="2"/>
            <scheme val="minor"/>
          </rPr>
          <t>Seleccione un valor de la lista</t>
        </r>
      </text>
    </comment>
    <comment ref="F2342" authorId="1" shapeId="0" xr:uid="{00000000-0006-0000-0100-00008A080000}">
      <text>
        <r>
          <rPr>
            <sz val="11"/>
            <color theme="1"/>
            <rFont val="Calibri"/>
            <family val="2"/>
            <scheme val="minor"/>
          </rPr>
          <t>Introduzca el código SNIP</t>
        </r>
      </text>
    </comment>
    <comment ref="C2343" authorId="1" shapeId="0" xr:uid="{00000000-0006-0000-0100-00008B080000}">
      <text>
        <r>
          <rPr>
            <sz val="11"/>
            <color theme="1"/>
            <rFont val="Calibri"/>
            <family val="2"/>
            <scheme val="minor"/>
          </rPr>
          <t>Introduzca la fecha de inicio del proceso, en formato dd-mm-aaaa</t>
        </r>
      </text>
    </comment>
    <comment ref="F2343" authorId="1" shapeId="0" xr:uid="{00000000-0006-0000-0100-00008D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4" authorId="1" shapeId="0" xr:uid="{00000000-0006-0000-0100-00008E080000}">
      <text/>
    </comment>
    <comment ref="C2345" authorId="1" shapeId="0" xr:uid="{00000000-0006-0000-0100-00008C080000}">
      <text>
        <r>
          <rPr>
            <sz val="11"/>
            <color theme="1"/>
            <rFont val="Calibri"/>
            <family val="2"/>
            <scheme val="minor"/>
          </rPr>
          <t>Introduzca la fecha prevista de adjudicación, en formato dd-mm-aaaa</t>
        </r>
      </text>
    </comment>
    <comment ref="F2345" authorId="1" shapeId="0" xr:uid="{00000000-0006-0000-0100-00008F080000}">
      <text/>
    </comment>
    <comment ref="F2346" authorId="1" shapeId="0" xr:uid="{00000000-0006-0000-0100-000090080000}">
      <text/>
    </comment>
    <comment ref="A2348" authorId="1" shapeId="0" xr:uid="{00000000-0006-0000-0100-000091080000}">
      <text>
        <r>
          <rPr>
            <sz val="11"/>
            <color theme="1"/>
            <rFont val="Calibri"/>
            <family val="2"/>
            <scheme val="minor"/>
          </rPr>
          <t>Introduzca un codigo UNSPSC</t>
        </r>
      </text>
    </comment>
    <comment ref="B2348" authorId="1" shapeId="0" xr:uid="{00000000-0006-0000-0100-000092080000}">
      <text>
        <r>
          <rPr>
            <sz val="11"/>
            <color theme="1"/>
            <rFont val="Calibri"/>
            <family val="2"/>
            <scheme val="minor"/>
          </rPr>
          <t>Descripción calculada automáticamente a partir de código del artículo</t>
        </r>
      </text>
    </comment>
    <comment ref="C2348" authorId="1" shapeId="0" xr:uid="{00000000-0006-0000-0100-000093080000}">
      <text>
        <r>
          <rPr>
            <sz val="11"/>
            <color theme="1"/>
            <rFont val="Calibri"/>
            <family val="2"/>
            <scheme val="minor"/>
          </rPr>
          <t>Seleccione un valor de la lista</t>
        </r>
      </text>
    </comment>
    <comment ref="D2348" authorId="1" shapeId="0" xr:uid="{00000000-0006-0000-0100-000094080000}">
      <text>
        <r>
          <rPr>
            <sz val="11"/>
            <color theme="1"/>
            <rFont val="Calibri"/>
            <family val="2"/>
            <scheme val="minor"/>
          </rPr>
          <t>Introduzca un número con dos decimales como máximo. Debe ser igual o mayor a la "Cantidad Real Consumida"</t>
        </r>
      </text>
    </comment>
    <comment ref="E2348" authorId="1" shapeId="0" xr:uid="{00000000-0006-0000-0100-000095080000}">
      <text>
        <r>
          <rPr>
            <sz val="11"/>
            <color theme="1"/>
            <rFont val="Calibri"/>
            <family val="2"/>
            <scheme val="minor"/>
          </rPr>
          <t>Introduzca un número con dos decimales como máximo</t>
        </r>
      </text>
    </comment>
    <comment ref="F2348" authorId="1" shapeId="0" xr:uid="{00000000-0006-0000-0100-000096080000}">
      <text>
        <r>
          <rPr>
            <sz val="11"/>
            <color theme="1"/>
            <rFont val="Calibri"/>
            <family val="2"/>
            <scheme val="minor"/>
          </rPr>
          <t>Monto calculado automáticamente por el sistema</t>
        </r>
      </text>
    </comment>
    <comment ref="A2353" authorId="1" shapeId="0" xr:uid="{00000000-0006-0000-0100-000097080000}">
      <text>
        <r>
          <rPr>
            <sz val="11"/>
            <color theme="1"/>
            <rFont val="Calibri"/>
            <family val="2"/>
            <scheme val="minor"/>
          </rPr>
          <t>Introducir un texto con el nombre o referencia de la contratación</t>
        </r>
      </text>
    </comment>
    <comment ref="B2353" authorId="1" shapeId="0" xr:uid="{00000000-0006-0000-0100-000098080000}">
      <text>
        <r>
          <rPr>
            <sz val="11"/>
            <color theme="1"/>
            <rFont val="Calibri"/>
            <family val="2"/>
            <scheme val="minor"/>
          </rPr>
          <t>Introduzca un texto con la finalidad de la contratación</t>
        </r>
      </text>
    </comment>
    <comment ref="C2353" authorId="1" shapeId="0" xr:uid="{00000000-0006-0000-0100-000099080000}">
      <text>
        <r>
          <rPr>
            <sz val="11"/>
            <color theme="1"/>
            <rFont val="Calibri"/>
            <family val="2"/>
            <scheme val="minor"/>
          </rPr>
          <t>Seleccionar un valor del listado</t>
        </r>
      </text>
    </comment>
    <comment ref="D2353" authorId="1" shapeId="0" xr:uid="{00000000-0006-0000-0100-00009A080000}">
      <text>
        <r>
          <rPr>
            <sz val="11"/>
            <color theme="1"/>
            <rFont val="Calibri"/>
            <family val="2"/>
            <scheme val="minor"/>
          </rPr>
          <t>Seleccione el tipo de procedimiento</t>
        </r>
      </text>
    </comment>
    <comment ref="E2353" authorId="1" shapeId="0" xr:uid="{00000000-0006-0000-0100-00009B080000}">
      <text>
        <r>
          <rPr>
            <sz val="11"/>
            <color theme="1"/>
            <rFont val="Calibri"/>
            <family val="2"/>
            <scheme val="minor"/>
          </rPr>
          <t>Seleccione un valor de la lista</t>
        </r>
      </text>
    </comment>
    <comment ref="F2353" authorId="1" shapeId="0" xr:uid="{00000000-0006-0000-0100-00009C080000}">
      <text>
        <r>
          <rPr>
            <sz val="11"/>
            <color theme="1"/>
            <rFont val="Calibri"/>
            <family val="2"/>
            <scheme val="minor"/>
          </rPr>
          <t>Introduzca el código SNIP</t>
        </r>
      </text>
    </comment>
    <comment ref="C2354" authorId="1" shapeId="0" xr:uid="{00000000-0006-0000-0100-00009D080000}">
      <text>
        <r>
          <rPr>
            <sz val="11"/>
            <color theme="1"/>
            <rFont val="Calibri"/>
            <family val="2"/>
            <scheme val="minor"/>
          </rPr>
          <t>Introduzca la fecha de inicio del proceso, en formato dd-mm-aaaa</t>
        </r>
      </text>
    </comment>
    <comment ref="F2354" authorId="1" shapeId="0" xr:uid="{00000000-0006-0000-0100-00009F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55" authorId="1" shapeId="0" xr:uid="{00000000-0006-0000-0100-0000A0080000}">
      <text/>
    </comment>
    <comment ref="C2356" authorId="1" shapeId="0" xr:uid="{00000000-0006-0000-0100-00009E080000}">
      <text>
        <r>
          <rPr>
            <sz val="11"/>
            <color theme="1"/>
            <rFont val="Calibri"/>
            <family val="2"/>
            <scheme val="minor"/>
          </rPr>
          <t>Introduzca la fecha prevista de adjudicación, en formato dd-mm-aaaa</t>
        </r>
      </text>
    </comment>
    <comment ref="F2356" authorId="1" shapeId="0" xr:uid="{00000000-0006-0000-0100-0000A1080000}">
      <text/>
    </comment>
    <comment ref="F2357" authorId="1" shapeId="0" xr:uid="{00000000-0006-0000-0100-0000A2080000}">
      <text/>
    </comment>
    <comment ref="A2359" authorId="1" shapeId="0" xr:uid="{00000000-0006-0000-0100-0000A3080000}">
      <text>
        <r>
          <rPr>
            <sz val="11"/>
            <color theme="1"/>
            <rFont val="Calibri"/>
            <family val="2"/>
            <scheme val="minor"/>
          </rPr>
          <t>Introduzca un codigo UNSPSC</t>
        </r>
      </text>
    </comment>
    <comment ref="B2359" authorId="1" shapeId="0" xr:uid="{00000000-0006-0000-0100-0000A4080000}">
      <text>
        <r>
          <rPr>
            <sz val="11"/>
            <color theme="1"/>
            <rFont val="Calibri"/>
            <family val="2"/>
            <scheme val="minor"/>
          </rPr>
          <t>Descripción calculada automáticamente a partir de código del artículo</t>
        </r>
      </text>
    </comment>
    <comment ref="C2359" authorId="1" shapeId="0" xr:uid="{00000000-0006-0000-0100-0000A5080000}">
      <text>
        <r>
          <rPr>
            <sz val="11"/>
            <color theme="1"/>
            <rFont val="Calibri"/>
            <family val="2"/>
            <scheme val="minor"/>
          </rPr>
          <t>Seleccione un valor de la lista</t>
        </r>
      </text>
    </comment>
    <comment ref="D2359" authorId="1" shapeId="0" xr:uid="{00000000-0006-0000-0100-0000A6080000}">
      <text>
        <r>
          <rPr>
            <sz val="11"/>
            <color theme="1"/>
            <rFont val="Calibri"/>
            <family val="2"/>
            <scheme val="minor"/>
          </rPr>
          <t>Introduzca un número con dos decimales como máximo. Debe ser igual o mayor a la "Cantidad Real Consumida"</t>
        </r>
      </text>
    </comment>
    <comment ref="E2359" authorId="1" shapeId="0" xr:uid="{00000000-0006-0000-0100-0000A7080000}">
      <text>
        <r>
          <rPr>
            <sz val="11"/>
            <color theme="1"/>
            <rFont val="Calibri"/>
            <family val="2"/>
            <scheme val="minor"/>
          </rPr>
          <t>Introduzca un número con dos decimales como máximo</t>
        </r>
      </text>
    </comment>
    <comment ref="F2359" authorId="1" shapeId="0" xr:uid="{00000000-0006-0000-0100-0000A8080000}">
      <text>
        <r>
          <rPr>
            <sz val="11"/>
            <color theme="1"/>
            <rFont val="Calibri"/>
            <family val="2"/>
            <scheme val="minor"/>
          </rPr>
          <t>Monto calculado automáticamente por el sistema</t>
        </r>
      </text>
    </comment>
    <comment ref="A2372" authorId="1" shapeId="0" xr:uid="{00000000-0006-0000-0100-0000A9080000}">
      <text>
        <r>
          <rPr>
            <sz val="11"/>
            <color theme="1"/>
            <rFont val="Calibri"/>
            <family val="2"/>
            <scheme val="minor"/>
          </rPr>
          <t>Introducir un texto con el nombre o referencia de la contratación</t>
        </r>
      </text>
    </comment>
    <comment ref="B2372" authorId="1" shapeId="0" xr:uid="{00000000-0006-0000-0100-0000AA080000}">
      <text>
        <r>
          <rPr>
            <sz val="11"/>
            <color theme="1"/>
            <rFont val="Calibri"/>
            <family val="2"/>
            <scheme val="minor"/>
          </rPr>
          <t>Introduzca un texto con la finalidad de la contratación</t>
        </r>
      </text>
    </comment>
    <comment ref="C2372" authorId="1" shapeId="0" xr:uid="{00000000-0006-0000-0100-0000AB080000}">
      <text>
        <r>
          <rPr>
            <sz val="11"/>
            <color theme="1"/>
            <rFont val="Calibri"/>
            <family val="2"/>
            <scheme val="minor"/>
          </rPr>
          <t>Seleccionar un valor del listado</t>
        </r>
      </text>
    </comment>
    <comment ref="D2372" authorId="1" shapeId="0" xr:uid="{00000000-0006-0000-0100-0000AC080000}">
      <text>
        <r>
          <rPr>
            <sz val="11"/>
            <color theme="1"/>
            <rFont val="Calibri"/>
            <family val="2"/>
            <scheme val="minor"/>
          </rPr>
          <t>Seleccione el tipo de procedimiento</t>
        </r>
      </text>
    </comment>
    <comment ref="E2372" authorId="1" shapeId="0" xr:uid="{00000000-0006-0000-0100-0000AD080000}">
      <text>
        <r>
          <rPr>
            <sz val="11"/>
            <color theme="1"/>
            <rFont val="Calibri"/>
            <family val="2"/>
            <scheme val="minor"/>
          </rPr>
          <t>Seleccione un valor de la lista</t>
        </r>
      </text>
    </comment>
    <comment ref="F2372" authorId="1" shapeId="0" xr:uid="{00000000-0006-0000-0100-0000AE080000}">
      <text>
        <r>
          <rPr>
            <sz val="11"/>
            <color theme="1"/>
            <rFont val="Calibri"/>
            <family val="2"/>
            <scheme val="minor"/>
          </rPr>
          <t>Introduzca el código SNIP</t>
        </r>
      </text>
    </comment>
    <comment ref="C2373" authorId="1" shapeId="0" xr:uid="{00000000-0006-0000-0100-0000AF080000}">
      <text>
        <r>
          <rPr>
            <sz val="11"/>
            <color theme="1"/>
            <rFont val="Calibri"/>
            <family val="2"/>
            <scheme val="minor"/>
          </rPr>
          <t>Introduzca la fecha de inicio del proceso, en formato dd-mm-aaaa</t>
        </r>
      </text>
    </comment>
    <comment ref="F2373" authorId="1" shapeId="0" xr:uid="{00000000-0006-0000-0100-0000B1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74" authorId="1" shapeId="0" xr:uid="{00000000-0006-0000-0100-0000B2080000}">
      <text/>
    </comment>
    <comment ref="C2375" authorId="1" shapeId="0" xr:uid="{00000000-0006-0000-0100-0000B0080000}">
      <text>
        <r>
          <rPr>
            <sz val="11"/>
            <color theme="1"/>
            <rFont val="Calibri"/>
            <family val="2"/>
            <scheme val="minor"/>
          </rPr>
          <t>Introduzca la fecha prevista de adjudicación, en formato dd-mm-aaaa</t>
        </r>
      </text>
    </comment>
    <comment ref="F2375" authorId="1" shapeId="0" xr:uid="{00000000-0006-0000-0100-0000B3080000}">
      <text/>
    </comment>
    <comment ref="F2376" authorId="1" shapeId="0" xr:uid="{00000000-0006-0000-0100-0000B4080000}">
      <text/>
    </comment>
    <comment ref="A2378" authorId="1" shapeId="0" xr:uid="{00000000-0006-0000-0100-0000B5080000}">
      <text>
        <r>
          <rPr>
            <sz val="11"/>
            <color theme="1"/>
            <rFont val="Calibri"/>
            <family val="2"/>
            <scheme val="minor"/>
          </rPr>
          <t>Introduzca un codigo UNSPSC</t>
        </r>
      </text>
    </comment>
    <comment ref="B2378" authorId="1" shapeId="0" xr:uid="{00000000-0006-0000-0100-0000B6080000}">
      <text>
        <r>
          <rPr>
            <sz val="11"/>
            <color theme="1"/>
            <rFont val="Calibri"/>
            <family val="2"/>
            <scheme val="minor"/>
          </rPr>
          <t>Descripción calculada automáticamente a partir de código del artículo</t>
        </r>
      </text>
    </comment>
    <comment ref="C2378" authorId="1" shapeId="0" xr:uid="{00000000-0006-0000-0100-0000B7080000}">
      <text>
        <r>
          <rPr>
            <sz val="11"/>
            <color theme="1"/>
            <rFont val="Calibri"/>
            <family val="2"/>
            <scheme val="minor"/>
          </rPr>
          <t>Seleccione un valor de la lista</t>
        </r>
      </text>
    </comment>
    <comment ref="D2378" authorId="1" shapeId="0" xr:uid="{00000000-0006-0000-0100-0000B8080000}">
      <text>
        <r>
          <rPr>
            <sz val="11"/>
            <color theme="1"/>
            <rFont val="Calibri"/>
            <family val="2"/>
            <scheme val="minor"/>
          </rPr>
          <t>Introduzca un número con dos decimales como máximo. Debe ser igual o mayor a la "Cantidad Real Consumida"</t>
        </r>
      </text>
    </comment>
    <comment ref="E2378" authorId="1" shapeId="0" xr:uid="{00000000-0006-0000-0100-0000B9080000}">
      <text>
        <r>
          <rPr>
            <sz val="11"/>
            <color theme="1"/>
            <rFont val="Calibri"/>
            <family val="2"/>
            <scheme val="minor"/>
          </rPr>
          <t>Introduzca un número con dos decimales como máximo</t>
        </r>
      </text>
    </comment>
    <comment ref="F2378" authorId="1" shapeId="0" xr:uid="{00000000-0006-0000-0100-0000BA080000}">
      <text>
        <r>
          <rPr>
            <sz val="11"/>
            <color theme="1"/>
            <rFont val="Calibri"/>
            <family val="2"/>
            <scheme val="minor"/>
          </rPr>
          <t>Monto calculado automáticamente por el sistema</t>
        </r>
      </text>
    </comment>
    <comment ref="A2383" authorId="1" shapeId="0" xr:uid="{00000000-0006-0000-0100-0000BB080000}">
      <text>
        <r>
          <rPr>
            <sz val="11"/>
            <color theme="1"/>
            <rFont val="Calibri"/>
            <family val="2"/>
            <scheme val="minor"/>
          </rPr>
          <t>Introducir un texto con el nombre o referencia de la contratación</t>
        </r>
      </text>
    </comment>
    <comment ref="B2383" authorId="1" shapeId="0" xr:uid="{00000000-0006-0000-0100-0000BC080000}">
      <text>
        <r>
          <rPr>
            <sz val="11"/>
            <color theme="1"/>
            <rFont val="Calibri"/>
            <family val="2"/>
            <scheme val="minor"/>
          </rPr>
          <t>Introduzca un texto con la finalidad de la contratación</t>
        </r>
      </text>
    </comment>
    <comment ref="C2383" authorId="1" shapeId="0" xr:uid="{00000000-0006-0000-0100-0000BD080000}">
      <text>
        <r>
          <rPr>
            <sz val="11"/>
            <color theme="1"/>
            <rFont val="Calibri"/>
            <family val="2"/>
            <scheme val="minor"/>
          </rPr>
          <t>Seleccionar un valor del listado</t>
        </r>
      </text>
    </comment>
    <comment ref="D2383" authorId="1" shapeId="0" xr:uid="{00000000-0006-0000-0100-0000BE080000}">
      <text>
        <r>
          <rPr>
            <sz val="11"/>
            <color theme="1"/>
            <rFont val="Calibri"/>
            <family val="2"/>
            <scheme val="minor"/>
          </rPr>
          <t>Seleccione el tipo de procedimiento</t>
        </r>
      </text>
    </comment>
    <comment ref="E2383" authorId="1" shapeId="0" xr:uid="{00000000-0006-0000-0100-0000BF080000}">
      <text>
        <r>
          <rPr>
            <sz val="11"/>
            <color theme="1"/>
            <rFont val="Calibri"/>
            <family val="2"/>
            <scheme val="minor"/>
          </rPr>
          <t>Seleccione un valor de la lista</t>
        </r>
      </text>
    </comment>
    <comment ref="F2383" authorId="1" shapeId="0" xr:uid="{00000000-0006-0000-0100-0000C0080000}">
      <text>
        <r>
          <rPr>
            <sz val="11"/>
            <color theme="1"/>
            <rFont val="Calibri"/>
            <family val="2"/>
            <scheme val="minor"/>
          </rPr>
          <t>Introduzca el código SNIP</t>
        </r>
      </text>
    </comment>
    <comment ref="C2384" authorId="1" shapeId="0" xr:uid="{00000000-0006-0000-0100-0000C1080000}">
      <text>
        <r>
          <rPr>
            <sz val="11"/>
            <color theme="1"/>
            <rFont val="Calibri"/>
            <family val="2"/>
            <scheme val="minor"/>
          </rPr>
          <t>Introduzca la fecha de inicio del proceso, en formato dd-mm-aaaa</t>
        </r>
      </text>
    </comment>
    <comment ref="F2384" authorId="1" shapeId="0" xr:uid="{00000000-0006-0000-0100-0000C3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85" authorId="1" shapeId="0" xr:uid="{00000000-0006-0000-0100-0000C4080000}">
      <text/>
    </comment>
    <comment ref="C2386" authorId="1" shapeId="0" xr:uid="{00000000-0006-0000-0100-0000C2080000}">
      <text>
        <r>
          <rPr>
            <sz val="11"/>
            <color theme="1"/>
            <rFont val="Calibri"/>
            <family val="2"/>
            <scheme val="minor"/>
          </rPr>
          <t>Introduzca la fecha prevista de adjudicación, en formato dd-mm-aaaa</t>
        </r>
      </text>
    </comment>
    <comment ref="F2386" authorId="1" shapeId="0" xr:uid="{00000000-0006-0000-0100-0000C5080000}">
      <text/>
    </comment>
    <comment ref="F2387" authorId="1" shapeId="0" xr:uid="{00000000-0006-0000-0100-0000C6080000}">
      <text/>
    </comment>
    <comment ref="A2389" authorId="1" shapeId="0" xr:uid="{00000000-0006-0000-0100-0000C7080000}">
      <text>
        <r>
          <rPr>
            <sz val="11"/>
            <color theme="1"/>
            <rFont val="Calibri"/>
            <family val="2"/>
            <scheme val="minor"/>
          </rPr>
          <t>Introduzca un codigo UNSPSC</t>
        </r>
      </text>
    </comment>
    <comment ref="B2389" authorId="1" shapeId="0" xr:uid="{00000000-0006-0000-0100-0000C8080000}">
      <text>
        <r>
          <rPr>
            <sz val="11"/>
            <color theme="1"/>
            <rFont val="Calibri"/>
            <family val="2"/>
            <scheme val="minor"/>
          </rPr>
          <t>Descripción calculada automáticamente a partir de código del artículo</t>
        </r>
      </text>
    </comment>
    <comment ref="C2389" authorId="1" shapeId="0" xr:uid="{00000000-0006-0000-0100-0000C9080000}">
      <text>
        <r>
          <rPr>
            <sz val="11"/>
            <color theme="1"/>
            <rFont val="Calibri"/>
            <family val="2"/>
            <scheme val="minor"/>
          </rPr>
          <t>Seleccione un valor de la lista</t>
        </r>
      </text>
    </comment>
    <comment ref="D2389" authorId="1" shapeId="0" xr:uid="{00000000-0006-0000-0100-0000CA080000}">
      <text>
        <r>
          <rPr>
            <sz val="11"/>
            <color theme="1"/>
            <rFont val="Calibri"/>
            <family val="2"/>
            <scheme val="minor"/>
          </rPr>
          <t>Introduzca un número con dos decimales como máximo. Debe ser igual o mayor a la "Cantidad Real Consumida"</t>
        </r>
      </text>
    </comment>
    <comment ref="E2389" authorId="1" shapeId="0" xr:uid="{00000000-0006-0000-0100-0000CB080000}">
      <text>
        <r>
          <rPr>
            <sz val="11"/>
            <color theme="1"/>
            <rFont val="Calibri"/>
            <family val="2"/>
            <scheme val="minor"/>
          </rPr>
          <t>Introduzca un número con dos decimales como máximo</t>
        </r>
      </text>
    </comment>
    <comment ref="F2389" authorId="1" shapeId="0" xr:uid="{00000000-0006-0000-0100-0000CC080000}">
      <text>
        <r>
          <rPr>
            <sz val="11"/>
            <color theme="1"/>
            <rFont val="Calibri"/>
            <family val="2"/>
            <scheme val="minor"/>
          </rPr>
          <t>Monto calculado automáticamente por el sistema</t>
        </r>
      </text>
    </comment>
    <comment ref="A2394" authorId="1" shapeId="0" xr:uid="{00000000-0006-0000-0100-0000CD080000}">
      <text>
        <r>
          <rPr>
            <sz val="11"/>
            <color theme="1"/>
            <rFont val="Calibri"/>
            <family val="2"/>
            <scheme val="minor"/>
          </rPr>
          <t>Introducir un texto con el nombre o referencia de la contratación</t>
        </r>
      </text>
    </comment>
    <comment ref="B2394" authorId="1" shapeId="0" xr:uid="{00000000-0006-0000-0100-0000CE080000}">
      <text>
        <r>
          <rPr>
            <sz val="11"/>
            <color theme="1"/>
            <rFont val="Calibri"/>
            <family val="2"/>
            <scheme val="minor"/>
          </rPr>
          <t>Introduzca un texto con la finalidad de la contratación</t>
        </r>
      </text>
    </comment>
    <comment ref="C2394" authorId="1" shapeId="0" xr:uid="{00000000-0006-0000-0100-0000CF080000}">
      <text>
        <r>
          <rPr>
            <sz val="11"/>
            <color theme="1"/>
            <rFont val="Calibri"/>
            <family val="2"/>
            <scheme val="minor"/>
          </rPr>
          <t>Seleccionar un valor del listado</t>
        </r>
      </text>
    </comment>
    <comment ref="D2394" authorId="1" shapeId="0" xr:uid="{00000000-0006-0000-0100-0000D0080000}">
      <text>
        <r>
          <rPr>
            <sz val="11"/>
            <color theme="1"/>
            <rFont val="Calibri"/>
            <family val="2"/>
            <scheme val="minor"/>
          </rPr>
          <t>Seleccione el tipo de procedimiento</t>
        </r>
      </text>
    </comment>
    <comment ref="E2394" authorId="1" shapeId="0" xr:uid="{00000000-0006-0000-0100-0000D1080000}">
      <text>
        <r>
          <rPr>
            <sz val="11"/>
            <color theme="1"/>
            <rFont val="Calibri"/>
            <family val="2"/>
            <scheme val="minor"/>
          </rPr>
          <t>Seleccione un valor de la lista</t>
        </r>
      </text>
    </comment>
    <comment ref="F2394" authorId="1" shapeId="0" xr:uid="{00000000-0006-0000-0100-0000D2080000}">
      <text>
        <r>
          <rPr>
            <sz val="11"/>
            <color theme="1"/>
            <rFont val="Calibri"/>
            <family val="2"/>
            <scheme val="minor"/>
          </rPr>
          <t>Introduzca el código SNIP</t>
        </r>
      </text>
    </comment>
    <comment ref="C2395" authorId="1" shapeId="0" xr:uid="{00000000-0006-0000-0100-0000D3080000}">
      <text>
        <r>
          <rPr>
            <sz val="11"/>
            <color theme="1"/>
            <rFont val="Calibri"/>
            <family val="2"/>
            <scheme val="minor"/>
          </rPr>
          <t>Introduzca la fecha de inicio del proceso, en formato dd-mm-aaaa</t>
        </r>
      </text>
    </comment>
    <comment ref="F2395" authorId="1" shapeId="0" xr:uid="{00000000-0006-0000-0100-0000D5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96" authorId="1" shapeId="0" xr:uid="{00000000-0006-0000-0100-0000D6080000}">
      <text/>
    </comment>
    <comment ref="C2397" authorId="1" shapeId="0" xr:uid="{00000000-0006-0000-0100-0000D4080000}">
      <text>
        <r>
          <rPr>
            <sz val="11"/>
            <color theme="1"/>
            <rFont val="Calibri"/>
            <family val="2"/>
            <scheme val="minor"/>
          </rPr>
          <t>Introduzca la fecha prevista de adjudicación, en formato dd-mm-aaaa</t>
        </r>
      </text>
    </comment>
    <comment ref="F2397" authorId="1" shapeId="0" xr:uid="{00000000-0006-0000-0100-0000D7080000}">
      <text/>
    </comment>
    <comment ref="F2398" authorId="1" shapeId="0" xr:uid="{00000000-0006-0000-0100-0000D8080000}">
      <text/>
    </comment>
    <comment ref="A2400" authorId="1" shapeId="0" xr:uid="{00000000-0006-0000-0100-0000D9080000}">
      <text>
        <r>
          <rPr>
            <sz val="11"/>
            <color theme="1"/>
            <rFont val="Calibri"/>
            <family val="2"/>
            <scheme val="minor"/>
          </rPr>
          <t>Introduzca un codigo UNSPSC</t>
        </r>
      </text>
    </comment>
    <comment ref="B2400" authorId="1" shapeId="0" xr:uid="{00000000-0006-0000-0100-0000DA080000}">
      <text>
        <r>
          <rPr>
            <sz val="11"/>
            <color theme="1"/>
            <rFont val="Calibri"/>
            <family val="2"/>
            <scheme val="minor"/>
          </rPr>
          <t>Descripción calculada automáticamente a partir de código del artículo</t>
        </r>
      </text>
    </comment>
    <comment ref="C2400" authorId="1" shapeId="0" xr:uid="{00000000-0006-0000-0100-0000DB080000}">
      <text>
        <r>
          <rPr>
            <sz val="11"/>
            <color theme="1"/>
            <rFont val="Calibri"/>
            <family val="2"/>
            <scheme val="minor"/>
          </rPr>
          <t>Seleccione un valor de la lista</t>
        </r>
      </text>
    </comment>
    <comment ref="D2400" authorId="1" shapeId="0" xr:uid="{00000000-0006-0000-0100-0000DC080000}">
      <text>
        <r>
          <rPr>
            <sz val="11"/>
            <color theme="1"/>
            <rFont val="Calibri"/>
            <family val="2"/>
            <scheme val="minor"/>
          </rPr>
          <t>Introduzca un número con dos decimales como máximo. Debe ser igual o mayor a la "Cantidad Real Consumida"</t>
        </r>
      </text>
    </comment>
    <comment ref="E2400" authorId="1" shapeId="0" xr:uid="{00000000-0006-0000-0100-0000DD080000}">
      <text>
        <r>
          <rPr>
            <sz val="11"/>
            <color theme="1"/>
            <rFont val="Calibri"/>
            <family val="2"/>
            <scheme val="minor"/>
          </rPr>
          <t>Introduzca un número con dos decimales como máximo</t>
        </r>
      </text>
    </comment>
    <comment ref="F2400" authorId="1" shapeId="0" xr:uid="{00000000-0006-0000-0100-0000DE080000}">
      <text>
        <r>
          <rPr>
            <sz val="11"/>
            <color theme="1"/>
            <rFont val="Calibri"/>
            <family val="2"/>
            <scheme val="minor"/>
          </rPr>
          <t>Monto calculado automáticamente por el sistema</t>
        </r>
      </text>
    </comment>
    <comment ref="A2408" authorId="1" shapeId="0" xr:uid="{00000000-0006-0000-0100-0000DF080000}">
      <text>
        <r>
          <rPr>
            <sz val="11"/>
            <color theme="1"/>
            <rFont val="Calibri"/>
            <family val="2"/>
            <scheme val="minor"/>
          </rPr>
          <t>Introducir un texto con el nombre o referencia de la contratación</t>
        </r>
      </text>
    </comment>
    <comment ref="B2408" authorId="1" shapeId="0" xr:uid="{00000000-0006-0000-0100-0000E0080000}">
      <text>
        <r>
          <rPr>
            <sz val="11"/>
            <color theme="1"/>
            <rFont val="Calibri"/>
            <family val="2"/>
            <scheme val="minor"/>
          </rPr>
          <t>Introduzca un texto con la finalidad de la contratación</t>
        </r>
      </text>
    </comment>
    <comment ref="C2408" authorId="1" shapeId="0" xr:uid="{00000000-0006-0000-0100-0000E1080000}">
      <text>
        <r>
          <rPr>
            <sz val="11"/>
            <color theme="1"/>
            <rFont val="Calibri"/>
            <family val="2"/>
            <scheme val="minor"/>
          </rPr>
          <t>Seleccionar un valor del listado</t>
        </r>
      </text>
    </comment>
    <comment ref="D2408" authorId="1" shapeId="0" xr:uid="{00000000-0006-0000-0100-0000E2080000}">
      <text>
        <r>
          <rPr>
            <sz val="11"/>
            <color theme="1"/>
            <rFont val="Calibri"/>
            <family val="2"/>
            <scheme val="minor"/>
          </rPr>
          <t>Seleccione el tipo de procedimiento</t>
        </r>
      </text>
    </comment>
    <comment ref="E2408" authorId="1" shapeId="0" xr:uid="{00000000-0006-0000-0100-0000E3080000}">
      <text>
        <r>
          <rPr>
            <sz val="11"/>
            <color theme="1"/>
            <rFont val="Calibri"/>
            <family val="2"/>
            <scheme val="minor"/>
          </rPr>
          <t>Seleccione un valor de la lista</t>
        </r>
      </text>
    </comment>
    <comment ref="F2408" authorId="1" shapeId="0" xr:uid="{00000000-0006-0000-0100-0000E4080000}">
      <text>
        <r>
          <rPr>
            <sz val="11"/>
            <color theme="1"/>
            <rFont val="Calibri"/>
            <family val="2"/>
            <scheme val="minor"/>
          </rPr>
          <t>Introduzca el código SNIP</t>
        </r>
      </text>
    </comment>
    <comment ref="C2409" authorId="1" shapeId="0" xr:uid="{00000000-0006-0000-0100-0000E5080000}">
      <text>
        <r>
          <rPr>
            <sz val="11"/>
            <color theme="1"/>
            <rFont val="Calibri"/>
            <family val="2"/>
            <scheme val="minor"/>
          </rPr>
          <t>Introduzca la fecha de inicio del proceso, en formato dd-mm-aaaa</t>
        </r>
      </text>
    </comment>
    <comment ref="F2409" authorId="1" shapeId="0" xr:uid="{00000000-0006-0000-0100-0000E7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10" authorId="1" shapeId="0" xr:uid="{00000000-0006-0000-0100-0000E8080000}">
      <text/>
    </comment>
    <comment ref="C2411" authorId="1" shapeId="0" xr:uid="{00000000-0006-0000-0100-0000E6080000}">
      <text>
        <r>
          <rPr>
            <sz val="11"/>
            <color theme="1"/>
            <rFont val="Calibri"/>
            <family val="2"/>
            <scheme val="minor"/>
          </rPr>
          <t>Introduzca la fecha prevista de adjudicación, en formato dd-mm-aaaa</t>
        </r>
      </text>
    </comment>
    <comment ref="F2411" authorId="1" shapeId="0" xr:uid="{00000000-0006-0000-0100-0000E9080000}">
      <text/>
    </comment>
    <comment ref="F2412" authorId="1" shapeId="0" xr:uid="{00000000-0006-0000-0100-0000EA080000}">
      <text/>
    </comment>
    <comment ref="A2414" authorId="1" shapeId="0" xr:uid="{00000000-0006-0000-0100-0000EB080000}">
      <text>
        <r>
          <rPr>
            <sz val="11"/>
            <color theme="1"/>
            <rFont val="Calibri"/>
            <family val="2"/>
            <scheme val="minor"/>
          </rPr>
          <t>Introduzca un codigo UNSPSC</t>
        </r>
      </text>
    </comment>
    <comment ref="B2414" authorId="1" shapeId="0" xr:uid="{00000000-0006-0000-0100-0000EC080000}">
      <text>
        <r>
          <rPr>
            <sz val="11"/>
            <color theme="1"/>
            <rFont val="Calibri"/>
            <family val="2"/>
            <scheme val="minor"/>
          </rPr>
          <t>Descripción calculada automáticamente a partir de código del artículo</t>
        </r>
      </text>
    </comment>
    <comment ref="C2414" authorId="1" shapeId="0" xr:uid="{00000000-0006-0000-0100-0000ED080000}">
      <text>
        <r>
          <rPr>
            <sz val="11"/>
            <color theme="1"/>
            <rFont val="Calibri"/>
            <family val="2"/>
            <scheme val="minor"/>
          </rPr>
          <t>Seleccione un valor de la lista</t>
        </r>
      </text>
    </comment>
    <comment ref="D2414" authorId="1" shapeId="0" xr:uid="{00000000-0006-0000-0100-0000EE080000}">
      <text>
        <r>
          <rPr>
            <sz val="11"/>
            <color theme="1"/>
            <rFont val="Calibri"/>
            <family val="2"/>
            <scheme val="minor"/>
          </rPr>
          <t>Introduzca un número con dos decimales como máximo. Debe ser igual o mayor a la "Cantidad Real Consumida"</t>
        </r>
      </text>
    </comment>
    <comment ref="E2414" authorId="1" shapeId="0" xr:uid="{00000000-0006-0000-0100-0000EF080000}">
      <text>
        <r>
          <rPr>
            <sz val="11"/>
            <color theme="1"/>
            <rFont val="Calibri"/>
            <family val="2"/>
            <scheme val="minor"/>
          </rPr>
          <t>Introduzca un número con dos decimales como máximo</t>
        </r>
      </text>
    </comment>
    <comment ref="F2414" authorId="1" shapeId="0" xr:uid="{00000000-0006-0000-0100-0000F0080000}">
      <text>
        <r>
          <rPr>
            <sz val="11"/>
            <color theme="1"/>
            <rFont val="Calibri"/>
            <family val="2"/>
            <scheme val="minor"/>
          </rPr>
          <t>Monto calculado automáticamente por el sistema</t>
        </r>
      </text>
    </comment>
    <comment ref="A2419" authorId="1" shapeId="0" xr:uid="{00000000-0006-0000-0100-0000F1080000}">
      <text>
        <r>
          <rPr>
            <sz val="11"/>
            <color theme="1"/>
            <rFont val="Calibri"/>
            <family val="2"/>
            <scheme val="minor"/>
          </rPr>
          <t>Introducir un texto con el nombre o referencia de la contratación</t>
        </r>
      </text>
    </comment>
    <comment ref="B2419" authorId="1" shapeId="0" xr:uid="{00000000-0006-0000-0100-0000F2080000}">
      <text>
        <r>
          <rPr>
            <sz val="11"/>
            <color theme="1"/>
            <rFont val="Calibri"/>
            <family val="2"/>
            <scheme val="minor"/>
          </rPr>
          <t>Introduzca un texto con la finalidad de la contratación</t>
        </r>
      </text>
    </comment>
    <comment ref="C2419" authorId="1" shapeId="0" xr:uid="{00000000-0006-0000-0100-0000F3080000}">
      <text>
        <r>
          <rPr>
            <sz val="11"/>
            <color theme="1"/>
            <rFont val="Calibri"/>
            <family val="2"/>
            <scheme val="minor"/>
          </rPr>
          <t>Seleccionar un valor del listado</t>
        </r>
      </text>
    </comment>
    <comment ref="D2419" authorId="1" shapeId="0" xr:uid="{00000000-0006-0000-0100-0000F4080000}">
      <text>
        <r>
          <rPr>
            <sz val="11"/>
            <color theme="1"/>
            <rFont val="Calibri"/>
            <family val="2"/>
            <scheme val="minor"/>
          </rPr>
          <t>Seleccione el tipo de procedimiento</t>
        </r>
      </text>
    </comment>
    <comment ref="E2419" authorId="1" shapeId="0" xr:uid="{00000000-0006-0000-0100-0000F5080000}">
      <text>
        <r>
          <rPr>
            <sz val="11"/>
            <color theme="1"/>
            <rFont val="Calibri"/>
            <family val="2"/>
            <scheme val="minor"/>
          </rPr>
          <t>Seleccione un valor de la lista</t>
        </r>
      </text>
    </comment>
    <comment ref="F2419" authorId="1" shapeId="0" xr:uid="{00000000-0006-0000-0100-0000F6080000}">
      <text>
        <r>
          <rPr>
            <sz val="11"/>
            <color theme="1"/>
            <rFont val="Calibri"/>
            <family val="2"/>
            <scheme val="minor"/>
          </rPr>
          <t>Introduzca el código SNIP</t>
        </r>
      </text>
    </comment>
    <comment ref="C2420" authorId="1" shapeId="0" xr:uid="{00000000-0006-0000-0100-0000F7080000}">
      <text>
        <r>
          <rPr>
            <sz val="11"/>
            <color theme="1"/>
            <rFont val="Calibri"/>
            <family val="2"/>
            <scheme val="minor"/>
          </rPr>
          <t>Introduzca la fecha de inicio del proceso, en formato dd-mm-aaaa</t>
        </r>
      </text>
    </comment>
    <comment ref="F2420" authorId="1" shapeId="0" xr:uid="{00000000-0006-0000-0100-0000F9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21" authorId="1" shapeId="0" xr:uid="{00000000-0006-0000-0100-0000FA080000}">
      <text/>
    </comment>
    <comment ref="C2422" authorId="1" shapeId="0" xr:uid="{00000000-0006-0000-0100-0000F8080000}">
      <text>
        <r>
          <rPr>
            <sz val="11"/>
            <color theme="1"/>
            <rFont val="Calibri"/>
            <family val="2"/>
            <scheme val="minor"/>
          </rPr>
          <t>Introduzca la fecha prevista de adjudicación, en formato dd-mm-aaaa</t>
        </r>
      </text>
    </comment>
    <comment ref="F2422" authorId="1" shapeId="0" xr:uid="{00000000-0006-0000-0100-0000FB080000}">
      <text/>
    </comment>
    <comment ref="F2423" authorId="1" shapeId="0" xr:uid="{00000000-0006-0000-0100-0000FC080000}">
      <text/>
    </comment>
    <comment ref="A2425" authorId="1" shapeId="0" xr:uid="{00000000-0006-0000-0100-0000FD080000}">
      <text>
        <r>
          <rPr>
            <sz val="11"/>
            <color theme="1"/>
            <rFont val="Calibri"/>
            <family val="2"/>
            <scheme val="minor"/>
          </rPr>
          <t>Introduzca un codigo UNSPSC</t>
        </r>
      </text>
    </comment>
    <comment ref="B2425" authorId="1" shapeId="0" xr:uid="{00000000-0006-0000-0100-0000FE080000}">
      <text>
        <r>
          <rPr>
            <sz val="11"/>
            <color theme="1"/>
            <rFont val="Calibri"/>
            <family val="2"/>
            <scheme val="minor"/>
          </rPr>
          <t>Descripción calculada automáticamente a partir de código del artículo</t>
        </r>
      </text>
    </comment>
    <comment ref="C2425" authorId="1" shapeId="0" xr:uid="{00000000-0006-0000-0100-0000FF080000}">
      <text>
        <r>
          <rPr>
            <sz val="11"/>
            <color theme="1"/>
            <rFont val="Calibri"/>
            <family val="2"/>
            <scheme val="minor"/>
          </rPr>
          <t>Seleccione un valor de la lista</t>
        </r>
      </text>
    </comment>
    <comment ref="D2425" authorId="1" shapeId="0" xr:uid="{00000000-0006-0000-0100-000000090000}">
      <text>
        <r>
          <rPr>
            <sz val="11"/>
            <color theme="1"/>
            <rFont val="Calibri"/>
            <family val="2"/>
            <scheme val="minor"/>
          </rPr>
          <t>Introduzca un número con dos decimales como máximo. Debe ser igual o mayor a la "Cantidad Real Consumida"</t>
        </r>
      </text>
    </comment>
    <comment ref="E2425" authorId="1" shapeId="0" xr:uid="{00000000-0006-0000-0100-000001090000}">
      <text>
        <r>
          <rPr>
            <sz val="11"/>
            <color theme="1"/>
            <rFont val="Calibri"/>
            <family val="2"/>
            <scheme val="minor"/>
          </rPr>
          <t>Introduzca un número con dos decimales como máximo</t>
        </r>
      </text>
    </comment>
    <comment ref="F2425" authorId="1" shapeId="0" xr:uid="{00000000-0006-0000-0100-000002090000}">
      <text>
        <r>
          <rPr>
            <sz val="11"/>
            <color theme="1"/>
            <rFont val="Calibri"/>
            <family val="2"/>
            <scheme val="minor"/>
          </rPr>
          <t>Monto calculado automáticamente por el sistema</t>
        </r>
      </text>
    </comment>
    <comment ref="A2453" authorId="1" shapeId="0" xr:uid="{00000000-0006-0000-0100-000003090000}">
      <text>
        <r>
          <rPr>
            <sz val="11"/>
            <color theme="1"/>
            <rFont val="Calibri"/>
            <family val="2"/>
            <scheme val="minor"/>
          </rPr>
          <t>Introducir un texto con el nombre o referencia de la contratación</t>
        </r>
      </text>
    </comment>
    <comment ref="B2453" authorId="1" shapeId="0" xr:uid="{00000000-0006-0000-0100-000004090000}">
      <text>
        <r>
          <rPr>
            <sz val="11"/>
            <color theme="1"/>
            <rFont val="Calibri"/>
            <family val="2"/>
            <scheme val="minor"/>
          </rPr>
          <t>Introduzca un texto con la finalidad de la contratación</t>
        </r>
      </text>
    </comment>
    <comment ref="C2453" authorId="1" shapeId="0" xr:uid="{00000000-0006-0000-0100-000005090000}">
      <text>
        <r>
          <rPr>
            <sz val="11"/>
            <color theme="1"/>
            <rFont val="Calibri"/>
            <family val="2"/>
            <scheme val="minor"/>
          </rPr>
          <t>Seleccionar un valor del listado</t>
        </r>
      </text>
    </comment>
    <comment ref="D2453" authorId="1" shapeId="0" xr:uid="{00000000-0006-0000-0100-000006090000}">
      <text>
        <r>
          <rPr>
            <sz val="11"/>
            <color theme="1"/>
            <rFont val="Calibri"/>
            <family val="2"/>
            <scheme val="minor"/>
          </rPr>
          <t>Seleccione el tipo de procedimiento</t>
        </r>
      </text>
    </comment>
    <comment ref="E2453" authorId="1" shapeId="0" xr:uid="{00000000-0006-0000-0100-000007090000}">
      <text>
        <r>
          <rPr>
            <sz val="11"/>
            <color theme="1"/>
            <rFont val="Calibri"/>
            <family val="2"/>
            <scheme val="minor"/>
          </rPr>
          <t>Seleccione un valor de la lista</t>
        </r>
      </text>
    </comment>
    <comment ref="F2453" authorId="1" shapeId="0" xr:uid="{00000000-0006-0000-0100-000008090000}">
      <text>
        <r>
          <rPr>
            <sz val="11"/>
            <color theme="1"/>
            <rFont val="Calibri"/>
            <family val="2"/>
            <scheme val="minor"/>
          </rPr>
          <t>Introduzca el código SNIP</t>
        </r>
      </text>
    </comment>
    <comment ref="C2454" authorId="1" shapeId="0" xr:uid="{00000000-0006-0000-0100-000009090000}">
      <text>
        <r>
          <rPr>
            <sz val="11"/>
            <color theme="1"/>
            <rFont val="Calibri"/>
            <family val="2"/>
            <scheme val="minor"/>
          </rPr>
          <t>Introduzca la fecha de inicio del proceso, en formato dd-mm-aaaa</t>
        </r>
      </text>
    </comment>
    <comment ref="F2454" authorId="1" shapeId="0" xr:uid="{00000000-0006-0000-0100-00000B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5" authorId="1" shapeId="0" xr:uid="{00000000-0006-0000-0100-00000C090000}">
      <text/>
    </comment>
    <comment ref="C2456" authorId="1" shapeId="0" xr:uid="{00000000-0006-0000-0100-00000A090000}">
      <text>
        <r>
          <rPr>
            <sz val="11"/>
            <color theme="1"/>
            <rFont val="Calibri"/>
            <family val="2"/>
            <scheme val="minor"/>
          </rPr>
          <t>Introduzca la fecha prevista de adjudicación, en formato dd-mm-aaaa</t>
        </r>
      </text>
    </comment>
    <comment ref="F2456" authorId="1" shapeId="0" xr:uid="{00000000-0006-0000-0100-00000D090000}">
      <text/>
    </comment>
    <comment ref="F2457" authorId="1" shapeId="0" xr:uid="{00000000-0006-0000-0100-00000E090000}">
      <text/>
    </comment>
    <comment ref="A2459" authorId="1" shapeId="0" xr:uid="{00000000-0006-0000-0100-00000F090000}">
      <text>
        <r>
          <rPr>
            <sz val="11"/>
            <color theme="1"/>
            <rFont val="Calibri"/>
            <family val="2"/>
            <scheme val="minor"/>
          </rPr>
          <t>Introduzca un codigo UNSPSC</t>
        </r>
      </text>
    </comment>
    <comment ref="B2459" authorId="1" shapeId="0" xr:uid="{00000000-0006-0000-0100-000010090000}">
      <text>
        <r>
          <rPr>
            <sz val="11"/>
            <color theme="1"/>
            <rFont val="Calibri"/>
            <family val="2"/>
            <scheme val="minor"/>
          </rPr>
          <t>Descripción calculada automáticamente a partir de código del artículo</t>
        </r>
      </text>
    </comment>
    <comment ref="C2459" authorId="1" shapeId="0" xr:uid="{00000000-0006-0000-0100-000011090000}">
      <text>
        <r>
          <rPr>
            <sz val="11"/>
            <color theme="1"/>
            <rFont val="Calibri"/>
            <family val="2"/>
            <scheme val="minor"/>
          </rPr>
          <t>Seleccione un valor de la lista</t>
        </r>
      </text>
    </comment>
    <comment ref="D2459" authorId="1" shapeId="0" xr:uid="{00000000-0006-0000-0100-000012090000}">
      <text>
        <r>
          <rPr>
            <sz val="11"/>
            <color theme="1"/>
            <rFont val="Calibri"/>
            <family val="2"/>
            <scheme val="minor"/>
          </rPr>
          <t>Introduzca un número con dos decimales como máximo. Debe ser igual o mayor a la "Cantidad Real Consumida"</t>
        </r>
      </text>
    </comment>
    <comment ref="E2459" authorId="1" shapeId="0" xr:uid="{00000000-0006-0000-0100-000013090000}">
      <text>
        <r>
          <rPr>
            <sz val="11"/>
            <color theme="1"/>
            <rFont val="Calibri"/>
            <family val="2"/>
            <scheme val="minor"/>
          </rPr>
          <t>Introduzca un número con dos decimales como máximo</t>
        </r>
      </text>
    </comment>
    <comment ref="F2459" authorId="1" shapeId="0" xr:uid="{00000000-0006-0000-0100-000014090000}">
      <text>
        <r>
          <rPr>
            <sz val="11"/>
            <color theme="1"/>
            <rFont val="Calibri"/>
            <family val="2"/>
            <scheme val="minor"/>
          </rPr>
          <t>Monto calculado automáticamente por el sistema</t>
        </r>
      </text>
    </comment>
    <comment ref="A2464" authorId="1" shapeId="0" xr:uid="{00000000-0006-0000-0100-000015090000}">
      <text>
        <r>
          <rPr>
            <sz val="11"/>
            <color theme="1"/>
            <rFont val="Calibri"/>
            <family val="2"/>
            <scheme val="minor"/>
          </rPr>
          <t>Introducir un texto con el nombre o referencia de la contratación</t>
        </r>
      </text>
    </comment>
    <comment ref="B2464" authorId="1" shapeId="0" xr:uid="{00000000-0006-0000-0100-000016090000}">
      <text>
        <r>
          <rPr>
            <sz val="11"/>
            <color theme="1"/>
            <rFont val="Calibri"/>
            <family val="2"/>
            <scheme val="minor"/>
          </rPr>
          <t>Introduzca un texto con la finalidad de la contratación</t>
        </r>
      </text>
    </comment>
    <comment ref="C2464" authorId="1" shapeId="0" xr:uid="{00000000-0006-0000-0100-000017090000}">
      <text>
        <r>
          <rPr>
            <sz val="11"/>
            <color theme="1"/>
            <rFont val="Calibri"/>
            <family val="2"/>
            <scheme val="minor"/>
          </rPr>
          <t>Seleccionar un valor del listado</t>
        </r>
      </text>
    </comment>
    <comment ref="D2464" authorId="1" shapeId="0" xr:uid="{00000000-0006-0000-0100-000018090000}">
      <text>
        <r>
          <rPr>
            <sz val="11"/>
            <color theme="1"/>
            <rFont val="Calibri"/>
            <family val="2"/>
            <scheme val="minor"/>
          </rPr>
          <t>Seleccione el tipo de procedimiento</t>
        </r>
      </text>
    </comment>
    <comment ref="E2464" authorId="1" shapeId="0" xr:uid="{00000000-0006-0000-0100-000019090000}">
      <text>
        <r>
          <rPr>
            <sz val="11"/>
            <color theme="1"/>
            <rFont val="Calibri"/>
            <family val="2"/>
            <scheme val="minor"/>
          </rPr>
          <t>Seleccione un valor de la lista</t>
        </r>
      </text>
    </comment>
    <comment ref="F2464" authorId="1" shapeId="0" xr:uid="{00000000-0006-0000-0100-00001A090000}">
      <text>
        <r>
          <rPr>
            <sz val="11"/>
            <color theme="1"/>
            <rFont val="Calibri"/>
            <family val="2"/>
            <scheme val="minor"/>
          </rPr>
          <t>Introduzca el código SNIP</t>
        </r>
      </text>
    </comment>
    <comment ref="C2465" authorId="1" shapeId="0" xr:uid="{00000000-0006-0000-0100-00001B090000}">
      <text>
        <r>
          <rPr>
            <sz val="11"/>
            <color theme="1"/>
            <rFont val="Calibri"/>
            <family val="2"/>
            <scheme val="minor"/>
          </rPr>
          <t>Introduzca la fecha de inicio del proceso, en formato dd-mm-aaaa</t>
        </r>
      </text>
    </comment>
    <comment ref="F2465" authorId="1" shapeId="0" xr:uid="{00000000-0006-0000-0100-00001D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66" authorId="1" shapeId="0" xr:uid="{00000000-0006-0000-0100-00001E090000}">
      <text/>
    </comment>
    <comment ref="C2467" authorId="1" shapeId="0" xr:uid="{00000000-0006-0000-0100-00001C090000}">
      <text>
        <r>
          <rPr>
            <sz val="11"/>
            <color theme="1"/>
            <rFont val="Calibri"/>
            <family val="2"/>
            <scheme val="minor"/>
          </rPr>
          <t>Introduzca la fecha prevista de adjudicación, en formato dd-mm-aaaa</t>
        </r>
      </text>
    </comment>
    <comment ref="F2467" authorId="1" shapeId="0" xr:uid="{00000000-0006-0000-0100-00001F090000}">
      <text/>
    </comment>
    <comment ref="F2468" authorId="1" shapeId="0" xr:uid="{00000000-0006-0000-0100-000020090000}">
      <text/>
    </comment>
    <comment ref="A2470" authorId="1" shapeId="0" xr:uid="{00000000-0006-0000-0100-000021090000}">
      <text>
        <r>
          <rPr>
            <sz val="11"/>
            <color theme="1"/>
            <rFont val="Calibri"/>
            <family val="2"/>
            <scheme val="minor"/>
          </rPr>
          <t>Introduzca un codigo UNSPSC</t>
        </r>
      </text>
    </comment>
    <comment ref="B2470" authorId="1" shapeId="0" xr:uid="{00000000-0006-0000-0100-000022090000}">
      <text>
        <r>
          <rPr>
            <sz val="11"/>
            <color theme="1"/>
            <rFont val="Calibri"/>
            <family val="2"/>
            <scheme val="minor"/>
          </rPr>
          <t>Descripción calculada automáticamente a partir de código del artículo</t>
        </r>
      </text>
    </comment>
    <comment ref="C2470" authorId="1" shapeId="0" xr:uid="{00000000-0006-0000-0100-000023090000}">
      <text>
        <r>
          <rPr>
            <sz val="11"/>
            <color theme="1"/>
            <rFont val="Calibri"/>
            <family val="2"/>
            <scheme val="minor"/>
          </rPr>
          <t>Seleccione un valor de la lista</t>
        </r>
      </text>
    </comment>
    <comment ref="D2470" authorId="1" shapeId="0" xr:uid="{00000000-0006-0000-0100-000024090000}">
      <text>
        <r>
          <rPr>
            <sz val="11"/>
            <color theme="1"/>
            <rFont val="Calibri"/>
            <family val="2"/>
            <scheme val="minor"/>
          </rPr>
          <t>Introduzca un número con dos decimales como máximo. Debe ser igual o mayor a la "Cantidad Real Consumida"</t>
        </r>
      </text>
    </comment>
    <comment ref="E2470" authorId="1" shapeId="0" xr:uid="{00000000-0006-0000-0100-000025090000}">
      <text>
        <r>
          <rPr>
            <sz val="11"/>
            <color theme="1"/>
            <rFont val="Calibri"/>
            <family val="2"/>
            <scheme val="minor"/>
          </rPr>
          <t>Introduzca un número con dos decimales como máximo</t>
        </r>
      </text>
    </comment>
    <comment ref="F2470" authorId="1" shapeId="0" xr:uid="{00000000-0006-0000-0100-000026090000}">
      <text>
        <r>
          <rPr>
            <sz val="11"/>
            <color theme="1"/>
            <rFont val="Calibri"/>
            <family val="2"/>
            <scheme val="minor"/>
          </rPr>
          <t>Monto calculado automáticamente por el sistema</t>
        </r>
      </text>
    </comment>
    <comment ref="A2475" authorId="1" shapeId="0" xr:uid="{00000000-0006-0000-0100-000027090000}">
      <text>
        <r>
          <rPr>
            <sz val="11"/>
            <color theme="1"/>
            <rFont val="Calibri"/>
            <family val="2"/>
            <scheme val="minor"/>
          </rPr>
          <t>Introducir un texto con el nombre o referencia de la contratación</t>
        </r>
      </text>
    </comment>
    <comment ref="B2475" authorId="1" shapeId="0" xr:uid="{00000000-0006-0000-0100-000028090000}">
      <text>
        <r>
          <rPr>
            <sz val="11"/>
            <color theme="1"/>
            <rFont val="Calibri"/>
            <family val="2"/>
            <scheme val="minor"/>
          </rPr>
          <t>Introduzca un texto con la finalidad de la contratación</t>
        </r>
      </text>
    </comment>
    <comment ref="C2475" authorId="1" shapeId="0" xr:uid="{00000000-0006-0000-0100-000029090000}">
      <text>
        <r>
          <rPr>
            <sz val="11"/>
            <color theme="1"/>
            <rFont val="Calibri"/>
            <family val="2"/>
            <scheme val="minor"/>
          </rPr>
          <t>Seleccionar un valor del listado</t>
        </r>
      </text>
    </comment>
    <comment ref="D2475" authorId="1" shapeId="0" xr:uid="{00000000-0006-0000-0100-00002A090000}">
      <text>
        <r>
          <rPr>
            <sz val="11"/>
            <color theme="1"/>
            <rFont val="Calibri"/>
            <family val="2"/>
            <scheme val="minor"/>
          </rPr>
          <t>Seleccione el tipo de procedimiento</t>
        </r>
      </text>
    </comment>
    <comment ref="E2475" authorId="1" shapeId="0" xr:uid="{00000000-0006-0000-0100-00002B090000}">
      <text>
        <r>
          <rPr>
            <sz val="11"/>
            <color theme="1"/>
            <rFont val="Calibri"/>
            <family val="2"/>
            <scheme val="minor"/>
          </rPr>
          <t>Seleccione un valor de la lista</t>
        </r>
      </text>
    </comment>
    <comment ref="F2475" authorId="1" shapeId="0" xr:uid="{00000000-0006-0000-0100-00002C090000}">
      <text>
        <r>
          <rPr>
            <sz val="11"/>
            <color theme="1"/>
            <rFont val="Calibri"/>
            <family val="2"/>
            <scheme val="minor"/>
          </rPr>
          <t>Introduzca el código SNIP</t>
        </r>
      </text>
    </comment>
    <comment ref="C2476" authorId="1" shapeId="0" xr:uid="{00000000-0006-0000-0100-00002D090000}">
      <text>
        <r>
          <rPr>
            <sz val="11"/>
            <color theme="1"/>
            <rFont val="Calibri"/>
            <family val="2"/>
            <scheme val="minor"/>
          </rPr>
          <t>Introduzca la fecha de inicio del proceso, en formato dd-mm-aaaa</t>
        </r>
      </text>
    </comment>
    <comment ref="F2476" authorId="1" shapeId="0" xr:uid="{00000000-0006-0000-0100-00002F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77" authorId="1" shapeId="0" xr:uid="{00000000-0006-0000-0100-000030090000}">
      <text/>
    </comment>
    <comment ref="C2478" authorId="1" shapeId="0" xr:uid="{00000000-0006-0000-0100-00002E090000}">
      <text>
        <r>
          <rPr>
            <sz val="11"/>
            <color theme="1"/>
            <rFont val="Calibri"/>
            <family val="2"/>
            <scheme val="minor"/>
          </rPr>
          <t>Introduzca la fecha prevista de adjudicación, en formato dd-mm-aaaa</t>
        </r>
      </text>
    </comment>
    <comment ref="F2478" authorId="1" shapeId="0" xr:uid="{00000000-0006-0000-0100-000031090000}">
      <text/>
    </comment>
    <comment ref="F2479" authorId="1" shapeId="0" xr:uid="{00000000-0006-0000-0100-000032090000}">
      <text/>
    </comment>
    <comment ref="A2481" authorId="1" shapeId="0" xr:uid="{00000000-0006-0000-0100-000033090000}">
      <text>
        <r>
          <rPr>
            <sz val="11"/>
            <color theme="1"/>
            <rFont val="Calibri"/>
            <family val="2"/>
            <scheme val="minor"/>
          </rPr>
          <t>Introduzca un codigo UNSPSC</t>
        </r>
      </text>
    </comment>
    <comment ref="B2481" authorId="1" shapeId="0" xr:uid="{00000000-0006-0000-0100-000034090000}">
      <text>
        <r>
          <rPr>
            <sz val="11"/>
            <color theme="1"/>
            <rFont val="Calibri"/>
            <family val="2"/>
            <scheme val="minor"/>
          </rPr>
          <t>Descripción calculada automáticamente a partir de código del artículo</t>
        </r>
      </text>
    </comment>
    <comment ref="C2481" authorId="1" shapeId="0" xr:uid="{00000000-0006-0000-0100-000035090000}">
      <text>
        <r>
          <rPr>
            <sz val="11"/>
            <color theme="1"/>
            <rFont val="Calibri"/>
            <family val="2"/>
            <scheme val="minor"/>
          </rPr>
          <t>Seleccione un valor de la lista</t>
        </r>
      </text>
    </comment>
    <comment ref="D2481" authorId="1" shapeId="0" xr:uid="{00000000-0006-0000-0100-000036090000}">
      <text>
        <r>
          <rPr>
            <sz val="11"/>
            <color theme="1"/>
            <rFont val="Calibri"/>
            <family val="2"/>
            <scheme val="minor"/>
          </rPr>
          <t>Introduzca un número con dos decimales como máximo. Debe ser igual o mayor a la "Cantidad Real Consumida"</t>
        </r>
      </text>
    </comment>
    <comment ref="E2481" authorId="1" shapeId="0" xr:uid="{00000000-0006-0000-0100-000037090000}">
      <text>
        <r>
          <rPr>
            <sz val="11"/>
            <color theme="1"/>
            <rFont val="Calibri"/>
            <family val="2"/>
            <scheme val="minor"/>
          </rPr>
          <t>Introduzca un número con dos decimales como máximo</t>
        </r>
      </text>
    </comment>
    <comment ref="F2481" authorId="1" shapeId="0" xr:uid="{00000000-0006-0000-0100-000038090000}">
      <text>
        <r>
          <rPr>
            <sz val="11"/>
            <color theme="1"/>
            <rFont val="Calibri"/>
            <family val="2"/>
            <scheme val="minor"/>
          </rPr>
          <t>Monto calculado automáticamente por el sistema</t>
        </r>
      </text>
    </comment>
    <comment ref="A2486" authorId="1" shapeId="0" xr:uid="{00000000-0006-0000-0100-000039090000}">
      <text>
        <r>
          <rPr>
            <sz val="11"/>
            <color theme="1"/>
            <rFont val="Calibri"/>
            <family val="2"/>
            <scheme val="minor"/>
          </rPr>
          <t>Introducir un texto con el nombre o referencia de la contratación</t>
        </r>
      </text>
    </comment>
    <comment ref="B2486" authorId="1" shapeId="0" xr:uid="{00000000-0006-0000-0100-00003A090000}">
      <text>
        <r>
          <rPr>
            <sz val="11"/>
            <color theme="1"/>
            <rFont val="Calibri"/>
            <family val="2"/>
            <scheme val="minor"/>
          </rPr>
          <t>Introduzca un texto con la finalidad de la contratación</t>
        </r>
      </text>
    </comment>
    <comment ref="C2486" authorId="1" shapeId="0" xr:uid="{00000000-0006-0000-0100-00003B090000}">
      <text>
        <r>
          <rPr>
            <sz val="11"/>
            <color theme="1"/>
            <rFont val="Calibri"/>
            <family val="2"/>
            <scheme val="minor"/>
          </rPr>
          <t>Seleccionar un valor del listado</t>
        </r>
      </text>
    </comment>
    <comment ref="D2486" authorId="1" shapeId="0" xr:uid="{00000000-0006-0000-0100-00003C090000}">
      <text>
        <r>
          <rPr>
            <sz val="11"/>
            <color theme="1"/>
            <rFont val="Calibri"/>
            <family val="2"/>
            <scheme val="minor"/>
          </rPr>
          <t>Seleccione el tipo de procedimiento</t>
        </r>
      </text>
    </comment>
    <comment ref="E2486" authorId="1" shapeId="0" xr:uid="{00000000-0006-0000-0100-00003D090000}">
      <text>
        <r>
          <rPr>
            <sz val="11"/>
            <color theme="1"/>
            <rFont val="Calibri"/>
            <family val="2"/>
            <scheme val="minor"/>
          </rPr>
          <t>Seleccione un valor de la lista</t>
        </r>
      </text>
    </comment>
    <comment ref="F2486" authorId="1" shapeId="0" xr:uid="{00000000-0006-0000-0100-00003E090000}">
      <text>
        <r>
          <rPr>
            <sz val="11"/>
            <color theme="1"/>
            <rFont val="Calibri"/>
            <family val="2"/>
            <scheme val="minor"/>
          </rPr>
          <t>Introduzca el código SNIP</t>
        </r>
      </text>
    </comment>
    <comment ref="C2487" authorId="1" shapeId="0" xr:uid="{00000000-0006-0000-0100-00003F090000}">
      <text>
        <r>
          <rPr>
            <sz val="11"/>
            <color theme="1"/>
            <rFont val="Calibri"/>
            <family val="2"/>
            <scheme val="minor"/>
          </rPr>
          <t>Introduzca la fecha de inicio del proceso, en formato dd-mm-aaaa</t>
        </r>
      </text>
    </comment>
    <comment ref="F2487" authorId="1" shapeId="0" xr:uid="{00000000-0006-0000-0100-000041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88" authorId="1" shapeId="0" xr:uid="{00000000-0006-0000-0100-000042090000}">
      <text/>
    </comment>
    <comment ref="C2489" authorId="1" shapeId="0" xr:uid="{00000000-0006-0000-0100-000040090000}">
      <text>
        <r>
          <rPr>
            <sz val="11"/>
            <color theme="1"/>
            <rFont val="Calibri"/>
            <family val="2"/>
            <scheme val="minor"/>
          </rPr>
          <t>Introduzca la fecha prevista de adjudicación, en formato dd-mm-aaaa</t>
        </r>
      </text>
    </comment>
    <comment ref="F2489" authorId="1" shapeId="0" xr:uid="{00000000-0006-0000-0100-000043090000}">
      <text/>
    </comment>
    <comment ref="F2490" authorId="1" shapeId="0" xr:uid="{00000000-0006-0000-0100-000044090000}">
      <text/>
    </comment>
    <comment ref="A2492" authorId="1" shapeId="0" xr:uid="{00000000-0006-0000-0100-000045090000}">
      <text>
        <r>
          <rPr>
            <sz val="11"/>
            <color theme="1"/>
            <rFont val="Calibri"/>
            <family val="2"/>
            <scheme val="minor"/>
          </rPr>
          <t>Introduzca un codigo UNSPSC</t>
        </r>
      </text>
    </comment>
    <comment ref="B2492" authorId="1" shapeId="0" xr:uid="{00000000-0006-0000-0100-000046090000}">
      <text>
        <r>
          <rPr>
            <sz val="11"/>
            <color theme="1"/>
            <rFont val="Calibri"/>
            <family val="2"/>
            <scheme val="minor"/>
          </rPr>
          <t>Descripción calculada automáticamente a partir de código del artículo</t>
        </r>
      </text>
    </comment>
    <comment ref="C2492" authorId="1" shapeId="0" xr:uid="{00000000-0006-0000-0100-000047090000}">
      <text>
        <r>
          <rPr>
            <sz val="11"/>
            <color theme="1"/>
            <rFont val="Calibri"/>
            <family val="2"/>
            <scheme val="minor"/>
          </rPr>
          <t>Seleccione un valor de la lista</t>
        </r>
      </text>
    </comment>
    <comment ref="D2492" authorId="1" shapeId="0" xr:uid="{00000000-0006-0000-0100-000048090000}">
      <text>
        <r>
          <rPr>
            <sz val="11"/>
            <color theme="1"/>
            <rFont val="Calibri"/>
            <family val="2"/>
            <scheme val="minor"/>
          </rPr>
          <t>Introduzca un número con dos decimales como máximo. Debe ser igual o mayor a la "Cantidad Real Consumida"</t>
        </r>
      </text>
    </comment>
    <comment ref="E2492" authorId="1" shapeId="0" xr:uid="{00000000-0006-0000-0100-000049090000}">
      <text>
        <r>
          <rPr>
            <sz val="11"/>
            <color theme="1"/>
            <rFont val="Calibri"/>
            <family val="2"/>
            <scheme val="minor"/>
          </rPr>
          <t>Introduzca un número con dos decimales como máximo</t>
        </r>
      </text>
    </comment>
    <comment ref="F2492" authorId="1" shapeId="0" xr:uid="{00000000-0006-0000-0100-00004A090000}">
      <text>
        <r>
          <rPr>
            <sz val="11"/>
            <color theme="1"/>
            <rFont val="Calibri"/>
            <family val="2"/>
            <scheme val="minor"/>
          </rPr>
          <t>Monto calculado automáticamente por el sistema</t>
        </r>
      </text>
    </comment>
    <comment ref="A2509" authorId="1" shapeId="0" xr:uid="{00000000-0006-0000-0100-00004B090000}">
      <text>
        <r>
          <rPr>
            <sz val="11"/>
            <color theme="1"/>
            <rFont val="Calibri"/>
            <family val="2"/>
            <scheme val="minor"/>
          </rPr>
          <t>Introducir un texto con el nombre o referencia de la contratación</t>
        </r>
      </text>
    </comment>
    <comment ref="B2509" authorId="1" shapeId="0" xr:uid="{00000000-0006-0000-0100-00004C090000}">
      <text>
        <r>
          <rPr>
            <sz val="11"/>
            <color theme="1"/>
            <rFont val="Calibri"/>
            <family val="2"/>
            <scheme val="minor"/>
          </rPr>
          <t>Introduzca un texto con la finalidad de la contratación</t>
        </r>
      </text>
    </comment>
    <comment ref="C2509" authorId="1" shapeId="0" xr:uid="{00000000-0006-0000-0100-00004D090000}">
      <text>
        <r>
          <rPr>
            <sz val="11"/>
            <color theme="1"/>
            <rFont val="Calibri"/>
            <family val="2"/>
            <scheme val="minor"/>
          </rPr>
          <t>Seleccionar un valor del listado</t>
        </r>
      </text>
    </comment>
    <comment ref="D2509" authorId="1" shapeId="0" xr:uid="{00000000-0006-0000-0100-00004E090000}">
      <text>
        <r>
          <rPr>
            <sz val="11"/>
            <color theme="1"/>
            <rFont val="Calibri"/>
            <family val="2"/>
            <scheme val="minor"/>
          </rPr>
          <t>Seleccione el tipo de procedimiento</t>
        </r>
      </text>
    </comment>
    <comment ref="E2509" authorId="1" shapeId="0" xr:uid="{00000000-0006-0000-0100-00004F090000}">
      <text>
        <r>
          <rPr>
            <sz val="11"/>
            <color theme="1"/>
            <rFont val="Calibri"/>
            <family val="2"/>
            <scheme val="minor"/>
          </rPr>
          <t>Seleccione un valor de la lista</t>
        </r>
      </text>
    </comment>
    <comment ref="F2509" authorId="1" shapeId="0" xr:uid="{00000000-0006-0000-0100-000050090000}">
      <text>
        <r>
          <rPr>
            <sz val="11"/>
            <color theme="1"/>
            <rFont val="Calibri"/>
            <family val="2"/>
            <scheme val="minor"/>
          </rPr>
          <t>Introduzca el código SNIP</t>
        </r>
      </text>
    </comment>
    <comment ref="C2510" authorId="1" shapeId="0" xr:uid="{00000000-0006-0000-0100-000051090000}">
      <text>
        <r>
          <rPr>
            <sz val="11"/>
            <color theme="1"/>
            <rFont val="Calibri"/>
            <family val="2"/>
            <scheme val="minor"/>
          </rPr>
          <t>Introduzca la fecha de inicio del proceso, en formato dd-mm-aaaa</t>
        </r>
      </text>
    </comment>
    <comment ref="F2510" authorId="1" shapeId="0" xr:uid="{00000000-0006-0000-0100-000053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11" authorId="1" shapeId="0" xr:uid="{00000000-0006-0000-0100-000054090000}">
      <text/>
    </comment>
    <comment ref="C2512" authorId="1" shapeId="0" xr:uid="{00000000-0006-0000-0100-000052090000}">
      <text>
        <r>
          <rPr>
            <sz val="11"/>
            <color theme="1"/>
            <rFont val="Calibri"/>
            <family val="2"/>
            <scheme val="minor"/>
          </rPr>
          <t>Introduzca la fecha prevista de adjudicación, en formato dd-mm-aaaa</t>
        </r>
      </text>
    </comment>
    <comment ref="F2512" authorId="1" shapeId="0" xr:uid="{00000000-0006-0000-0100-000055090000}">
      <text/>
    </comment>
    <comment ref="F2513" authorId="1" shapeId="0" xr:uid="{00000000-0006-0000-0100-000056090000}">
      <text/>
    </comment>
    <comment ref="A2515" authorId="1" shapeId="0" xr:uid="{00000000-0006-0000-0100-000057090000}">
      <text>
        <r>
          <rPr>
            <sz val="11"/>
            <color theme="1"/>
            <rFont val="Calibri"/>
            <family val="2"/>
            <scheme val="minor"/>
          </rPr>
          <t>Introduzca un codigo UNSPSC</t>
        </r>
      </text>
    </comment>
    <comment ref="B2515" authorId="1" shapeId="0" xr:uid="{00000000-0006-0000-0100-000058090000}">
      <text>
        <r>
          <rPr>
            <sz val="11"/>
            <color theme="1"/>
            <rFont val="Calibri"/>
            <family val="2"/>
            <scheme val="minor"/>
          </rPr>
          <t>Descripción calculada automáticamente a partir de código del artículo</t>
        </r>
      </text>
    </comment>
    <comment ref="C2515" authorId="1" shapeId="0" xr:uid="{00000000-0006-0000-0100-000059090000}">
      <text>
        <r>
          <rPr>
            <sz val="11"/>
            <color theme="1"/>
            <rFont val="Calibri"/>
            <family val="2"/>
            <scheme val="minor"/>
          </rPr>
          <t>Seleccione un valor de la lista</t>
        </r>
      </text>
    </comment>
    <comment ref="D2515" authorId="1" shapeId="0" xr:uid="{00000000-0006-0000-0100-00005A090000}">
      <text>
        <r>
          <rPr>
            <sz val="11"/>
            <color theme="1"/>
            <rFont val="Calibri"/>
            <family val="2"/>
            <scheme val="minor"/>
          </rPr>
          <t>Introduzca un número con dos decimales como máximo. Debe ser igual o mayor a la "Cantidad Real Consumida"</t>
        </r>
      </text>
    </comment>
    <comment ref="E2515" authorId="1" shapeId="0" xr:uid="{00000000-0006-0000-0100-00005B090000}">
      <text>
        <r>
          <rPr>
            <sz val="11"/>
            <color theme="1"/>
            <rFont val="Calibri"/>
            <family val="2"/>
            <scheme val="minor"/>
          </rPr>
          <t>Introduzca un número con dos decimales como máximo</t>
        </r>
      </text>
    </comment>
    <comment ref="F2515" authorId="1" shapeId="0" xr:uid="{00000000-0006-0000-0100-00005C090000}">
      <text>
        <r>
          <rPr>
            <sz val="11"/>
            <color theme="1"/>
            <rFont val="Calibri"/>
            <family val="2"/>
            <scheme val="minor"/>
          </rPr>
          <t>Monto calculado automáticamente por el sistema</t>
        </r>
      </text>
    </comment>
    <comment ref="A2522" authorId="1" shapeId="0" xr:uid="{00000000-0006-0000-0100-00005D090000}">
      <text>
        <r>
          <rPr>
            <sz val="11"/>
            <color theme="1"/>
            <rFont val="Calibri"/>
            <family val="2"/>
            <scheme val="minor"/>
          </rPr>
          <t>Introducir un texto con el nombre o referencia de la contratación</t>
        </r>
      </text>
    </comment>
    <comment ref="B2522" authorId="1" shapeId="0" xr:uid="{00000000-0006-0000-0100-00005E090000}">
      <text>
        <r>
          <rPr>
            <sz val="11"/>
            <color theme="1"/>
            <rFont val="Calibri"/>
            <family val="2"/>
            <scheme val="minor"/>
          </rPr>
          <t>Introduzca un texto con la finalidad de la contratación</t>
        </r>
      </text>
    </comment>
    <comment ref="C2522" authorId="1" shapeId="0" xr:uid="{00000000-0006-0000-0100-00005F090000}">
      <text>
        <r>
          <rPr>
            <sz val="11"/>
            <color theme="1"/>
            <rFont val="Calibri"/>
            <family val="2"/>
            <scheme val="minor"/>
          </rPr>
          <t>Seleccionar un valor del listado</t>
        </r>
      </text>
    </comment>
    <comment ref="D2522" authorId="1" shapeId="0" xr:uid="{00000000-0006-0000-0100-000060090000}">
      <text>
        <r>
          <rPr>
            <sz val="11"/>
            <color theme="1"/>
            <rFont val="Calibri"/>
            <family val="2"/>
            <scheme val="minor"/>
          </rPr>
          <t>Seleccione el tipo de procedimiento</t>
        </r>
      </text>
    </comment>
    <comment ref="E2522" authorId="1" shapeId="0" xr:uid="{00000000-0006-0000-0100-000061090000}">
      <text>
        <r>
          <rPr>
            <sz val="11"/>
            <color theme="1"/>
            <rFont val="Calibri"/>
            <family val="2"/>
            <scheme val="minor"/>
          </rPr>
          <t>Seleccione un valor de la lista</t>
        </r>
      </text>
    </comment>
    <comment ref="F2522" authorId="1" shapeId="0" xr:uid="{00000000-0006-0000-0100-000062090000}">
      <text>
        <r>
          <rPr>
            <sz val="11"/>
            <color theme="1"/>
            <rFont val="Calibri"/>
            <family val="2"/>
            <scheme val="minor"/>
          </rPr>
          <t>Introduzca el código SNIP</t>
        </r>
      </text>
    </comment>
    <comment ref="C2523" authorId="1" shapeId="0" xr:uid="{00000000-0006-0000-0100-000063090000}">
      <text>
        <r>
          <rPr>
            <sz val="11"/>
            <color theme="1"/>
            <rFont val="Calibri"/>
            <family val="2"/>
            <scheme val="minor"/>
          </rPr>
          <t>Introduzca la fecha de inicio del proceso, en formato dd-mm-aaaa</t>
        </r>
      </text>
    </comment>
    <comment ref="F2523" authorId="1" shapeId="0" xr:uid="{00000000-0006-0000-0100-000065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24" authorId="1" shapeId="0" xr:uid="{00000000-0006-0000-0100-000066090000}">
      <text/>
    </comment>
    <comment ref="C2525" authorId="1" shapeId="0" xr:uid="{00000000-0006-0000-0100-000064090000}">
      <text>
        <r>
          <rPr>
            <sz val="11"/>
            <color theme="1"/>
            <rFont val="Calibri"/>
            <family val="2"/>
            <scheme val="minor"/>
          </rPr>
          <t>Introduzca la fecha prevista de adjudicación, en formato dd-mm-aaaa</t>
        </r>
      </text>
    </comment>
    <comment ref="F2525" authorId="1" shapeId="0" xr:uid="{00000000-0006-0000-0100-000067090000}">
      <text/>
    </comment>
    <comment ref="F2526" authorId="1" shapeId="0" xr:uid="{00000000-0006-0000-0100-000068090000}">
      <text/>
    </comment>
    <comment ref="A2528" authorId="1" shapeId="0" xr:uid="{00000000-0006-0000-0100-000069090000}">
      <text>
        <r>
          <rPr>
            <sz val="11"/>
            <color theme="1"/>
            <rFont val="Calibri"/>
            <family val="2"/>
            <scheme val="minor"/>
          </rPr>
          <t>Introduzca un codigo UNSPSC</t>
        </r>
      </text>
    </comment>
    <comment ref="B2528" authorId="1" shapeId="0" xr:uid="{00000000-0006-0000-0100-00006A090000}">
      <text>
        <r>
          <rPr>
            <sz val="11"/>
            <color theme="1"/>
            <rFont val="Calibri"/>
            <family val="2"/>
            <scheme val="minor"/>
          </rPr>
          <t>Descripción calculada automáticamente a partir de código del artículo</t>
        </r>
      </text>
    </comment>
    <comment ref="C2528" authorId="1" shapeId="0" xr:uid="{00000000-0006-0000-0100-00006B090000}">
      <text>
        <r>
          <rPr>
            <sz val="11"/>
            <color theme="1"/>
            <rFont val="Calibri"/>
            <family val="2"/>
            <scheme val="minor"/>
          </rPr>
          <t>Seleccione un valor de la lista</t>
        </r>
      </text>
    </comment>
    <comment ref="D2528" authorId="1" shapeId="0" xr:uid="{00000000-0006-0000-0100-00006C090000}">
      <text>
        <r>
          <rPr>
            <sz val="11"/>
            <color theme="1"/>
            <rFont val="Calibri"/>
            <family val="2"/>
            <scheme val="minor"/>
          </rPr>
          <t>Introduzca un número con dos decimales como máximo. Debe ser igual o mayor a la "Cantidad Real Consumida"</t>
        </r>
      </text>
    </comment>
    <comment ref="E2528" authorId="1" shapeId="0" xr:uid="{00000000-0006-0000-0100-00006D090000}">
      <text>
        <r>
          <rPr>
            <sz val="11"/>
            <color theme="1"/>
            <rFont val="Calibri"/>
            <family val="2"/>
            <scheme val="minor"/>
          </rPr>
          <t>Introduzca un número con dos decimales como máximo</t>
        </r>
      </text>
    </comment>
    <comment ref="F2528" authorId="1" shapeId="0" xr:uid="{00000000-0006-0000-0100-00006E090000}">
      <text>
        <r>
          <rPr>
            <sz val="11"/>
            <color theme="1"/>
            <rFont val="Calibri"/>
            <family val="2"/>
            <scheme val="minor"/>
          </rPr>
          <t>Monto calculado automáticamente por el sistema</t>
        </r>
      </text>
    </comment>
    <comment ref="A2533" authorId="1" shapeId="0" xr:uid="{00000000-0006-0000-0100-00006F090000}">
      <text>
        <r>
          <rPr>
            <sz val="11"/>
            <color theme="1"/>
            <rFont val="Calibri"/>
            <family val="2"/>
            <scheme val="minor"/>
          </rPr>
          <t>Introducir un texto con el nombre o referencia de la contratación</t>
        </r>
      </text>
    </comment>
    <comment ref="B2533" authorId="1" shapeId="0" xr:uid="{00000000-0006-0000-0100-000070090000}">
      <text>
        <r>
          <rPr>
            <sz val="11"/>
            <color theme="1"/>
            <rFont val="Calibri"/>
            <family val="2"/>
            <scheme val="minor"/>
          </rPr>
          <t>Introduzca un texto con la finalidad de la contratación</t>
        </r>
      </text>
    </comment>
    <comment ref="C2533" authorId="1" shapeId="0" xr:uid="{00000000-0006-0000-0100-000071090000}">
      <text>
        <r>
          <rPr>
            <sz val="11"/>
            <color theme="1"/>
            <rFont val="Calibri"/>
            <family val="2"/>
            <scheme val="minor"/>
          </rPr>
          <t>Seleccionar un valor del listado</t>
        </r>
      </text>
    </comment>
    <comment ref="D2533" authorId="1" shapeId="0" xr:uid="{00000000-0006-0000-0100-000072090000}">
      <text>
        <r>
          <rPr>
            <sz val="11"/>
            <color theme="1"/>
            <rFont val="Calibri"/>
            <family val="2"/>
            <scheme val="minor"/>
          </rPr>
          <t>Seleccione el tipo de procedimiento</t>
        </r>
      </text>
    </comment>
    <comment ref="E2533" authorId="1" shapeId="0" xr:uid="{00000000-0006-0000-0100-000073090000}">
      <text>
        <r>
          <rPr>
            <sz val="11"/>
            <color theme="1"/>
            <rFont val="Calibri"/>
            <family val="2"/>
            <scheme val="minor"/>
          </rPr>
          <t>Seleccione un valor de la lista</t>
        </r>
      </text>
    </comment>
    <comment ref="F2533" authorId="1" shapeId="0" xr:uid="{00000000-0006-0000-0100-000074090000}">
      <text>
        <r>
          <rPr>
            <sz val="11"/>
            <color theme="1"/>
            <rFont val="Calibri"/>
            <family val="2"/>
            <scheme val="minor"/>
          </rPr>
          <t>Introduzca el código SNIP</t>
        </r>
      </text>
    </comment>
    <comment ref="C2534" authorId="1" shapeId="0" xr:uid="{00000000-0006-0000-0100-000075090000}">
      <text>
        <r>
          <rPr>
            <sz val="11"/>
            <color theme="1"/>
            <rFont val="Calibri"/>
            <family val="2"/>
            <scheme val="minor"/>
          </rPr>
          <t>Introduzca la fecha de inicio del proceso, en formato dd-mm-aaaa</t>
        </r>
      </text>
    </comment>
    <comment ref="F2534" authorId="1" shapeId="0" xr:uid="{00000000-0006-0000-0100-000077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35" authorId="1" shapeId="0" xr:uid="{00000000-0006-0000-0100-000078090000}">
      <text/>
    </comment>
    <comment ref="C2536" authorId="1" shapeId="0" xr:uid="{00000000-0006-0000-0100-000076090000}">
      <text>
        <r>
          <rPr>
            <sz val="11"/>
            <color theme="1"/>
            <rFont val="Calibri"/>
            <family val="2"/>
            <scheme val="minor"/>
          </rPr>
          <t>Introduzca la fecha prevista de adjudicación, en formato dd-mm-aaaa</t>
        </r>
      </text>
    </comment>
    <comment ref="F2536" authorId="1" shapeId="0" xr:uid="{00000000-0006-0000-0100-000079090000}">
      <text/>
    </comment>
    <comment ref="F2537" authorId="1" shapeId="0" xr:uid="{00000000-0006-0000-0100-00007A090000}">
      <text/>
    </comment>
    <comment ref="A2539" authorId="1" shapeId="0" xr:uid="{00000000-0006-0000-0100-00007B090000}">
      <text>
        <r>
          <rPr>
            <sz val="11"/>
            <color theme="1"/>
            <rFont val="Calibri"/>
            <family val="2"/>
            <scheme val="minor"/>
          </rPr>
          <t>Introduzca un codigo UNSPSC</t>
        </r>
      </text>
    </comment>
    <comment ref="B2539" authorId="1" shapeId="0" xr:uid="{00000000-0006-0000-0100-00007C090000}">
      <text>
        <r>
          <rPr>
            <sz val="11"/>
            <color theme="1"/>
            <rFont val="Calibri"/>
            <family val="2"/>
            <scheme val="minor"/>
          </rPr>
          <t>Descripción calculada automáticamente a partir de código del artículo</t>
        </r>
      </text>
    </comment>
    <comment ref="C2539" authorId="1" shapeId="0" xr:uid="{00000000-0006-0000-0100-00007D090000}">
      <text>
        <r>
          <rPr>
            <sz val="11"/>
            <color theme="1"/>
            <rFont val="Calibri"/>
            <family val="2"/>
            <scheme val="minor"/>
          </rPr>
          <t>Seleccione un valor de la lista</t>
        </r>
      </text>
    </comment>
    <comment ref="D2539" authorId="1" shapeId="0" xr:uid="{00000000-0006-0000-0100-00007E090000}">
      <text>
        <r>
          <rPr>
            <sz val="11"/>
            <color theme="1"/>
            <rFont val="Calibri"/>
            <family val="2"/>
            <scheme val="minor"/>
          </rPr>
          <t>Introduzca un número con dos decimales como máximo. Debe ser igual o mayor a la "Cantidad Real Consumida"</t>
        </r>
      </text>
    </comment>
    <comment ref="E2539" authorId="1" shapeId="0" xr:uid="{00000000-0006-0000-0100-00007F090000}">
      <text>
        <r>
          <rPr>
            <sz val="11"/>
            <color theme="1"/>
            <rFont val="Calibri"/>
            <family val="2"/>
            <scheme val="minor"/>
          </rPr>
          <t>Introduzca un número con dos decimales como máximo</t>
        </r>
      </text>
    </comment>
    <comment ref="F2539" authorId="1" shapeId="0" xr:uid="{00000000-0006-0000-0100-000080090000}">
      <text>
        <r>
          <rPr>
            <sz val="11"/>
            <color theme="1"/>
            <rFont val="Calibri"/>
            <family val="2"/>
            <scheme val="minor"/>
          </rPr>
          <t>Monto calculado automáticamente por el sistema</t>
        </r>
      </text>
    </comment>
    <comment ref="A2544" authorId="1" shapeId="0" xr:uid="{00000000-0006-0000-0100-000081090000}">
      <text>
        <r>
          <rPr>
            <sz val="11"/>
            <color theme="1"/>
            <rFont val="Calibri"/>
            <family val="2"/>
            <scheme val="minor"/>
          </rPr>
          <t>Introducir un texto con el nombre o referencia de la contratación</t>
        </r>
      </text>
    </comment>
    <comment ref="B2544" authorId="1" shapeId="0" xr:uid="{00000000-0006-0000-0100-000082090000}">
      <text>
        <r>
          <rPr>
            <sz val="11"/>
            <color theme="1"/>
            <rFont val="Calibri"/>
            <family val="2"/>
            <scheme val="minor"/>
          </rPr>
          <t>Introduzca un texto con la finalidad de la contratación</t>
        </r>
      </text>
    </comment>
    <comment ref="C2544" authorId="1" shapeId="0" xr:uid="{00000000-0006-0000-0100-000083090000}">
      <text>
        <r>
          <rPr>
            <sz val="11"/>
            <color theme="1"/>
            <rFont val="Calibri"/>
            <family val="2"/>
            <scheme val="minor"/>
          </rPr>
          <t>Seleccionar un valor del listado</t>
        </r>
      </text>
    </comment>
    <comment ref="D2544" authorId="1" shapeId="0" xr:uid="{00000000-0006-0000-0100-000084090000}">
      <text>
        <r>
          <rPr>
            <sz val="11"/>
            <color theme="1"/>
            <rFont val="Calibri"/>
            <family val="2"/>
            <scheme val="minor"/>
          </rPr>
          <t>Seleccione el tipo de procedimiento</t>
        </r>
      </text>
    </comment>
    <comment ref="E2544" authorId="1" shapeId="0" xr:uid="{00000000-0006-0000-0100-000085090000}">
      <text>
        <r>
          <rPr>
            <sz val="11"/>
            <color theme="1"/>
            <rFont val="Calibri"/>
            <family val="2"/>
            <scheme val="minor"/>
          </rPr>
          <t>Seleccione un valor de la lista</t>
        </r>
      </text>
    </comment>
    <comment ref="F2544" authorId="1" shapeId="0" xr:uid="{00000000-0006-0000-0100-000086090000}">
      <text>
        <r>
          <rPr>
            <sz val="11"/>
            <color theme="1"/>
            <rFont val="Calibri"/>
            <family val="2"/>
            <scheme val="minor"/>
          </rPr>
          <t>Introduzca el código SNIP</t>
        </r>
      </text>
    </comment>
    <comment ref="C2545" authorId="1" shapeId="0" xr:uid="{00000000-0006-0000-0100-000087090000}">
      <text>
        <r>
          <rPr>
            <sz val="11"/>
            <color theme="1"/>
            <rFont val="Calibri"/>
            <family val="2"/>
            <scheme val="minor"/>
          </rPr>
          <t>Introduzca la fecha de inicio del proceso, en formato dd-mm-aaaa</t>
        </r>
      </text>
    </comment>
    <comment ref="F2545" authorId="1" shapeId="0" xr:uid="{00000000-0006-0000-0100-000089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46" authorId="1" shapeId="0" xr:uid="{00000000-0006-0000-0100-00008A090000}">
      <text/>
    </comment>
    <comment ref="C2547" authorId="1" shapeId="0" xr:uid="{00000000-0006-0000-0100-000088090000}">
      <text>
        <r>
          <rPr>
            <sz val="11"/>
            <color theme="1"/>
            <rFont val="Calibri"/>
            <family val="2"/>
            <scheme val="minor"/>
          </rPr>
          <t>Introduzca la fecha prevista de adjudicación, en formato dd-mm-aaaa</t>
        </r>
      </text>
    </comment>
    <comment ref="F2547" authorId="1" shapeId="0" xr:uid="{00000000-0006-0000-0100-00008B090000}">
      <text/>
    </comment>
    <comment ref="F2548" authorId="1" shapeId="0" xr:uid="{00000000-0006-0000-0100-00008C090000}">
      <text/>
    </comment>
    <comment ref="A2550" authorId="1" shapeId="0" xr:uid="{00000000-0006-0000-0100-00008D090000}">
      <text>
        <r>
          <rPr>
            <sz val="11"/>
            <color theme="1"/>
            <rFont val="Calibri"/>
            <family val="2"/>
            <scheme val="minor"/>
          </rPr>
          <t>Introduzca un codigo UNSPSC</t>
        </r>
      </text>
    </comment>
    <comment ref="B2550" authorId="1" shapeId="0" xr:uid="{00000000-0006-0000-0100-00008E090000}">
      <text>
        <r>
          <rPr>
            <sz val="11"/>
            <color theme="1"/>
            <rFont val="Calibri"/>
            <family val="2"/>
            <scheme val="minor"/>
          </rPr>
          <t>Descripción calculada automáticamente a partir de código del artículo</t>
        </r>
      </text>
    </comment>
    <comment ref="C2550" authorId="1" shapeId="0" xr:uid="{00000000-0006-0000-0100-00008F090000}">
      <text>
        <r>
          <rPr>
            <sz val="11"/>
            <color theme="1"/>
            <rFont val="Calibri"/>
            <family val="2"/>
            <scheme val="minor"/>
          </rPr>
          <t>Seleccione un valor de la lista</t>
        </r>
      </text>
    </comment>
    <comment ref="D2550" authorId="1" shapeId="0" xr:uid="{00000000-0006-0000-0100-000090090000}">
      <text>
        <r>
          <rPr>
            <sz val="11"/>
            <color theme="1"/>
            <rFont val="Calibri"/>
            <family val="2"/>
            <scheme val="minor"/>
          </rPr>
          <t>Introduzca un número con dos decimales como máximo. Debe ser igual o mayor a la "Cantidad Real Consumida"</t>
        </r>
      </text>
    </comment>
    <comment ref="E2550" authorId="1" shapeId="0" xr:uid="{00000000-0006-0000-0100-000091090000}">
      <text>
        <r>
          <rPr>
            <sz val="11"/>
            <color theme="1"/>
            <rFont val="Calibri"/>
            <family val="2"/>
            <scheme val="minor"/>
          </rPr>
          <t>Introduzca un número con dos decimales como máximo</t>
        </r>
      </text>
    </comment>
    <comment ref="F2550" authorId="1" shapeId="0" xr:uid="{00000000-0006-0000-0100-000092090000}">
      <text>
        <r>
          <rPr>
            <sz val="11"/>
            <color theme="1"/>
            <rFont val="Calibri"/>
            <family val="2"/>
            <scheme val="minor"/>
          </rPr>
          <t>Monto calculado automáticamente por el sistema</t>
        </r>
      </text>
    </comment>
    <comment ref="A2555" authorId="1" shapeId="0" xr:uid="{00000000-0006-0000-0100-000093090000}">
      <text>
        <r>
          <rPr>
            <sz val="11"/>
            <color theme="1"/>
            <rFont val="Calibri"/>
            <family val="2"/>
            <scheme val="minor"/>
          </rPr>
          <t>Introducir un texto con el nombre o referencia de la contratación</t>
        </r>
      </text>
    </comment>
    <comment ref="B2555" authorId="1" shapeId="0" xr:uid="{00000000-0006-0000-0100-000094090000}">
      <text>
        <r>
          <rPr>
            <sz val="11"/>
            <color theme="1"/>
            <rFont val="Calibri"/>
            <family val="2"/>
            <scheme val="minor"/>
          </rPr>
          <t>Introduzca un texto con la finalidad de la contratación</t>
        </r>
      </text>
    </comment>
    <comment ref="C2555" authorId="1" shapeId="0" xr:uid="{00000000-0006-0000-0100-000095090000}">
      <text>
        <r>
          <rPr>
            <sz val="11"/>
            <color theme="1"/>
            <rFont val="Calibri"/>
            <family val="2"/>
            <scheme val="minor"/>
          </rPr>
          <t>Seleccionar un valor del listado</t>
        </r>
      </text>
    </comment>
    <comment ref="D2555" authorId="1" shapeId="0" xr:uid="{00000000-0006-0000-0100-000096090000}">
      <text>
        <r>
          <rPr>
            <sz val="11"/>
            <color theme="1"/>
            <rFont val="Calibri"/>
            <family val="2"/>
            <scheme val="minor"/>
          </rPr>
          <t>Seleccione el tipo de procedimiento</t>
        </r>
      </text>
    </comment>
    <comment ref="E2555" authorId="1" shapeId="0" xr:uid="{00000000-0006-0000-0100-000097090000}">
      <text>
        <r>
          <rPr>
            <sz val="11"/>
            <color theme="1"/>
            <rFont val="Calibri"/>
            <family val="2"/>
            <scheme val="minor"/>
          </rPr>
          <t>Seleccione un valor de la lista</t>
        </r>
      </text>
    </comment>
    <comment ref="F2555" authorId="1" shapeId="0" xr:uid="{00000000-0006-0000-0100-000098090000}">
      <text>
        <r>
          <rPr>
            <sz val="11"/>
            <color theme="1"/>
            <rFont val="Calibri"/>
            <family val="2"/>
            <scheme val="minor"/>
          </rPr>
          <t>Introduzca el código SNIP</t>
        </r>
      </text>
    </comment>
    <comment ref="C2556" authorId="1" shapeId="0" xr:uid="{00000000-0006-0000-0100-000099090000}">
      <text>
        <r>
          <rPr>
            <sz val="11"/>
            <color theme="1"/>
            <rFont val="Calibri"/>
            <family val="2"/>
            <scheme val="minor"/>
          </rPr>
          <t>Introduzca la fecha de inicio del proceso, en formato dd-mm-aaaa</t>
        </r>
      </text>
    </comment>
    <comment ref="F2556" authorId="1" shapeId="0" xr:uid="{00000000-0006-0000-0100-00009B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57" authorId="1" shapeId="0" xr:uid="{00000000-0006-0000-0100-00009C090000}">
      <text/>
    </comment>
    <comment ref="C2558" authorId="1" shapeId="0" xr:uid="{00000000-0006-0000-0100-00009A090000}">
      <text>
        <r>
          <rPr>
            <sz val="11"/>
            <color theme="1"/>
            <rFont val="Calibri"/>
            <family val="2"/>
            <scheme val="minor"/>
          </rPr>
          <t>Introduzca la fecha prevista de adjudicación, en formato dd-mm-aaaa</t>
        </r>
      </text>
    </comment>
    <comment ref="F2558" authorId="1" shapeId="0" xr:uid="{00000000-0006-0000-0100-00009D090000}">
      <text/>
    </comment>
    <comment ref="F2559" authorId="1" shapeId="0" xr:uid="{00000000-0006-0000-0100-00009E090000}">
      <text/>
    </comment>
    <comment ref="A2561" authorId="1" shapeId="0" xr:uid="{00000000-0006-0000-0100-00009F090000}">
      <text>
        <r>
          <rPr>
            <sz val="11"/>
            <color theme="1"/>
            <rFont val="Calibri"/>
            <family val="2"/>
            <scheme val="minor"/>
          </rPr>
          <t>Introduzca un codigo UNSPSC</t>
        </r>
      </text>
    </comment>
    <comment ref="B2561" authorId="1" shapeId="0" xr:uid="{00000000-0006-0000-0100-0000A0090000}">
      <text>
        <r>
          <rPr>
            <sz val="11"/>
            <color theme="1"/>
            <rFont val="Calibri"/>
            <family val="2"/>
            <scheme val="minor"/>
          </rPr>
          <t>Descripción calculada automáticamente a partir de código del artículo</t>
        </r>
      </text>
    </comment>
    <comment ref="C2561" authorId="1" shapeId="0" xr:uid="{00000000-0006-0000-0100-0000A1090000}">
      <text>
        <r>
          <rPr>
            <sz val="11"/>
            <color theme="1"/>
            <rFont val="Calibri"/>
            <family val="2"/>
            <scheme val="minor"/>
          </rPr>
          <t>Seleccione un valor de la lista</t>
        </r>
      </text>
    </comment>
    <comment ref="D2561" authorId="1" shapeId="0" xr:uid="{00000000-0006-0000-0100-0000A2090000}">
      <text>
        <r>
          <rPr>
            <sz val="11"/>
            <color theme="1"/>
            <rFont val="Calibri"/>
            <family val="2"/>
            <scheme val="minor"/>
          </rPr>
          <t>Introduzca un número con dos decimales como máximo. Debe ser igual o mayor a la "Cantidad Real Consumida"</t>
        </r>
      </text>
    </comment>
    <comment ref="E2561" authorId="1" shapeId="0" xr:uid="{00000000-0006-0000-0100-0000A3090000}">
      <text>
        <r>
          <rPr>
            <sz val="11"/>
            <color theme="1"/>
            <rFont val="Calibri"/>
            <family val="2"/>
            <scheme val="minor"/>
          </rPr>
          <t>Introduzca un número con dos decimales como máximo</t>
        </r>
      </text>
    </comment>
    <comment ref="F2561" authorId="1" shapeId="0" xr:uid="{00000000-0006-0000-0100-0000A4090000}">
      <text>
        <r>
          <rPr>
            <sz val="11"/>
            <color theme="1"/>
            <rFont val="Calibri"/>
            <family val="2"/>
            <scheme val="minor"/>
          </rPr>
          <t>Monto calculado automáticamente por el sistema</t>
        </r>
      </text>
    </comment>
    <comment ref="A2568" authorId="1" shapeId="0" xr:uid="{00000000-0006-0000-0100-0000A5090000}">
      <text>
        <r>
          <rPr>
            <sz val="11"/>
            <color theme="1"/>
            <rFont val="Calibri"/>
            <family val="2"/>
            <scheme val="minor"/>
          </rPr>
          <t>Introducir un texto con el nombre o referencia de la contratación</t>
        </r>
      </text>
    </comment>
    <comment ref="B2568" authorId="1" shapeId="0" xr:uid="{00000000-0006-0000-0100-0000A6090000}">
      <text>
        <r>
          <rPr>
            <sz val="11"/>
            <color theme="1"/>
            <rFont val="Calibri"/>
            <family val="2"/>
            <scheme val="minor"/>
          </rPr>
          <t>Introduzca un texto con la finalidad de la contratación</t>
        </r>
      </text>
    </comment>
    <comment ref="C2568" authorId="1" shapeId="0" xr:uid="{00000000-0006-0000-0100-0000A7090000}">
      <text>
        <r>
          <rPr>
            <sz val="11"/>
            <color theme="1"/>
            <rFont val="Calibri"/>
            <family val="2"/>
            <scheme val="minor"/>
          </rPr>
          <t>Seleccionar un valor del listado</t>
        </r>
      </text>
    </comment>
    <comment ref="D2568" authorId="1" shapeId="0" xr:uid="{00000000-0006-0000-0100-0000A8090000}">
      <text>
        <r>
          <rPr>
            <sz val="11"/>
            <color theme="1"/>
            <rFont val="Calibri"/>
            <family val="2"/>
            <scheme val="minor"/>
          </rPr>
          <t>Seleccione el tipo de procedimiento</t>
        </r>
      </text>
    </comment>
    <comment ref="E2568" authorId="1" shapeId="0" xr:uid="{00000000-0006-0000-0100-0000A9090000}">
      <text>
        <r>
          <rPr>
            <sz val="11"/>
            <color theme="1"/>
            <rFont val="Calibri"/>
            <family val="2"/>
            <scheme val="minor"/>
          </rPr>
          <t>Seleccione un valor de la lista</t>
        </r>
      </text>
    </comment>
    <comment ref="F2568" authorId="1" shapeId="0" xr:uid="{00000000-0006-0000-0100-0000AA090000}">
      <text>
        <r>
          <rPr>
            <sz val="11"/>
            <color theme="1"/>
            <rFont val="Calibri"/>
            <family val="2"/>
            <scheme val="minor"/>
          </rPr>
          <t>Introduzca el código SNIP</t>
        </r>
      </text>
    </comment>
    <comment ref="C2569" authorId="1" shapeId="0" xr:uid="{00000000-0006-0000-0100-0000AB090000}">
      <text>
        <r>
          <rPr>
            <sz val="11"/>
            <color theme="1"/>
            <rFont val="Calibri"/>
            <family val="2"/>
            <scheme val="minor"/>
          </rPr>
          <t>Introduzca la fecha de inicio del proceso, en formato dd-mm-aaaa</t>
        </r>
      </text>
    </comment>
    <comment ref="F2569" authorId="1" shapeId="0" xr:uid="{00000000-0006-0000-0100-0000AD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70" authorId="1" shapeId="0" xr:uid="{00000000-0006-0000-0100-0000AE090000}">
      <text/>
    </comment>
    <comment ref="C2571" authorId="1" shapeId="0" xr:uid="{00000000-0006-0000-0100-0000AC090000}">
      <text>
        <r>
          <rPr>
            <sz val="11"/>
            <color theme="1"/>
            <rFont val="Calibri"/>
            <family val="2"/>
            <scheme val="minor"/>
          </rPr>
          <t>Introduzca la fecha prevista de adjudicación, en formato dd-mm-aaaa</t>
        </r>
      </text>
    </comment>
    <comment ref="F2571" authorId="1" shapeId="0" xr:uid="{00000000-0006-0000-0100-0000AF090000}">
      <text/>
    </comment>
    <comment ref="F2572" authorId="1" shapeId="0" xr:uid="{00000000-0006-0000-0100-0000B0090000}">
      <text/>
    </comment>
    <comment ref="A2574" authorId="1" shapeId="0" xr:uid="{00000000-0006-0000-0100-0000B1090000}">
      <text>
        <r>
          <rPr>
            <sz val="11"/>
            <color theme="1"/>
            <rFont val="Calibri"/>
            <family val="2"/>
            <scheme val="minor"/>
          </rPr>
          <t>Introduzca un codigo UNSPSC</t>
        </r>
      </text>
    </comment>
    <comment ref="B2574" authorId="1" shapeId="0" xr:uid="{00000000-0006-0000-0100-0000B2090000}">
      <text>
        <r>
          <rPr>
            <sz val="11"/>
            <color theme="1"/>
            <rFont val="Calibri"/>
            <family val="2"/>
            <scheme val="minor"/>
          </rPr>
          <t>Descripción calculada automáticamente a partir de código del artículo</t>
        </r>
      </text>
    </comment>
    <comment ref="C2574" authorId="1" shapeId="0" xr:uid="{00000000-0006-0000-0100-0000B3090000}">
      <text>
        <r>
          <rPr>
            <sz val="11"/>
            <color theme="1"/>
            <rFont val="Calibri"/>
            <family val="2"/>
            <scheme val="minor"/>
          </rPr>
          <t>Seleccione un valor de la lista</t>
        </r>
      </text>
    </comment>
    <comment ref="D2574" authorId="1" shapeId="0" xr:uid="{00000000-0006-0000-0100-0000B4090000}">
      <text>
        <r>
          <rPr>
            <sz val="11"/>
            <color theme="1"/>
            <rFont val="Calibri"/>
            <family val="2"/>
            <scheme val="minor"/>
          </rPr>
          <t>Introduzca un número con dos decimales como máximo. Debe ser igual o mayor a la "Cantidad Real Consumida"</t>
        </r>
      </text>
    </comment>
    <comment ref="E2574" authorId="1" shapeId="0" xr:uid="{00000000-0006-0000-0100-0000B5090000}">
      <text>
        <r>
          <rPr>
            <sz val="11"/>
            <color theme="1"/>
            <rFont val="Calibri"/>
            <family val="2"/>
            <scheme val="minor"/>
          </rPr>
          <t>Introduzca un número con dos decimales como máximo</t>
        </r>
      </text>
    </comment>
    <comment ref="F2574" authorId="1" shapeId="0" xr:uid="{00000000-0006-0000-0100-0000B6090000}">
      <text>
        <r>
          <rPr>
            <sz val="11"/>
            <color theme="1"/>
            <rFont val="Calibri"/>
            <family val="2"/>
            <scheme val="minor"/>
          </rPr>
          <t>Monto calculado automáticamente por el sistema</t>
        </r>
      </text>
    </comment>
    <comment ref="A2579" authorId="1" shapeId="0" xr:uid="{00000000-0006-0000-0100-0000B7090000}">
      <text>
        <r>
          <rPr>
            <sz val="11"/>
            <color theme="1"/>
            <rFont val="Calibri"/>
            <family val="2"/>
            <scheme val="minor"/>
          </rPr>
          <t>Introducir un texto con el nombre o referencia de la contratación</t>
        </r>
      </text>
    </comment>
    <comment ref="B2579" authorId="1" shapeId="0" xr:uid="{00000000-0006-0000-0100-0000B8090000}">
      <text>
        <r>
          <rPr>
            <sz val="11"/>
            <color theme="1"/>
            <rFont val="Calibri"/>
            <family val="2"/>
            <scheme val="minor"/>
          </rPr>
          <t>Introduzca un texto con la finalidad de la contratación</t>
        </r>
      </text>
    </comment>
    <comment ref="C2579" authorId="1" shapeId="0" xr:uid="{00000000-0006-0000-0100-0000B9090000}">
      <text>
        <r>
          <rPr>
            <sz val="11"/>
            <color theme="1"/>
            <rFont val="Calibri"/>
            <family val="2"/>
            <scheme val="minor"/>
          </rPr>
          <t>Seleccionar un valor del listado</t>
        </r>
      </text>
    </comment>
    <comment ref="D2579" authorId="1" shapeId="0" xr:uid="{00000000-0006-0000-0100-0000BA090000}">
      <text>
        <r>
          <rPr>
            <sz val="11"/>
            <color theme="1"/>
            <rFont val="Calibri"/>
            <family val="2"/>
            <scheme val="minor"/>
          </rPr>
          <t>Seleccione el tipo de procedimiento</t>
        </r>
      </text>
    </comment>
    <comment ref="E2579" authorId="1" shapeId="0" xr:uid="{00000000-0006-0000-0100-0000BB090000}">
      <text>
        <r>
          <rPr>
            <sz val="11"/>
            <color theme="1"/>
            <rFont val="Calibri"/>
            <family val="2"/>
            <scheme val="minor"/>
          </rPr>
          <t>Seleccione un valor de la lista</t>
        </r>
      </text>
    </comment>
    <comment ref="F2579" authorId="1" shapeId="0" xr:uid="{00000000-0006-0000-0100-0000BC090000}">
      <text>
        <r>
          <rPr>
            <sz val="11"/>
            <color theme="1"/>
            <rFont val="Calibri"/>
            <family val="2"/>
            <scheme val="minor"/>
          </rPr>
          <t>Introduzca el código SNIP</t>
        </r>
      </text>
    </comment>
    <comment ref="C2580" authorId="1" shapeId="0" xr:uid="{00000000-0006-0000-0100-0000BD090000}">
      <text>
        <r>
          <rPr>
            <sz val="11"/>
            <color theme="1"/>
            <rFont val="Calibri"/>
            <family val="2"/>
            <scheme val="minor"/>
          </rPr>
          <t>Introduzca la fecha de inicio del proceso, en formato dd-mm-aaaa</t>
        </r>
      </text>
    </comment>
    <comment ref="F2580" authorId="1" shapeId="0" xr:uid="{00000000-0006-0000-0100-0000BF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81" authorId="1" shapeId="0" xr:uid="{00000000-0006-0000-0100-0000C0090000}">
      <text/>
    </comment>
    <comment ref="C2582" authorId="1" shapeId="0" xr:uid="{00000000-0006-0000-0100-0000BE090000}">
      <text>
        <r>
          <rPr>
            <sz val="11"/>
            <color theme="1"/>
            <rFont val="Calibri"/>
            <family val="2"/>
            <scheme val="minor"/>
          </rPr>
          <t>Introduzca la fecha prevista de adjudicación, en formato dd-mm-aaaa</t>
        </r>
      </text>
    </comment>
    <comment ref="F2582" authorId="1" shapeId="0" xr:uid="{00000000-0006-0000-0100-0000C1090000}">
      <text/>
    </comment>
    <comment ref="F2583" authorId="1" shapeId="0" xr:uid="{00000000-0006-0000-0100-0000C2090000}">
      <text/>
    </comment>
    <comment ref="A2585" authorId="1" shapeId="0" xr:uid="{00000000-0006-0000-0100-0000C3090000}">
      <text>
        <r>
          <rPr>
            <sz val="11"/>
            <color theme="1"/>
            <rFont val="Calibri"/>
            <family val="2"/>
            <scheme val="minor"/>
          </rPr>
          <t>Introduzca un codigo UNSPSC</t>
        </r>
      </text>
    </comment>
    <comment ref="B2585" authorId="1" shapeId="0" xr:uid="{00000000-0006-0000-0100-0000C4090000}">
      <text>
        <r>
          <rPr>
            <sz val="11"/>
            <color theme="1"/>
            <rFont val="Calibri"/>
            <family val="2"/>
            <scheme val="minor"/>
          </rPr>
          <t>Descripción calculada automáticamente a partir de código del artículo</t>
        </r>
      </text>
    </comment>
    <comment ref="C2585" authorId="1" shapeId="0" xr:uid="{00000000-0006-0000-0100-0000C5090000}">
      <text>
        <r>
          <rPr>
            <sz val="11"/>
            <color theme="1"/>
            <rFont val="Calibri"/>
            <family val="2"/>
            <scheme val="minor"/>
          </rPr>
          <t>Seleccione un valor de la lista</t>
        </r>
      </text>
    </comment>
    <comment ref="D2585" authorId="1" shapeId="0" xr:uid="{00000000-0006-0000-0100-0000C6090000}">
      <text>
        <r>
          <rPr>
            <sz val="11"/>
            <color theme="1"/>
            <rFont val="Calibri"/>
            <family val="2"/>
            <scheme val="minor"/>
          </rPr>
          <t>Introduzca un número con dos decimales como máximo. Debe ser igual o mayor a la "Cantidad Real Consumida"</t>
        </r>
      </text>
    </comment>
    <comment ref="E2585" authorId="1" shapeId="0" xr:uid="{00000000-0006-0000-0100-0000C7090000}">
      <text>
        <r>
          <rPr>
            <sz val="11"/>
            <color theme="1"/>
            <rFont val="Calibri"/>
            <family val="2"/>
            <scheme val="minor"/>
          </rPr>
          <t>Introduzca un número con dos decimales como máximo</t>
        </r>
      </text>
    </comment>
    <comment ref="F2585" authorId="1" shapeId="0" xr:uid="{00000000-0006-0000-0100-0000C8090000}">
      <text>
        <r>
          <rPr>
            <sz val="11"/>
            <color theme="1"/>
            <rFont val="Calibri"/>
            <family val="2"/>
            <scheme val="minor"/>
          </rPr>
          <t>Monto calculado automáticamente por el sistema</t>
        </r>
      </text>
    </comment>
    <comment ref="A2591" authorId="1" shapeId="0" xr:uid="{00000000-0006-0000-0100-0000C9090000}">
      <text>
        <r>
          <rPr>
            <sz val="11"/>
            <color theme="1"/>
            <rFont val="Calibri"/>
            <family val="2"/>
            <scheme val="minor"/>
          </rPr>
          <t>Introducir un texto con el nombre o referencia de la contratación</t>
        </r>
      </text>
    </comment>
    <comment ref="B2591" authorId="1" shapeId="0" xr:uid="{00000000-0006-0000-0100-0000CA090000}">
      <text>
        <r>
          <rPr>
            <sz val="11"/>
            <color theme="1"/>
            <rFont val="Calibri"/>
            <family val="2"/>
            <scheme val="minor"/>
          </rPr>
          <t>Introduzca un texto con la finalidad de la contratación</t>
        </r>
      </text>
    </comment>
    <comment ref="C2591" authorId="1" shapeId="0" xr:uid="{00000000-0006-0000-0100-0000CB090000}">
      <text>
        <r>
          <rPr>
            <sz val="11"/>
            <color theme="1"/>
            <rFont val="Calibri"/>
            <family val="2"/>
            <scheme val="minor"/>
          </rPr>
          <t>Seleccionar un valor del listado</t>
        </r>
      </text>
    </comment>
    <comment ref="D2591" authorId="1" shapeId="0" xr:uid="{00000000-0006-0000-0100-0000CC090000}">
      <text>
        <r>
          <rPr>
            <sz val="11"/>
            <color theme="1"/>
            <rFont val="Calibri"/>
            <family val="2"/>
            <scheme val="minor"/>
          </rPr>
          <t>Seleccione el tipo de procedimiento</t>
        </r>
      </text>
    </comment>
    <comment ref="E2591" authorId="1" shapeId="0" xr:uid="{00000000-0006-0000-0100-0000CD090000}">
      <text>
        <r>
          <rPr>
            <sz val="11"/>
            <color theme="1"/>
            <rFont val="Calibri"/>
            <family val="2"/>
            <scheme val="minor"/>
          </rPr>
          <t>Seleccione un valor de la lista</t>
        </r>
      </text>
    </comment>
    <comment ref="F2591" authorId="1" shapeId="0" xr:uid="{00000000-0006-0000-0100-0000CE090000}">
      <text>
        <r>
          <rPr>
            <sz val="11"/>
            <color theme="1"/>
            <rFont val="Calibri"/>
            <family val="2"/>
            <scheme val="minor"/>
          </rPr>
          <t>Introduzca el código SNIP</t>
        </r>
      </text>
    </comment>
    <comment ref="C2592" authorId="1" shapeId="0" xr:uid="{00000000-0006-0000-0100-0000CF090000}">
      <text>
        <r>
          <rPr>
            <sz val="11"/>
            <color theme="1"/>
            <rFont val="Calibri"/>
            <family val="2"/>
            <scheme val="minor"/>
          </rPr>
          <t>Introduzca la fecha de inicio del proceso, en formato dd-mm-aaaa</t>
        </r>
      </text>
    </comment>
    <comment ref="F2592" authorId="1" shapeId="0" xr:uid="{00000000-0006-0000-0100-0000D1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93" authorId="1" shapeId="0" xr:uid="{00000000-0006-0000-0100-0000D2090000}">
      <text/>
    </comment>
    <comment ref="C2594" authorId="1" shapeId="0" xr:uid="{00000000-0006-0000-0100-0000D0090000}">
      <text>
        <r>
          <rPr>
            <sz val="11"/>
            <color theme="1"/>
            <rFont val="Calibri"/>
            <family val="2"/>
            <scheme val="minor"/>
          </rPr>
          <t>Introduzca la fecha prevista de adjudicación, en formato dd-mm-aaaa</t>
        </r>
      </text>
    </comment>
    <comment ref="F2594" authorId="1" shapeId="0" xr:uid="{00000000-0006-0000-0100-0000D3090000}">
      <text/>
    </comment>
    <comment ref="F2595" authorId="1" shapeId="0" xr:uid="{00000000-0006-0000-0100-0000D4090000}">
      <text/>
    </comment>
    <comment ref="A2597" authorId="1" shapeId="0" xr:uid="{00000000-0006-0000-0100-0000D5090000}">
      <text>
        <r>
          <rPr>
            <sz val="11"/>
            <color theme="1"/>
            <rFont val="Calibri"/>
            <family val="2"/>
            <scheme val="minor"/>
          </rPr>
          <t>Introduzca un codigo UNSPSC</t>
        </r>
      </text>
    </comment>
    <comment ref="B2597" authorId="1" shapeId="0" xr:uid="{00000000-0006-0000-0100-0000D6090000}">
      <text>
        <r>
          <rPr>
            <sz val="11"/>
            <color theme="1"/>
            <rFont val="Calibri"/>
            <family val="2"/>
            <scheme val="minor"/>
          </rPr>
          <t>Descripción calculada automáticamente a partir de código del artículo</t>
        </r>
      </text>
    </comment>
    <comment ref="C2597" authorId="1" shapeId="0" xr:uid="{00000000-0006-0000-0100-0000D7090000}">
      <text>
        <r>
          <rPr>
            <sz val="11"/>
            <color theme="1"/>
            <rFont val="Calibri"/>
            <family val="2"/>
            <scheme val="minor"/>
          </rPr>
          <t>Seleccione un valor de la lista</t>
        </r>
      </text>
    </comment>
    <comment ref="D2597" authorId="1" shapeId="0" xr:uid="{00000000-0006-0000-0100-0000D8090000}">
      <text>
        <r>
          <rPr>
            <sz val="11"/>
            <color theme="1"/>
            <rFont val="Calibri"/>
            <family val="2"/>
            <scheme val="minor"/>
          </rPr>
          <t>Introduzca un número con dos decimales como máximo. Debe ser igual o mayor a la "Cantidad Real Consumida"</t>
        </r>
      </text>
    </comment>
    <comment ref="E2597" authorId="1" shapeId="0" xr:uid="{00000000-0006-0000-0100-0000D9090000}">
      <text>
        <r>
          <rPr>
            <sz val="11"/>
            <color theme="1"/>
            <rFont val="Calibri"/>
            <family val="2"/>
            <scheme val="minor"/>
          </rPr>
          <t>Introduzca un número con dos decimales como máximo</t>
        </r>
      </text>
    </comment>
    <comment ref="F2597" authorId="1" shapeId="0" xr:uid="{00000000-0006-0000-0100-0000DA090000}">
      <text>
        <r>
          <rPr>
            <sz val="11"/>
            <color theme="1"/>
            <rFont val="Calibri"/>
            <family val="2"/>
            <scheme val="minor"/>
          </rPr>
          <t>Monto calculado automáticamente por el sistema</t>
        </r>
      </text>
    </comment>
    <comment ref="A2611" authorId="1" shapeId="0" xr:uid="{00000000-0006-0000-0100-0000DB090000}">
      <text>
        <r>
          <rPr>
            <sz val="11"/>
            <color theme="1"/>
            <rFont val="Calibri"/>
            <family val="2"/>
            <scheme val="minor"/>
          </rPr>
          <t>Introducir un texto con el nombre o referencia de la contratación</t>
        </r>
      </text>
    </comment>
    <comment ref="B2611" authorId="1" shapeId="0" xr:uid="{00000000-0006-0000-0100-0000DC090000}">
      <text>
        <r>
          <rPr>
            <sz val="11"/>
            <color theme="1"/>
            <rFont val="Calibri"/>
            <family val="2"/>
            <scheme val="minor"/>
          </rPr>
          <t>Introduzca un texto con la finalidad de la contratación</t>
        </r>
      </text>
    </comment>
    <comment ref="C2611" authorId="1" shapeId="0" xr:uid="{00000000-0006-0000-0100-0000DD090000}">
      <text>
        <r>
          <rPr>
            <sz val="11"/>
            <color theme="1"/>
            <rFont val="Calibri"/>
            <family val="2"/>
            <scheme val="minor"/>
          </rPr>
          <t>Seleccionar un valor del listado</t>
        </r>
      </text>
    </comment>
    <comment ref="D2611" authorId="1" shapeId="0" xr:uid="{00000000-0006-0000-0100-0000DE090000}">
      <text>
        <r>
          <rPr>
            <sz val="11"/>
            <color theme="1"/>
            <rFont val="Calibri"/>
            <family val="2"/>
            <scheme val="minor"/>
          </rPr>
          <t>Seleccione el tipo de procedimiento</t>
        </r>
      </text>
    </comment>
    <comment ref="E2611" authorId="1" shapeId="0" xr:uid="{00000000-0006-0000-0100-0000DF090000}">
      <text>
        <r>
          <rPr>
            <sz val="11"/>
            <color theme="1"/>
            <rFont val="Calibri"/>
            <family val="2"/>
            <scheme val="minor"/>
          </rPr>
          <t>Seleccione un valor de la lista</t>
        </r>
      </text>
    </comment>
    <comment ref="F2611" authorId="1" shapeId="0" xr:uid="{00000000-0006-0000-0100-0000E0090000}">
      <text>
        <r>
          <rPr>
            <sz val="11"/>
            <color theme="1"/>
            <rFont val="Calibri"/>
            <family val="2"/>
            <scheme val="minor"/>
          </rPr>
          <t>Introduzca el código SNIP</t>
        </r>
      </text>
    </comment>
    <comment ref="C2612" authorId="1" shapeId="0" xr:uid="{00000000-0006-0000-0100-0000E1090000}">
      <text>
        <r>
          <rPr>
            <sz val="11"/>
            <color theme="1"/>
            <rFont val="Calibri"/>
            <family val="2"/>
            <scheme val="minor"/>
          </rPr>
          <t>Introduzca la fecha de inicio del proceso, en formato dd-mm-aaaa</t>
        </r>
      </text>
    </comment>
    <comment ref="F2612" authorId="1" shapeId="0" xr:uid="{00000000-0006-0000-0100-0000E3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13" authorId="1" shapeId="0" xr:uid="{00000000-0006-0000-0100-0000E4090000}">
      <text/>
    </comment>
    <comment ref="C2614" authorId="1" shapeId="0" xr:uid="{00000000-0006-0000-0100-0000E2090000}">
      <text>
        <r>
          <rPr>
            <sz val="11"/>
            <color theme="1"/>
            <rFont val="Calibri"/>
            <family val="2"/>
            <scheme val="minor"/>
          </rPr>
          <t>Introduzca la fecha prevista de adjudicación, en formato dd-mm-aaaa</t>
        </r>
      </text>
    </comment>
    <comment ref="F2614" authorId="1" shapeId="0" xr:uid="{00000000-0006-0000-0100-0000E5090000}">
      <text/>
    </comment>
    <comment ref="F2615" authorId="1" shapeId="0" xr:uid="{00000000-0006-0000-0100-0000E6090000}">
      <text/>
    </comment>
    <comment ref="A2617" authorId="1" shapeId="0" xr:uid="{00000000-0006-0000-0100-0000E7090000}">
      <text>
        <r>
          <rPr>
            <sz val="11"/>
            <color theme="1"/>
            <rFont val="Calibri"/>
            <family val="2"/>
            <scheme val="minor"/>
          </rPr>
          <t>Introduzca un codigo UNSPSC</t>
        </r>
      </text>
    </comment>
    <comment ref="B2617" authorId="1" shapeId="0" xr:uid="{00000000-0006-0000-0100-0000E8090000}">
      <text>
        <r>
          <rPr>
            <sz val="11"/>
            <color theme="1"/>
            <rFont val="Calibri"/>
            <family val="2"/>
            <scheme val="minor"/>
          </rPr>
          <t>Descripción calculada automáticamente a partir de código del artículo</t>
        </r>
      </text>
    </comment>
    <comment ref="C2617" authorId="1" shapeId="0" xr:uid="{00000000-0006-0000-0100-0000E9090000}">
      <text>
        <r>
          <rPr>
            <sz val="11"/>
            <color theme="1"/>
            <rFont val="Calibri"/>
            <family val="2"/>
            <scheme val="minor"/>
          </rPr>
          <t>Seleccione un valor de la lista</t>
        </r>
      </text>
    </comment>
    <comment ref="D2617" authorId="1" shapeId="0" xr:uid="{00000000-0006-0000-0100-0000EA090000}">
      <text>
        <r>
          <rPr>
            <sz val="11"/>
            <color theme="1"/>
            <rFont val="Calibri"/>
            <family val="2"/>
            <scheme val="minor"/>
          </rPr>
          <t>Introduzca un número con dos decimales como máximo. Debe ser igual o mayor a la "Cantidad Real Consumida"</t>
        </r>
      </text>
    </comment>
    <comment ref="E2617" authorId="1" shapeId="0" xr:uid="{00000000-0006-0000-0100-0000EB090000}">
      <text>
        <r>
          <rPr>
            <sz val="11"/>
            <color theme="1"/>
            <rFont val="Calibri"/>
            <family val="2"/>
            <scheme val="minor"/>
          </rPr>
          <t>Introduzca un número con dos decimales como máximo</t>
        </r>
      </text>
    </comment>
    <comment ref="F2617" authorId="1" shapeId="0" xr:uid="{00000000-0006-0000-0100-0000EC090000}">
      <text>
        <r>
          <rPr>
            <sz val="11"/>
            <color theme="1"/>
            <rFont val="Calibri"/>
            <family val="2"/>
            <scheme val="minor"/>
          </rPr>
          <t>Monto calculado automáticamente por el sistema</t>
        </r>
      </text>
    </comment>
    <comment ref="A2693" authorId="1" shapeId="0" xr:uid="{00000000-0006-0000-0100-0000ED090000}">
      <text>
        <r>
          <rPr>
            <sz val="11"/>
            <color theme="1"/>
            <rFont val="Calibri"/>
            <family val="2"/>
            <scheme val="minor"/>
          </rPr>
          <t>Introducir un texto con el nombre o referencia de la contratación</t>
        </r>
      </text>
    </comment>
    <comment ref="B2693" authorId="1" shapeId="0" xr:uid="{00000000-0006-0000-0100-0000EE090000}">
      <text>
        <r>
          <rPr>
            <sz val="11"/>
            <color theme="1"/>
            <rFont val="Calibri"/>
            <family val="2"/>
            <scheme val="minor"/>
          </rPr>
          <t>Introduzca un texto con la finalidad de la contratación</t>
        </r>
      </text>
    </comment>
    <comment ref="C2693" authorId="1" shapeId="0" xr:uid="{00000000-0006-0000-0100-0000EF090000}">
      <text>
        <r>
          <rPr>
            <sz val="11"/>
            <color theme="1"/>
            <rFont val="Calibri"/>
            <family val="2"/>
            <scheme val="minor"/>
          </rPr>
          <t>Seleccionar un valor del listado</t>
        </r>
      </text>
    </comment>
    <comment ref="D2693" authorId="1" shapeId="0" xr:uid="{00000000-0006-0000-0100-0000F0090000}">
      <text>
        <r>
          <rPr>
            <sz val="11"/>
            <color theme="1"/>
            <rFont val="Calibri"/>
            <family val="2"/>
            <scheme val="minor"/>
          </rPr>
          <t>Seleccione el tipo de procedimiento</t>
        </r>
      </text>
    </comment>
    <comment ref="E2693" authorId="1" shapeId="0" xr:uid="{00000000-0006-0000-0100-0000F1090000}">
      <text>
        <r>
          <rPr>
            <sz val="11"/>
            <color theme="1"/>
            <rFont val="Calibri"/>
            <family val="2"/>
            <scheme val="minor"/>
          </rPr>
          <t>Seleccione un valor de la lista</t>
        </r>
      </text>
    </comment>
    <comment ref="F2693" authorId="1" shapeId="0" xr:uid="{00000000-0006-0000-0100-0000F2090000}">
      <text>
        <r>
          <rPr>
            <sz val="11"/>
            <color theme="1"/>
            <rFont val="Calibri"/>
            <family val="2"/>
            <scheme val="minor"/>
          </rPr>
          <t>Introduzca el código SNIP</t>
        </r>
      </text>
    </comment>
    <comment ref="C2694" authorId="1" shapeId="0" xr:uid="{00000000-0006-0000-0100-0000F3090000}">
      <text>
        <r>
          <rPr>
            <sz val="11"/>
            <color theme="1"/>
            <rFont val="Calibri"/>
            <family val="2"/>
            <scheme val="minor"/>
          </rPr>
          <t>Introduzca la fecha de inicio del proceso, en formato dd-mm-aaaa</t>
        </r>
      </text>
    </comment>
    <comment ref="F2694" authorId="1" shapeId="0" xr:uid="{00000000-0006-0000-0100-0000F5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95" authorId="1" shapeId="0" xr:uid="{00000000-0006-0000-0100-0000F6090000}">
      <text/>
    </comment>
    <comment ref="C2696" authorId="1" shapeId="0" xr:uid="{00000000-0006-0000-0100-0000F4090000}">
      <text>
        <r>
          <rPr>
            <sz val="11"/>
            <color theme="1"/>
            <rFont val="Calibri"/>
            <family val="2"/>
            <scheme val="minor"/>
          </rPr>
          <t>Introduzca la fecha prevista de adjudicación, en formato dd-mm-aaaa</t>
        </r>
      </text>
    </comment>
    <comment ref="F2696" authorId="1" shapeId="0" xr:uid="{00000000-0006-0000-0100-0000F7090000}">
      <text/>
    </comment>
    <comment ref="F2697" authorId="1" shapeId="0" xr:uid="{00000000-0006-0000-0100-0000F8090000}">
      <text/>
    </comment>
    <comment ref="A2699" authorId="1" shapeId="0" xr:uid="{00000000-0006-0000-0100-0000F9090000}">
      <text>
        <r>
          <rPr>
            <sz val="11"/>
            <color theme="1"/>
            <rFont val="Calibri"/>
            <family val="2"/>
            <scheme val="minor"/>
          </rPr>
          <t>Introduzca un codigo UNSPSC</t>
        </r>
      </text>
    </comment>
    <comment ref="B2699" authorId="1" shapeId="0" xr:uid="{00000000-0006-0000-0100-0000FA090000}">
      <text>
        <r>
          <rPr>
            <sz val="11"/>
            <color theme="1"/>
            <rFont val="Calibri"/>
            <family val="2"/>
            <scheme val="minor"/>
          </rPr>
          <t>Descripción calculada automáticamente a partir de código del artículo</t>
        </r>
      </text>
    </comment>
    <comment ref="C2699" authorId="1" shapeId="0" xr:uid="{00000000-0006-0000-0100-0000FB090000}">
      <text>
        <r>
          <rPr>
            <sz val="11"/>
            <color theme="1"/>
            <rFont val="Calibri"/>
            <family val="2"/>
            <scheme val="minor"/>
          </rPr>
          <t>Seleccione un valor de la lista</t>
        </r>
      </text>
    </comment>
    <comment ref="D2699" authorId="1" shapeId="0" xr:uid="{00000000-0006-0000-0100-0000FC090000}">
      <text>
        <r>
          <rPr>
            <sz val="11"/>
            <color theme="1"/>
            <rFont val="Calibri"/>
            <family val="2"/>
            <scheme val="minor"/>
          </rPr>
          <t>Introduzca un número con dos decimales como máximo. Debe ser igual o mayor a la "Cantidad Real Consumida"</t>
        </r>
      </text>
    </comment>
    <comment ref="E2699" authorId="1" shapeId="0" xr:uid="{00000000-0006-0000-0100-0000FD090000}">
      <text>
        <r>
          <rPr>
            <sz val="11"/>
            <color theme="1"/>
            <rFont val="Calibri"/>
            <family val="2"/>
            <scheme val="minor"/>
          </rPr>
          <t>Introduzca un número con dos decimales como máximo</t>
        </r>
      </text>
    </comment>
    <comment ref="F2699" authorId="1" shapeId="0" xr:uid="{00000000-0006-0000-0100-0000FE090000}">
      <text>
        <r>
          <rPr>
            <sz val="11"/>
            <color theme="1"/>
            <rFont val="Calibri"/>
            <family val="2"/>
            <scheme val="minor"/>
          </rPr>
          <t>Monto calculado automáticamente por el sistema</t>
        </r>
      </text>
    </comment>
    <comment ref="A2706" authorId="1" shapeId="0" xr:uid="{00000000-0006-0000-0100-0000FF090000}">
      <text>
        <r>
          <rPr>
            <sz val="11"/>
            <color theme="1"/>
            <rFont val="Calibri"/>
            <family val="2"/>
            <scheme val="minor"/>
          </rPr>
          <t>Introducir un texto con el nombre o referencia de la contratación</t>
        </r>
      </text>
    </comment>
    <comment ref="B2706" authorId="1" shapeId="0" xr:uid="{00000000-0006-0000-0100-0000000A0000}">
      <text>
        <r>
          <rPr>
            <sz val="11"/>
            <color theme="1"/>
            <rFont val="Calibri"/>
            <family val="2"/>
            <scheme val="minor"/>
          </rPr>
          <t>Introduzca un texto con la finalidad de la contratación</t>
        </r>
      </text>
    </comment>
    <comment ref="C2706" authorId="1" shapeId="0" xr:uid="{00000000-0006-0000-0100-0000010A0000}">
      <text>
        <r>
          <rPr>
            <sz val="11"/>
            <color theme="1"/>
            <rFont val="Calibri"/>
            <family val="2"/>
            <scheme val="minor"/>
          </rPr>
          <t>Seleccionar un valor del listado</t>
        </r>
      </text>
    </comment>
    <comment ref="D2706" authorId="1" shapeId="0" xr:uid="{00000000-0006-0000-0100-0000020A0000}">
      <text>
        <r>
          <rPr>
            <sz val="11"/>
            <color theme="1"/>
            <rFont val="Calibri"/>
            <family val="2"/>
            <scheme val="minor"/>
          </rPr>
          <t>Seleccione el tipo de procedimiento</t>
        </r>
      </text>
    </comment>
    <comment ref="E2706" authorId="1" shapeId="0" xr:uid="{00000000-0006-0000-0100-0000030A0000}">
      <text>
        <r>
          <rPr>
            <sz val="11"/>
            <color theme="1"/>
            <rFont val="Calibri"/>
            <family val="2"/>
            <scheme val="minor"/>
          </rPr>
          <t>Seleccione un valor de la lista</t>
        </r>
      </text>
    </comment>
    <comment ref="F2706" authorId="1" shapeId="0" xr:uid="{00000000-0006-0000-0100-0000040A0000}">
      <text>
        <r>
          <rPr>
            <sz val="11"/>
            <color theme="1"/>
            <rFont val="Calibri"/>
            <family val="2"/>
            <scheme val="minor"/>
          </rPr>
          <t>Introduzca el código SNIP</t>
        </r>
      </text>
    </comment>
    <comment ref="C2707" authorId="1" shapeId="0" xr:uid="{00000000-0006-0000-0100-0000050A0000}">
      <text>
        <r>
          <rPr>
            <sz val="11"/>
            <color theme="1"/>
            <rFont val="Calibri"/>
            <family val="2"/>
            <scheme val="minor"/>
          </rPr>
          <t>Introduzca la fecha de inicio del proceso, en formato dd-mm-aaaa</t>
        </r>
      </text>
    </comment>
    <comment ref="F2707" authorId="1" shapeId="0" xr:uid="{00000000-0006-0000-0100-000007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08" authorId="1" shapeId="0" xr:uid="{00000000-0006-0000-0100-0000080A0000}">
      <text/>
    </comment>
    <comment ref="C2709" authorId="1" shapeId="0" xr:uid="{00000000-0006-0000-0100-0000060A0000}">
      <text>
        <r>
          <rPr>
            <sz val="11"/>
            <color theme="1"/>
            <rFont val="Calibri"/>
            <family val="2"/>
            <scheme val="minor"/>
          </rPr>
          <t>Introduzca la fecha prevista de adjudicación, en formato dd-mm-aaaa</t>
        </r>
      </text>
    </comment>
    <comment ref="F2709" authorId="1" shapeId="0" xr:uid="{00000000-0006-0000-0100-0000090A0000}">
      <text/>
    </comment>
    <comment ref="F2710" authorId="1" shapeId="0" xr:uid="{00000000-0006-0000-0100-00000A0A0000}">
      <text/>
    </comment>
    <comment ref="A2712" authorId="1" shapeId="0" xr:uid="{00000000-0006-0000-0100-00000B0A0000}">
      <text>
        <r>
          <rPr>
            <sz val="11"/>
            <color theme="1"/>
            <rFont val="Calibri"/>
            <family val="2"/>
            <scheme val="minor"/>
          </rPr>
          <t>Introduzca un codigo UNSPSC</t>
        </r>
      </text>
    </comment>
    <comment ref="B2712" authorId="1" shapeId="0" xr:uid="{00000000-0006-0000-0100-00000C0A0000}">
      <text>
        <r>
          <rPr>
            <sz val="11"/>
            <color theme="1"/>
            <rFont val="Calibri"/>
            <family val="2"/>
            <scheme val="minor"/>
          </rPr>
          <t>Descripción calculada automáticamente a partir de código del artículo</t>
        </r>
      </text>
    </comment>
    <comment ref="C2712" authorId="1" shapeId="0" xr:uid="{00000000-0006-0000-0100-00000D0A0000}">
      <text>
        <r>
          <rPr>
            <sz val="11"/>
            <color theme="1"/>
            <rFont val="Calibri"/>
            <family val="2"/>
            <scheme val="minor"/>
          </rPr>
          <t>Seleccione un valor de la lista</t>
        </r>
      </text>
    </comment>
    <comment ref="D2712" authorId="1" shapeId="0" xr:uid="{00000000-0006-0000-0100-00000E0A0000}">
      <text>
        <r>
          <rPr>
            <sz val="11"/>
            <color theme="1"/>
            <rFont val="Calibri"/>
            <family val="2"/>
            <scheme val="minor"/>
          </rPr>
          <t>Introduzca un número con dos decimales como máximo. Debe ser igual o mayor a la "Cantidad Real Consumida"</t>
        </r>
      </text>
    </comment>
    <comment ref="E2712" authorId="1" shapeId="0" xr:uid="{00000000-0006-0000-0100-00000F0A0000}">
      <text>
        <r>
          <rPr>
            <sz val="11"/>
            <color theme="1"/>
            <rFont val="Calibri"/>
            <family val="2"/>
            <scheme val="minor"/>
          </rPr>
          <t>Introduzca un número con dos decimales como máximo</t>
        </r>
      </text>
    </comment>
    <comment ref="F2712" authorId="1" shapeId="0" xr:uid="{00000000-0006-0000-0100-0000100A0000}">
      <text>
        <r>
          <rPr>
            <sz val="11"/>
            <color theme="1"/>
            <rFont val="Calibri"/>
            <family val="2"/>
            <scheme val="minor"/>
          </rPr>
          <t>Monto calculado automáticamente por el sistema</t>
        </r>
      </text>
    </comment>
    <comment ref="A2719" authorId="1" shapeId="0" xr:uid="{00000000-0006-0000-0100-0000110A0000}">
      <text>
        <r>
          <rPr>
            <sz val="11"/>
            <color theme="1"/>
            <rFont val="Calibri"/>
            <family val="2"/>
            <scheme val="minor"/>
          </rPr>
          <t>Introducir un texto con el nombre o referencia de la contratación</t>
        </r>
      </text>
    </comment>
    <comment ref="B2719" authorId="1" shapeId="0" xr:uid="{00000000-0006-0000-0100-0000120A0000}">
      <text>
        <r>
          <rPr>
            <sz val="11"/>
            <color theme="1"/>
            <rFont val="Calibri"/>
            <family val="2"/>
            <scheme val="minor"/>
          </rPr>
          <t>Introduzca un texto con la finalidad de la contratación</t>
        </r>
      </text>
    </comment>
    <comment ref="C2719" authorId="1" shapeId="0" xr:uid="{00000000-0006-0000-0100-0000130A0000}">
      <text>
        <r>
          <rPr>
            <sz val="11"/>
            <color theme="1"/>
            <rFont val="Calibri"/>
            <family val="2"/>
            <scheme val="minor"/>
          </rPr>
          <t>Seleccionar un valor del listado</t>
        </r>
      </text>
    </comment>
    <comment ref="D2719" authorId="1" shapeId="0" xr:uid="{00000000-0006-0000-0100-0000140A0000}">
      <text>
        <r>
          <rPr>
            <sz val="11"/>
            <color theme="1"/>
            <rFont val="Calibri"/>
            <family val="2"/>
            <scheme val="minor"/>
          </rPr>
          <t>Seleccione el tipo de procedimiento</t>
        </r>
      </text>
    </comment>
    <comment ref="E2719" authorId="1" shapeId="0" xr:uid="{00000000-0006-0000-0100-0000150A0000}">
      <text>
        <r>
          <rPr>
            <sz val="11"/>
            <color theme="1"/>
            <rFont val="Calibri"/>
            <family val="2"/>
            <scheme val="minor"/>
          </rPr>
          <t>Seleccione un valor de la lista</t>
        </r>
      </text>
    </comment>
    <comment ref="F2719" authorId="1" shapeId="0" xr:uid="{00000000-0006-0000-0100-0000160A0000}">
      <text>
        <r>
          <rPr>
            <sz val="11"/>
            <color theme="1"/>
            <rFont val="Calibri"/>
            <family val="2"/>
            <scheme val="minor"/>
          </rPr>
          <t>Introduzca el código SNIP</t>
        </r>
      </text>
    </comment>
    <comment ref="C2720" authorId="1" shapeId="0" xr:uid="{00000000-0006-0000-0100-0000170A0000}">
      <text>
        <r>
          <rPr>
            <sz val="11"/>
            <color theme="1"/>
            <rFont val="Calibri"/>
            <family val="2"/>
            <scheme val="minor"/>
          </rPr>
          <t>Introduzca la fecha de inicio del proceso, en formato dd-mm-aaaa</t>
        </r>
      </text>
    </comment>
    <comment ref="F2720" authorId="1" shapeId="0" xr:uid="{00000000-0006-0000-0100-000019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21" authorId="1" shapeId="0" xr:uid="{00000000-0006-0000-0100-00001A0A0000}">
      <text/>
    </comment>
    <comment ref="C2722" authorId="1" shapeId="0" xr:uid="{00000000-0006-0000-0100-0000180A0000}">
      <text>
        <r>
          <rPr>
            <sz val="11"/>
            <color theme="1"/>
            <rFont val="Calibri"/>
            <family val="2"/>
            <scheme val="minor"/>
          </rPr>
          <t>Introduzca la fecha prevista de adjudicación, en formato dd-mm-aaaa</t>
        </r>
      </text>
    </comment>
    <comment ref="F2722" authorId="1" shapeId="0" xr:uid="{00000000-0006-0000-0100-00001B0A0000}">
      <text/>
    </comment>
    <comment ref="F2723" authorId="1" shapeId="0" xr:uid="{00000000-0006-0000-0100-00001C0A0000}">
      <text/>
    </comment>
    <comment ref="A2725" authorId="1" shapeId="0" xr:uid="{00000000-0006-0000-0100-00001D0A0000}">
      <text>
        <r>
          <rPr>
            <sz val="11"/>
            <color theme="1"/>
            <rFont val="Calibri"/>
            <family val="2"/>
            <scheme val="minor"/>
          </rPr>
          <t>Introduzca un codigo UNSPSC</t>
        </r>
      </text>
    </comment>
    <comment ref="B2725" authorId="1" shapeId="0" xr:uid="{00000000-0006-0000-0100-00001E0A0000}">
      <text>
        <r>
          <rPr>
            <sz val="11"/>
            <color theme="1"/>
            <rFont val="Calibri"/>
            <family val="2"/>
            <scheme val="minor"/>
          </rPr>
          <t>Descripción calculada automáticamente a partir de código del artículo</t>
        </r>
      </text>
    </comment>
    <comment ref="C2725" authorId="1" shapeId="0" xr:uid="{00000000-0006-0000-0100-00001F0A0000}">
      <text>
        <r>
          <rPr>
            <sz val="11"/>
            <color theme="1"/>
            <rFont val="Calibri"/>
            <family val="2"/>
            <scheme val="minor"/>
          </rPr>
          <t>Seleccione un valor de la lista</t>
        </r>
      </text>
    </comment>
    <comment ref="D2725" authorId="1" shapeId="0" xr:uid="{00000000-0006-0000-0100-0000200A0000}">
      <text>
        <r>
          <rPr>
            <sz val="11"/>
            <color theme="1"/>
            <rFont val="Calibri"/>
            <family val="2"/>
            <scheme val="minor"/>
          </rPr>
          <t>Introduzca un número con dos decimales como máximo. Debe ser igual o mayor a la "Cantidad Real Consumida"</t>
        </r>
      </text>
    </comment>
    <comment ref="E2725" authorId="1" shapeId="0" xr:uid="{00000000-0006-0000-0100-0000210A0000}">
      <text>
        <r>
          <rPr>
            <sz val="11"/>
            <color theme="1"/>
            <rFont val="Calibri"/>
            <family val="2"/>
            <scheme val="minor"/>
          </rPr>
          <t>Introduzca un número con dos decimales como máximo</t>
        </r>
      </text>
    </comment>
    <comment ref="F2725" authorId="1" shapeId="0" xr:uid="{00000000-0006-0000-0100-0000220A0000}">
      <text>
        <r>
          <rPr>
            <sz val="11"/>
            <color theme="1"/>
            <rFont val="Calibri"/>
            <family val="2"/>
            <scheme val="minor"/>
          </rPr>
          <t>Monto calculado automáticamente por el sistema</t>
        </r>
      </text>
    </comment>
    <comment ref="A2730" authorId="1" shapeId="0" xr:uid="{00000000-0006-0000-0100-0000230A0000}">
      <text>
        <r>
          <rPr>
            <sz val="11"/>
            <color theme="1"/>
            <rFont val="Calibri"/>
            <family val="2"/>
            <scheme val="minor"/>
          </rPr>
          <t>Introducir un texto con el nombre o referencia de la contratación</t>
        </r>
      </text>
    </comment>
    <comment ref="B2730" authorId="1" shapeId="0" xr:uid="{00000000-0006-0000-0100-0000240A0000}">
      <text>
        <r>
          <rPr>
            <sz val="11"/>
            <color theme="1"/>
            <rFont val="Calibri"/>
            <family val="2"/>
            <scheme val="minor"/>
          </rPr>
          <t>Introduzca un texto con la finalidad de la contratación</t>
        </r>
      </text>
    </comment>
    <comment ref="C2730" authorId="1" shapeId="0" xr:uid="{00000000-0006-0000-0100-0000250A0000}">
      <text>
        <r>
          <rPr>
            <sz val="11"/>
            <color theme="1"/>
            <rFont val="Calibri"/>
            <family val="2"/>
            <scheme val="minor"/>
          </rPr>
          <t>Seleccionar un valor del listado</t>
        </r>
      </text>
    </comment>
    <comment ref="D2730" authorId="1" shapeId="0" xr:uid="{00000000-0006-0000-0100-0000260A0000}">
      <text>
        <r>
          <rPr>
            <sz val="11"/>
            <color theme="1"/>
            <rFont val="Calibri"/>
            <family val="2"/>
            <scheme val="minor"/>
          </rPr>
          <t>Seleccione el tipo de procedimiento</t>
        </r>
      </text>
    </comment>
    <comment ref="E2730" authorId="1" shapeId="0" xr:uid="{00000000-0006-0000-0100-0000270A0000}">
      <text>
        <r>
          <rPr>
            <sz val="11"/>
            <color theme="1"/>
            <rFont val="Calibri"/>
            <family val="2"/>
            <scheme val="minor"/>
          </rPr>
          <t>Seleccione un valor de la lista</t>
        </r>
      </text>
    </comment>
    <comment ref="F2730" authorId="1" shapeId="0" xr:uid="{00000000-0006-0000-0100-0000280A0000}">
      <text>
        <r>
          <rPr>
            <sz val="11"/>
            <color theme="1"/>
            <rFont val="Calibri"/>
            <family val="2"/>
            <scheme val="minor"/>
          </rPr>
          <t>Introduzca el código SNIP</t>
        </r>
      </text>
    </comment>
    <comment ref="C2731" authorId="1" shapeId="0" xr:uid="{00000000-0006-0000-0100-0000290A0000}">
      <text>
        <r>
          <rPr>
            <sz val="11"/>
            <color theme="1"/>
            <rFont val="Calibri"/>
            <family val="2"/>
            <scheme val="minor"/>
          </rPr>
          <t>Introduzca la fecha de inicio del proceso, en formato dd-mm-aaaa</t>
        </r>
      </text>
    </comment>
    <comment ref="F2731" authorId="1" shapeId="0" xr:uid="{00000000-0006-0000-0100-00002B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32" authorId="1" shapeId="0" xr:uid="{00000000-0006-0000-0100-00002C0A0000}">
      <text/>
    </comment>
    <comment ref="C2733" authorId="1" shapeId="0" xr:uid="{00000000-0006-0000-0100-00002A0A0000}">
      <text>
        <r>
          <rPr>
            <sz val="11"/>
            <color theme="1"/>
            <rFont val="Calibri"/>
            <family val="2"/>
            <scheme val="minor"/>
          </rPr>
          <t>Introduzca la fecha prevista de adjudicación, en formato dd-mm-aaaa</t>
        </r>
      </text>
    </comment>
    <comment ref="F2733" authorId="1" shapeId="0" xr:uid="{00000000-0006-0000-0100-00002D0A0000}">
      <text/>
    </comment>
    <comment ref="F2734" authorId="1" shapeId="0" xr:uid="{00000000-0006-0000-0100-00002E0A0000}">
      <text/>
    </comment>
    <comment ref="A2736" authorId="1" shapeId="0" xr:uid="{00000000-0006-0000-0100-00002F0A0000}">
      <text>
        <r>
          <rPr>
            <sz val="11"/>
            <color theme="1"/>
            <rFont val="Calibri"/>
            <family val="2"/>
            <scheme val="minor"/>
          </rPr>
          <t>Introduzca un codigo UNSPSC</t>
        </r>
      </text>
    </comment>
    <comment ref="B2736" authorId="1" shapeId="0" xr:uid="{00000000-0006-0000-0100-0000300A0000}">
      <text>
        <r>
          <rPr>
            <sz val="11"/>
            <color theme="1"/>
            <rFont val="Calibri"/>
            <family val="2"/>
            <scheme val="minor"/>
          </rPr>
          <t>Descripción calculada automáticamente a partir de código del artículo</t>
        </r>
      </text>
    </comment>
    <comment ref="C2736" authorId="1" shapeId="0" xr:uid="{00000000-0006-0000-0100-0000310A0000}">
      <text>
        <r>
          <rPr>
            <sz val="11"/>
            <color theme="1"/>
            <rFont val="Calibri"/>
            <family val="2"/>
            <scheme val="minor"/>
          </rPr>
          <t>Seleccione un valor de la lista</t>
        </r>
      </text>
    </comment>
    <comment ref="D2736" authorId="1" shapeId="0" xr:uid="{00000000-0006-0000-0100-0000320A0000}">
      <text>
        <r>
          <rPr>
            <sz val="11"/>
            <color theme="1"/>
            <rFont val="Calibri"/>
            <family val="2"/>
            <scheme val="minor"/>
          </rPr>
          <t>Introduzca un número con dos decimales como máximo. Debe ser igual o mayor a la "Cantidad Real Consumida"</t>
        </r>
      </text>
    </comment>
    <comment ref="E2736" authorId="1" shapeId="0" xr:uid="{00000000-0006-0000-0100-0000330A0000}">
      <text>
        <r>
          <rPr>
            <sz val="11"/>
            <color theme="1"/>
            <rFont val="Calibri"/>
            <family val="2"/>
            <scheme val="minor"/>
          </rPr>
          <t>Introduzca un número con dos decimales como máximo</t>
        </r>
      </text>
    </comment>
    <comment ref="F2736" authorId="1" shapeId="0" xr:uid="{00000000-0006-0000-0100-0000340A0000}">
      <text>
        <r>
          <rPr>
            <sz val="11"/>
            <color theme="1"/>
            <rFont val="Calibri"/>
            <family val="2"/>
            <scheme val="minor"/>
          </rPr>
          <t>Monto calculado automáticamente por el sistema</t>
        </r>
      </text>
    </comment>
    <comment ref="A2741" authorId="1" shapeId="0" xr:uid="{00000000-0006-0000-0100-0000350A0000}">
      <text>
        <r>
          <rPr>
            <sz val="11"/>
            <color theme="1"/>
            <rFont val="Calibri"/>
            <family val="2"/>
            <scheme val="minor"/>
          </rPr>
          <t>Introducir un texto con el nombre o referencia de la contratación</t>
        </r>
      </text>
    </comment>
    <comment ref="B2741" authorId="1" shapeId="0" xr:uid="{00000000-0006-0000-0100-0000360A0000}">
      <text>
        <r>
          <rPr>
            <sz val="11"/>
            <color theme="1"/>
            <rFont val="Calibri"/>
            <family val="2"/>
            <scheme val="minor"/>
          </rPr>
          <t>Introduzca un texto con la finalidad de la contratación</t>
        </r>
      </text>
    </comment>
    <comment ref="C2741" authorId="1" shapeId="0" xr:uid="{00000000-0006-0000-0100-0000370A0000}">
      <text>
        <r>
          <rPr>
            <sz val="11"/>
            <color theme="1"/>
            <rFont val="Calibri"/>
            <family val="2"/>
            <scheme val="minor"/>
          </rPr>
          <t>Seleccionar un valor del listado</t>
        </r>
      </text>
    </comment>
    <comment ref="D2741" authorId="1" shapeId="0" xr:uid="{00000000-0006-0000-0100-0000380A0000}">
      <text>
        <r>
          <rPr>
            <sz val="11"/>
            <color theme="1"/>
            <rFont val="Calibri"/>
            <family val="2"/>
            <scheme val="minor"/>
          </rPr>
          <t>Seleccione el tipo de procedimiento</t>
        </r>
      </text>
    </comment>
    <comment ref="E2741" authorId="1" shapeId="0" xr:uid="{00000000-0006-0000-0100-0000390A0000}">
      <text>
        <r>
          <rPr>
            <sz val="11"/>
            <color theme="1"/>
            <rFont val="Calibri"/>
            <family val="2"/>
            <scheme val="minor"/>
          </rPr>
          <t>Seleccione un valor de la lista</t>
        </r>
      </text>
    </comment>
    <comment ref="F2741" authorId="1" shapeId="0" xr:uid="{00000000-0006-0000-0100-00003A0A0000}">
      <text>
        <r>
          <rPr>
            <sz val="11"/>
            <color theme="1"/>
            <rFont val="Calibri"/>
            <family val="2"/>
            <scheme val="minor"/>
          </rPr>
          <t>Introduzca el código SNIP</t>
        </r>
      </text>
    </comment>
    <comment ref="C2742" authorId="1" shapeId="0" xr:uid="{00000000-0006-0000-0100-00003B0A0000}">
      <text>
        <r>
          <rPr>
            <sz val="11"/>
            <color theme="1"/>
            <rFont val="Calibri"/>
            <family val="2"/>
            <scheme val="minor"/>
          </rPr>
          <t>Introduzca la fecha de inicio del proceso, en formato dd-mm-aaaa</t>
        </r>
      </text>
    </comment>
    <comment ref="F2742" authorId="1" shapeId="0" xr:uid="{00000000-0006-0000-0100-00003D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43" authorId="1" shapeId="0" xr:uid="{00000000-0006-0000-0100-00003E0A0000}">
      <text/>
    </comment>
    <comment ref="C2744" authorId="1" shapeId="0" xr:uid="{00000000-0006-0000-0100-00003C0A0000}">
      <text>
        <r>
          <rPr>
            <sz val="11"/>
            <color theme="1"/>
            <rFont val="Calibri"/>
            <family val="2"/>
            <scheme val="minor"/>
          </rPr>
          <t>Introduzca la fecha prevista de adjudicación, en formato dd-mm-aaaa</t>
        </r>
      </text>
    </comment>
    <comment ref="F2744" authorId="1" shapeId="0" xr:uid="{00000000-0006-0000-0100-00003F0A0000}">
      <text/>
    </comment>
    <comment ref="F2745" authorId="1" shapeId="0" xr:uid="{00000000-0006-0000-0100-0000400A0000}">
      <text/>
    </comment>
    <comment ref="A2747" authorId="1" shapeId="0" xr:uid="{00000000-0006-0000-0100-0000410A0000}">
      <text>
        <r>
          <rPr>
            <sz val="11"/>
            <color theme="1"/>
            <rFont val="Calibri"/>
            <family val="2"/>
            <scheme val="minor"/>
          </rPr>
          <t>Introduzca un codigo UNSPSC</t>
        </r>
      </text>
    </comment>
    <comment ref="B2747" authorId="1" shapeId="0" xr:uid="{00000000-0006-0000-0100-0000420A0000}">
      <text>
        <r>
          <rPr>
            <sz val="11"/>
            <color theme="1"/>
            <rFont val="Calibri"/>
            <family val="2"/>
            <scheme val="minor"/>
          </rPr>
          <t>Descripción calculada automáticamente a partir de código del artículo</t>
        </r>
      </text>
    </comment>
    <comment ref="C2747" authorId="1" shapeId="0" xr:uid="{00000000-0006-0000-0100-0000430A0000}">
      <text>
        <r>
          <rPr>
            <sz val="11"/>
            <color theme="1"/>
            <rFont val="Calibri"/>
            <family val="2"/>
            <scheme val="minor"/>
          </rPr>
          <t>Seleccione un valor de la lista</t>
        </r>
      </text>
    </comment>
    <comment ref="D2747" authorId="1" shapeId="0" xr:uid="{00000000-0006-0000-0100-0000440A0000}">
      <text>
        <r>
          <rPr>
            <sz val="11"/>
            <color theme="1"/>
            <rFont val="Calibri"/>
            <family val="2"/>
            <scheme val="minor"/>
          </rPr>
          <t>Introduzca un número con dos decimales como máximo. Debe ser igual o mayor a la "Cantidad Real Consumida"</t>
        </r>
      </text>
    </comment>
    <comment ref="E2747" authorId="1" shapeId="0" xr:uid="{00000000-0006-0000-0100-0000450A0000}">
      <text>
        <r>
          <rPr>
            <sz val="11"/>
            <color theme="1"/>
            <rFont val="Calibri"/>
            <family val="2"/>
            <scheme val="minor"/>
          </rPr>
          <t>Introduzca un número con dos decimales como máximo</t>
        </r>
      </text>
    </comment>
    <comment ref="F2747" authorId="1" shapeId="0" xr:uid="{00000000-0006-0000-0100-0000460A0000}">
      <text>
        <r>
          <rPr>
            <sz val="11"/>
            <color theme="1"/>
            <rFont val="Calibri"/>
            <family val="2"/>
            <scheme val="minor"/>
          </rPr>
          <t>Monto calculado automáticamente por el sistema</t>
        </r>
      </text>
    </comment>
    <comment ref="A2775" authorId="1" shapeId="0" xr:uid="{00000000-0006-0000-0100-0000470A0000}">
      <text>
        <r>
          <rPr>
            <sz val="11"/>
            <color theme="1"/>
            <rFont val="Calibri"/>
            <family val="2"/>
            <scheme val="minor"/>
          </rPr>
          <t>Introducir un texto con el nombre o referencia de la contratación</t>
        </r>
      </text>
    </comment>
    <comment ref="B2775" authorId="1" shapeId="0" xr:uid="{00000000-0006-0000-0100-0000480A0000}">
      <text>
        <r>
          <rPr>
            <sz val="11"/>
            <color theme="1"/>
            <rFont val="Calibri"/>
            <family val="2"/>
            <scheme val="minor"/>
          </rPr>
          <t>Introduzca un texto con la finalidad de la contratación</t>
        </r>
      </text>
    </comment>
    <comment ref="C2775" authorId="1" shapeId="0" xr:uid="{00000000-0006-0000-0100-0000490A0000}">
      <text>
        <r>
          <rPr>
            <sz val="11"/>
            <color theme="1"/>
            <rFont val="Calibri"/>
            <family val="2"/>
            <scheme val="minor"/>
          </rPr>
          <t>Seleccionar un valor del listado</t>
        </r>
      </text>
    </comment>
    <comment ref="D2775" authorId="1" shapeId="0" xr:uid="{00000000-0006-0000-0100-00004A0A0000}">
      <text>
        <r>
          <rPr>
            <sz val="11"/>
            <color theme="1"/>
            <rFont val="Calibri"/>
            <family val="2"/>
            <scheme val="minor"/>
          </rPr>
          <t>Seleccione el tipo de procedimiento</t>
        </r>
      </text>
    </comment>
    <comment ref="E2775" authorId="1" shapeId="0" xr:uid="{00000000-0006-0000-0100-00004B0A0000}">
      <text>
        <r>
          <rPr>
            <sz val="11"/>
            <color theme="1"/>
            <rFont val="Calibri"/>
            <family val="2"/>
            <scheme val="minor"/>
          </rPr>
          <t>Seleccione un valor de la lista</t>
        </r>
      </text>
    </comment>
    <comment ref="F2775" authorId="1" shapeId="0" xr:uid="{00000000-0006-0000-0100-00004C0A0000}">
      <text>
        <r>
          <rPr>
            <sz val="11"/>
            <color theme="1"/>
            <rFont val="Calibri"/>
            <family val="2"/>
            <scheme val="minor"/>
          </rPr>
          <t>Introduzca el código SNIP</t>
        </r>
      </text>
    </comment>
    <comment ref="C2776" authorId="1" shapeId="0" xr:uid="{00000000-0006-0000-0100-00004D0A0000}">
      <text>
        <r>
          <rPr>
            <sz val="11"/>
            <color theme="1"/>
            <rFont val="Calibri"/>
            <family val="2"/>
            <scheme val="minor"/>
          </rPr>
          <t>Introduzca la fecha de inicio del proceso, en formato dd-mm-aaaa</t>
        </r>
      </text>
    </comment>
    <comment ref="F2776" authorId="1" shapeId="0" xr:uid="{00000000-0006-0000-0100-00004F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77" authorId="1" shapeId="0" xr:uid="{00000000-0006-0000-0100-0000500A0000}">
      <text/>
    </comment>
    <comment ref="C2778" authorId="1" shapeId="0" xr:uid="{00000000-0006-0000-0100-00004E0A0000}">
      <text>
        <r>
          <rPr>
            <sz val="11"/>
            <color theme="1"/>
            <rFont val="Calibri"/>
            <family val="2"/>
            <scheme val="minor"/>
          </rPr>
          <t>Introduzca la fecha prevista de adjudicación, en formato dd-mm-aaaa</t>
        </r>
      </text>
    </comment>
    <comment ref="F2778" authorId="1" shapeId="0" xr:uid="{00000000-0006-0000-0100-0000510A0000}">
      <text/>
    </comment>
    <comment ref="F2779" authorId="1" shapeId="0" xr:uid="{00000000-0006-0000-0100-0000520A0000}">
      <text/>
    </comment>
    <comment ref="A2781" authorId="1" shapeId="0" xr:uid="{00000000-0006-0000-0100-0000530A0000}">
      <text>
        <r>
          <rPr>
            <sz val="11"/>
            <color theme="1"/>
            <rFont val="Calibri"/>
            <family val="2"/>
            <scheme val="minor"/>
          </rPr>
          <t>Introduzca un codigo UNSPSC</t>
        </r>
      </text>
    </comment>
    <comment ref="B2781" authorId="1" shapeId="0" xr:uid="{00000000-0006-0000-0100-0000540A0000}">
      <text>
        <r>
          <rPr>
            <sz val="11"/>
            <color theme="1"/>
            <rFont val="Calibri"/>
            <family val="2"/>
            <scheme val="minor"/>
          </rPr>
          <t>Descripción calculada automáticamente a partir de código del artículo</t>
        </r>
      </text>
    </comment>
    <comment ref="C2781" authorId="1" shapeId="0" xr:uid="{00000000-0006-0000-0100-0000550A0000}">
      <text>
        <r>
          <rPr>
            <sz val="11"/>
            <color theme="1"/>
            <rFont val="Calibri"/>
            <family val="2"/>
            <scheme val="minor"/>
          </rPr>
          <t>Seleccione un valor de la lista</t>
        </r>
      </text>
    </comment>
    <comment ref="D2781" authorId="1" shapeId="0" xr:uid="{00000000-0006-0000-0100-0000560A0000}">
      <text>
        <r>
          <rPr>
            <sz val="11"/>
            <color theme="1"/>
            <rFont val="Calibri"/>
            <family val="2"/>
            <scheme val="minor"/>
          </rPr>
          <t>Introduzca un número con dos decimales como máximo. Debe ser igual o mayor a la "Cantidad Real Consumida"</t>
        </r>
      </text>
    </comment>
    <comment ref="E2781" authorId="1" shapeId="0" xr:uid="{00000000-0006-0000-0100-0000570A0000}">
      <text>
        <r>
          <rPr>
            <sz val="11"/>
            <color theme="1"/>
            <rFont val="Calibri"/>
            <family val="2"/>
            <scheme val="minor"/>
          </rPr>
          <t>Introduzca un número con dos decimales como máximo</t>
        </r>
      </text>
    </comment>
    <comment ref="F2781" authorId="1" shapeId="0" xr:uid="{00000000-0006-0000-0100-0000580A0000}">
      <text>
        <r>
          <rPr>
            <sz val="11"/>
            <color theme="1"/>
            <rFont val="Calibri"/>
            <family val="2"/>
            <scheme val="minor"/>
          </rPr>
          <t>Monto calculado automáticamente por el sistema</t>
        </r>
      </text>
    </comment>
    <comment ref="A2786" authorId="1" shapeId="0" xr:uid="{00000000-0006-0000-0100-0000590A0000}">
      <text>
        <r>
          <rPr>
            <sz val="11"/>
            <color theme="1"/>
            <rFont val="Calibri"/>
            <family val="2"/>
            <scheme val="minor"/>
          </rPr>
          <t>Introducir un texto con el nombre o referencia de la contratación</t>
        </r>
      </text>
    </comment>
    <comment ref="B2786" authorId="1" shapeId="0" xr:uid="{00000000-0006-0000-0100-00005A0A0000}">
      <text>
        <r>
          <rPr>
            <sz val="11"/>
            <color theme="1"/>
            <rFont val="Calibri"/>
            <family val="2"/>
            <scheme val="minor"/>
          </rPr>
          <t>Introduzca un texto con la finalidad de la contratación</t>
        </r>
      </text>
    </comment>
    <comment ref="C2786" authorId="1" shapeId="0" xr:uid="{00000000-0006-0000-0100-00005B0A0000}">
      <text>
        <r>
          <rPr>
            <sz val="11"/>
            <color theme="1"/>
            <rFont val="Calibri"/>
            <family val="2"/>
            <scheme val="minor"/>
          </rPr>
          <t>Seleccionar un valor del listado</t>
        </r>
      </text>
    </comment>
    <comment ref="D2786" authorId="1" shapeId="0" xr:uid="{00000000-0006-0000-0100-00005C0A0000}">
      <text>
        <r>
          <rPr>
            <sz val="11"/>
            <color theme="1"/>
            <rFont val="Calibri"/>
            <family val="2"/>
            <scheme val="minor"/>
          </rPr>
          <t>Seleccione el tipo de procedimiento</t>
        </r>
      </text>
    </comment>
    <comment ref="E2786" authorId="1" shapeId="0" xr:uid="{00000000-0006-0000-0100-00005D0A0000}">
      <text>
        <r>
          <rPr>
            <sz val="11"/>
            <color theme="1"/>
            <rFont val="Calibri"/>
            <family val="2"/>
            <scheme val="minor"/>
          </rPr>
          <t>Seleccione un valor de la lista</t>
        </r>
      </text>
    </comment>
    <comment ref="F2786" authorId="1" shapeId="0" xr:uid="{00000000-0006-0000-0100-00005E0A0000}">
      <text>
        <r>
          <rPr>
            <sz val="11"/>
            <color theme="1"/>
            <rFont val="Calibri"/>
            <family val="2"/>
            <scheme val="minor"/>
          </rPr>
          <t>Introduzca el código SNIP</t>
        </r>
      </text>
    </comment>
    <comment ref="C2787" authorId="1" shapeId="0" xr:uid="{00000000-0006-0000-0100-00005F0A0000}">
      <text>
        <r>
          <rPr>
            <sz val="11"/>
            <color theme="1"/>
            <rFont val="Calibri"/>
            <family val="2"/>
            <scheme val="minor"/>
          </rPr>
          <t>Introduzca la fecha de inicio del proceso, en formato dd-mm-aaaa</t>
        </r>
      </text>
    </comment>
    <comment ref="F2787" authorId="1" shapeId="0" xr:uid="{00000000-0006-0000-0100-000061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88" authorId="1" shapeId="0" xr:uid="{00000000-0006-0000-0100-0000620A0000}">
      <text/>
    </comment>
    <comment ref="C2789" authorId="1" shapeId="0" xr:uid="{00000000-0006-0000-0100-0000600A0000}">
      <text>
        <r>
          <rPr>
            <sz val="11"/>
            <color theme="1"/>
            <rFont val="Calibri"/>
            <family val="2"/>
            <scheme val="minor"/>
          </rPr>
          <t>Introduzca la fecha prevista de adjudicación, en formato dd-mm-aaaa</t>
        </r>
      </text>
    </comment>
    <comment ref="F2789" authorId="1" shapeId="0" xr:uid="{00000000-0006-0000-0100-0000630A0000}">
      <text/>
    </comment>
    <comment ref="F2790" authorId="1" shapeId="0" xr:uid="{00000000-0006-0000-0100-0000640A0000}">
      <text/>
    </comment>
    <comment ref="A2792" authorId="1" shapeId="0" xr:uid="{00000000-0006-0000-0100-0000650A0000}">
      <text>
        <r>
          <rPr>
            <sz val="11"/>
            <color theme="1"/>
            <rFont val="Calibri"/>
            <family val="2"/>
            <scheme val="minor"/>
          </rPr>
          <t>Introduzca un codigo UNSPSC</t>
        </r>
      </text>
    </comment>
    <comment ref="B2792" authorId="1" shapeId="0" xr:uid="{00000000-0006-0000-0100-0000660A0000}">
      <text>
        <r>
          <rPr>
            <sz val="11"/>
            <color theme="1"/>
            <rFont val="Calibri"/>
            <family val="2"/>
            <scheme val="minor"/>
          </rPr>
          <t>Descripción calculada automáticamente a partir de código del artículo</t>
        </r>
      </text>
    </comment>
    <comment ref="C2792" authorId="1" shapeId="0" xr:uid="{00000000-0006-0000-0100-0000670A0000}">
      <text>
        <r>
          <rPr>
            <sz val="11"/>
            <color theme="1"/>
            <rFont val="Calibri"/>
            <family val="2"/>
            <scheme val="minor"/>
          </rPr>
          <t>Seleccione un valor de la lista</t>
        </r>
      </text>
    </comment>
    <comment ref="D2792" authorId="1" shapeId="0" xr:uid="{00000000-0006-0000-0100-0000680A0000}">
      <text>
        <r>
          <rPr>
            <sz val="11"/>
            <color theme="1"/>
            <rFont val="Calibri"/>
            <family val="2"/>
            <scheme val="minor"/>
          </rPr>
          <t>Introduzca un número con dos decimales como máximo. Debe ser igual o mayor a la "Cantidad Real Consumida"</t>
        </r>
      </text>
    </comment>
    <comment ref="E2792" authorId="1" shapeId="0" xr:uid="{00000000-0006-0000-0100-0000690A0000}">
      <text>
        <r>
          <rPr>
            <sz val="11"/>
            <color theme="1"/>
            <rFont val="Calibri"/>
            <family val="2"/>
            <scheme val="minor"/>
          </rPr>
          <t>Introduzca un número con dos decimales como máximo</t>
        </r>
      </text>
    </comment>
    <comment ref="F2792" authorId="1" shapeId="0" xr:uid="{00000000-0006-0000-0100-00006A0A0000}">
      <text>
        <r>
          <rPr>
            <sz val="11"/>
            <color theme="1"/>
            <rFont val="Calibri"/>
            <family val="2"/>
            <scheme val="minor"/>
          </rPr>
          <t>Monto calculado automáticamente por el sistema</t>
        </r>
      </text>
    </comment>
    <comment ref="A2797" authorId="1" shapeId="0" xr:uid="{00000000-0006-0000-0100-00006B0A0000}">
      <text>
        <r>
          <rPr>
            <sz val="11"/>
            <color theme="1"/>
            <rFont val="Calibri"/>
            <family val="2"/>
            <scheme val="minor"/>
          </rPr>
          <t>Introducir un texto con el nombre o referencia de la contratación</t>
        </r>
      </text>
    </comment>
    <comment ref="B2797" authorId="1" shapeId="0" xr:uid="{00000000-0006-0000-0100-00006C0A0000}">
      <text>
        <r>
          <rPr>
            <sz val="11"/>
            <color theme="1"/>
            <rFont val="Calibri"/>
            <family val="2"/>
            <scheme val="minor"/>
          </rPr>
          <t>Introduzca un texto con la finalidad de la contratación</t>
        </r>
      </text>
    </comment>
    <comment ref="C2797" authorId="1" shapeId="0" xr:uid="{00000000-0006-0000-0100-00006D0A0000}">
      <text>
        <r>
          <rPr>
            <sz val="11"/>
            <color theme="1"/>
            <rFont val="Calibri"/>
            <family val="2"/>
            <scheme val="minor"/>
          </rPr>
          <t>Seleccionar un valor del listado</t>
        </r>
      </text>
    </comment>
    <comment ref="D2797" authorId="1" shapeId="0" xr:uid="{00000000-0006-0000-0100-00006E0A0000}">
      <text>
        <r>
          <rPr>
            <sz val="11"/>
            <color theme="1"/>
            <rFont val="Calibri"/>
            <family val="2"/>
            <scheme val="minor"/>
          </rPr>
          <t>Seleccione el tipo de procedimiento</t>
        </r>
      </text>
    </comment>
    <comment ref="E2797" authorId="1" shapeId="0" xr:uid="{00000000-0006-0000-0100-00006F0A0000}">
      <text>
        <r>
          <rPr>
            <sz val="11"/>
            <color theme="1"/>
            <rFont val="Calibri"/>
            <family val="2"/>
            <scheme val="minor"/>
          </rPr>
          <t>Seleccione un valor de la lista</t>
        </r>
      </text>
    </comment>
    <comment ref="F2797" authorId="1" shapeId="0" xr:uid="{00000000-0006-0000-0100-0000700A0000}">
      <text>
        <r>
          <rPr>
            <sz val="11"/>
            <color theme="1"/>
            <rFont val="Calibri"/>
            <family val="2"/>
            <scheme val="minor"/>
          </rPr>
          <t>Introduzca el código SNIP</t>
        </r>
      </text>
    </comment>
    <comment ref="C2798" authorId="1" shapeId="0" xr:uid="{00000000-0006-0000-0100-0000710A0000}">
      <text>
        <r>
          <rPr>
            <sz val="11"/>
            <color theme="1"/>
            <rFont val="Calibri"/>
            <family val="2"/>
            <scheme val="minor"/>
          </rPr>
          <t>Introduzca la fecha de inicio del proceso, en formato dd-mm-aaaa</t>
        </r>
      </text>
    </comment>
    <comment ref="F2798" authorId="1" shapeId="0" xr:uid="{00000000-0006-0000-0100-000073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99" authorId="1" shapeId="0" xr:uid="{00000000-0006-0000-0100-0000740A0000}">
      <text/>
    </comment>
    <comment ref="C2800" authorId="1" shapeId="0" xr:uid="{00000000-0006-0000-0100-0000720A0000}">
      <text>
        <r>
          <rPr>
            <sz val="11"/>
            <color theme="1"/>
            <rFont val="Calibri"/>
            <family val="2"/>
            <scheme val="minor"/>
          </rPr>
          <t>Introduzca la fecha prevista de adjudicación, en formato dd-mm-aaaa</t>
        </r>
      </text>
    </comment>
    <comment ref="F2800" authorId="1" shapeId="0" xr:uid="{00000000-0006-0000-0100-0000750A0000}">
      <text/>
    </comment>
    <comment ref="F2801" authorId="1" shapeId="0" xr:uid="{00000000-0006-0000-0100-0000760A0000}">
      <text/>
    </comment>
    <comment ref="A2803" authorId="1" shapeId="0" xr:uid="{00000000-0006-0000-0100-0000770A0000}">
      <text>
        <r>
          <rPr>
            <sz val="11"/>
            <color theme="1"/>
            <rFont val="Calibri"/>
            <family val="2"/>
            <scheme val="minor"/>
          </rPr>
          <t>Introduzca un codigo UNSPSC</t>
        </r>
      </text>
    </comment>
    <comment ref="B2803" authorId="1" shapeId="0" xr:uid="{00000000-0006-0000-0100-0000780A0000}">
      <text>
        <r>
          <rPr>
            <sz val="11"/>
            <color theme="1"/>
            <rFont val="Calibri"/>
            <family val="2"/>
            <scheme val="minor"/>
          </rPr>
          <t>Descripción calculada automáticamente a partir de código del artículo</t>
        </r>
      </text>
    </comment>
    <comment ref="C2803" authorId="1" shapeId="0" xr:uid="{00000000-0006-0000-0100-0000790A0000}">
      <text>
        <r>
          <rPr>
            <sz val="11"/>
            <color theme="1"/>
            <rFont val="Calibri"/>
            <family val="2"/>
            <scheme val="minor"/>
          </rPr>
          <t>Seleccione un valor de la lista</t>
        </r>
      </text>
    </comment>
    <comment ref="D2803" authorId="1" shapeId="0" xr:uid="{00000000-0006-0000-0100-00007A0A0000}">
      <text>
        <r>
          <rPr>
            <sz val="11"/>
            <color theme="1"/>
            <rFont val="Calibri"/>
            <family val="2"/>
            <scheme val="minor"/>
          </rPr>
          <t>Introduzca un número con dos decimales como máximo. Debe ser igual o mayor a la "Cantidad Real Consumida"</t>
        </r>
      </text>
    </comment>
    <comment ref="E2803" authorId="1" shapeId="0" xr:uid="{00000000-0006-0000-0100-00007B0A0000}">
      <text>
        <r>
          <rPr>
            <sz val="11"/>
            <color theme="1"/>
            <rFont val="Calibri"/>
            <family val="2"/>
            <scheme val="minor"/>
          </rPr>
          <t>Introduzca un número con dos decimales como máximo</t>
        </r>
      </text>
    </comment>
    <comment ref="F2803" authorId="1" shapeId="0" xr:uid="{00000000-0006-0000-0100-00007C0A0000}">
      <text>
        <r>
          <rPr>
            <sz val="11"/>
            <color theme="1"/>
            <rFont val="Calibri"/>
            <family val="2"/>
            <scheme val="minor"/>
          </rPr>
          <t>Monto calculado automáticamente por el sistema</t>
        </r>
      </text>
    </comment>
    <comment ref="A2809" authorId="1" shapeId="0" xr:uid="{00000000-0006-0000-0100-00007D0A0000}">
      <text>
        <r>
          <rPr>
            <sz val="11"/>
            <color theme="1"/>
            <rFont val="Calibri"/>
            <family val="2"/>
            <scheme val="minor"/>
          </rPr>
          <t>Introducir un texto con el nombre o referencia de la contratación</t>
        </r>
      </text>
    </comment>
    <comment ref="B2809" authorId="1" shapeId="0" xr:uid="{00000000-0006-0000-0100-00007E0A0000}">
      <text>
        <r>
          <rPr>
            <sz val="11"/>
            <color theme="1"/>
            <rFont val="Calibri"/>
            <family val="2"/>
            <scheme val="minor"/>
          </rPr>
          <t>Introduzca un texto con la finalidad de la contratación</t>
        </r>
      </text>
    </comment>
    <comment ref="C2809" authorId="1" shapeId="0" xr:uid="{00000000-0006-0000-0100-00007F0A0000}">
      <text>
        <r>
          <rPr>
            <sz val="11"/>
            <color theme="1"/>
            <rFont val="Calibri"/>
            <family val="2"/>
            <scheme val="minor"/>
          </rPr>
          <t>Seleccionar un valor del listado</t>
        </r>
      </text>
    </comment>
    <comment ref="D2809" authorId="1" shapeId="0" xr:uid="{00000000-0006-0000-0100-0000800A0000}">
      <text>
        <r>
          <rPr>
            <sz val="11"/>
            <color theme="1"/>
            <rFont val="Calibri"/>
            <family val="2"/>
            <scheme val="minor"/>
          </rPr>
          <t>Seleccione el tipo de procedimiento</t>
        </r>
      </text>
    </comment>
    <comment ref="E2809" authorId="1" shapeId="0" xr:uid="{00000000-0006-0000-0100-0000810A0000}">
      <text>
        <r>
          <rPr>
            <sz val="11"/>
            <color theme="1"/>
            <rFont val="Calibri"/>
            <family val="2"/>
            <scheme val="minor"/>
          </rPr>
          <t>Seleccione un valor de la lista</t>
        </r>
      </text>
    </comment>
    <comment ref="F2809" authorId="1" shapeId="0" xr:uid="{00000000-0006-0000-0100-0000820A0000}">
      <text>
        <r>
          <rPr>
            <sz val="11"/>
            <color theme="1"/>
            <rFont val="Calibri"/>
            <family val="2"/>
            <scheme val="minor"/>
          </rPr>
          <t>Introduzca el código SNIP</t>
        </r>
      </text>
    </comment>
    <comment ref="C2810" authorId="1" shapeId="0" xr:uid="{00000000-0006-0000-0100-0000830A0000}">
      <text>
        <r>
          <rPr>
            <sz val="11"/>
            <color theme="1"/>
            <rFont val="Calibri"/>
            <family val="2"/>
            <scheme val="minor"/>
          </rPr>
          <t>Introduzca la fecha de inicio del proceso, en formato dd-mm-aaaa</t>
        </r>
      </text>
    </comment>
    <comment ref="F2810" authorId="1" shapeId="0" xr:uid="{00000000-0006-0000-0100-000085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11" authorId="1" shapeId="0" xr:uid="{00000000-0006-0000-0100-0000860A0000}">
      <text/>
    </comment>
    <comment ref="C2812" authorId="1" shapeId="0" xr:uid="{00000000-0006-0000-0100-0000840A0000}">
      <text>
        <r>
          <rPr>
            <sz val="11"/>
            <color theme="1"/>
            <rFont val="Calibri"/>
            <family val="2"/>
            <scheme val="minor"/>
          </rPr>
          <t>Introduzca la fecha prevista de adjudicación, en formato dd-mm-aaaa</t>
        </r>
      </text>
    </comment>
    <comment ref="F2812" authorId="1" shapeId="0" xr:uid="{00000000-0006-0000-0100-0000870A0000}">
      <text/>
    </comment>
    <comment ref="F2813" authorId="1" shapeId="0" xr:uid="{00000000-0006-0000-0100-0000880A0000}">
      <text/>
    </comment>
    <comment ref="A2815" authorId="1" shapeId="0" xr:uid="{00000000-0006-0000-0100-0000890A0000}">
      <text>
        <r>
          <rPr>
            <sz val="11"/>
            <color theme="1"/>
            <rFont val="Calibri"/>
            <family val="2"/>
            <scheme val="minor"/>
          </rPr>
          <t>Introduzca un codigo UNSPSC</t>
        </r>
      </text>
    </comment>
    <comment ref="B2815" authorId="1" shapeId="0" xr:uid="{00000000-0006-0000-0100-00008A0A0000}">
      <text>
        <r>
          <rPr>
            <sz val="11"/>
            <color theme="1"/>
            <rFont val="Calibri"/>
            <family val="2"/>
            <scheme val="minor"/>
          </rPr>
          <t>Descripción calculada automáticamente a partir de código del artículo</t>
        </r>
      </text>
    </comment>
    <comment ref="C2815" authorId="1" shapeId="0" xr:uid="{00000000-0006-0000-0100-00008B0A0000}">
      <text>
        <r>
          <rPr>
            <sz val="11"/>
            <color theme="1"/>
            <rFont val="Calibri"/>
            <family val="2"/>
            <scheme val="minor"/>
          </rPr>
          <t>Seleccione un valor de la lista</t>
        </r>
      </text>
    </comment>
    <comment ref="D2815" authorId="1" shapeId="0" xr:uid="{00000000-0006-0000-0100-00008C0A0000}">
      <text>
        <r>
          <rPr>
            <sz val="11"/>
            <color theme="1"/>
            <rFont val="Calibri"/>
            <family val="2"/>
            <scheme val="minor"/>
          </rPr>
          <t>Introduzca un número con dos decimales como máximo. Debe ser igual o mayor a la "Cantidad Real Consumida"</t>
        </r>
      </text>
    </comment>
    <comment ref="E2815" authorId="1" shapeId="0" xr:uid="{00000000-0006-0000-0100-00008D0A0000}">
      <text>
        <r>
          <rPr>
            <sz val="11"/>
            <color theme="1"/>
            <rFont val="Calibri"/>
            <family val="2"/>
            <scheme val="minor"/>
          </rPr>
          <t>Introduzca un número con dos decimales como máximo</t>
        </r>
      </text>
    </comment>
    <comment ref="F2815" authorId="1" shapeId="0" xr:uid="{00000000-0006-0000-0100-00008E0A0000}">
      <text>
        <r>
          <rPr>
            <sz val="11"/>
            <color theme="1"/>
            <rFont val="Calibri"/>
            <family val="2"/>
            <scheme val="minor"/>
          </rPr>
          <t>Monto calculado automáticamente por el sistema</t>
        </r>
      </text>
    </comment>
    <comment ref="A2825" authorId="1" shapeId="0" xr:uid="{00000000-0006-0000-0100-00008F0A0000}">
      <text>
        <r>
          <rPr>
            <sz val="11"/>
            <color theme="1"/>
            <rFont val="Calibri"/>
            <family val="2"/>
            <scheme val="minor"/>
          </rPr>
          <t>Introducir un texto con el nombre o referencia de la contratación</t>
        </r>
      </text>
    </comment>
    <comment ref="B2825" authorId="1" shapeId="0" xr:uid="{00000000-0006-0000-0100-0000900A0000}">
      <text>
        <r>
          <rPr>
            <sz val="11"/>
            <color theme="1"/>
            <rFont val="Calibri"/>
            <family val="2"/>
            <scheme val="minor"/>
          </rPr>
          <t>Introduzca un texto con la finalidad de la contratación</t>
        </r>
      </text>
    </comment>
    <comment ref="C2825" authorId="1" shapeId="0" xr:uid="{00000000-0006-0000-0100-0000910A0000}">
      <text>
        <r>
          <rPr>
            <sz val="11"/>
            <color theme="1"/>
            <rFont val="Calibri"/>
            <family val="2"/>
            <scheme val="minor"/>
          </rPr>
          <t>Seleccionar un valor del listado</t>
        </r>
      </text>
    </comment>
    <comment ref="D2825" authorId="1" shapeId="0" xr:uid="{00000000-0006-0000-0100-0000920A0000}">
      <text>
        <r>
          <rPr>
            <sz val="11"/>
            <color theme="1"/>
            <rFont val="Calibri"/>
            <family val="2"/>
            <scheme val="minor"/>
          </rPr>
          <t>Seleccione el tipo de procedimiento</t>
        </r>
      </text>
    </comment>
    <comment ref="E2825" authorId="1" shapeId="0" xr:uid="{00000000-0006-0000-0100-0000930A0000}">
      <text>
        <r>
          <rPr>
            <sz val="11"/>
            <color theme="1"/>
            <rFont val="Calibri"/>
            <family val="2"/>
            <scheme val="minor"/>
          </rPr>
          <t>Seleccione un valor de la lista</t>
        </r>
      </text>
    </comment>
    <comment ref="F2825" authorId="1" shapeId="0" xr:uid="{00000000-0006-0000-0100-0000940A0000}">
      <text>
        <r>
          <rPr>
            <sz val="11"/>
            <color theme="1"/>
            <rFont val="Calibri"/>
            <family val="2"/>
            <scheme val="minor"/>
          </rPr>
          <t>Introduzca el código SNIP</t>
        </r>
      </text>
    </comment>
    <comment ref="C2826" authorId="1" shapeId="0" xr:uid="{00000000-0006-0000-0100-0000950A0000}">
      <text>
        <r>
          <rPr>
            <sz val="11"/>
            <color theme="1"/>
            <rFont val="Calibri"/>
            <family val="2"/>
            <scheme val="minor"/>
          </rPr>
          <t>Introduzca la fecha de inicio del proceso, en formato dd-mm-aaaa</t>
        </r>
      </text>
    </comment>
    <comment ref="F2826" authorId="1" shapeId="0" xr:uid="{00000000-0006-0000-0100-000097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27" authorId="1" shapeId="0" xr:uid="{00000000-0006-0000-0100-0000980A0000}">
      <text/>
    </comment>
    <comment ref="C2828" authorId="1" shapeId="0" xr:uid="{00000000-0006-0000-0100-0000960A0000}">
      <text>
        <r>
          <rPr>
            <sz val="11"/>
            <color theme="1"/>
            <rFont val="Calibri"/>
            <family val="2"/>
            <scheme val="minor"/>
          </rPr>
          <t>Introduzca la fecha prevista de adjudicación, en formato dd-mm-aaaa</t>
        </r>
      </text>
    </comment>
    <comment ref="F2828" authorId="1" shapeId="0" xr:uid="{00000000-0006-0000-0100-0000990A0000}">
      <text/>
    </comment>
    <comment ref="F2829" authorId="1" shapeId="0" xr:uid="{00000000-0006-0000-0100-00009A0A0000}">
      <text/>
    </comment>
    <comment ref="A2831" authorId="1" shapeId="0" xr:uid="{00000000-0006-0000-0100-00009B0A0000}">
      <text>
        <r>
          <rPr>
            <sz val="11"/>
            <color theme="1"/>
            <rFont val="Calibri"/>
            <family val="2"/>
            <scheme val="minor"/>
          </rPr>
          <t>Introduzca un codigo UNSPSC</t>
        </r>
      </text>
    </comment>
    <comment ref="B2831" authorId="1" shapeId="0" xr:uid="{00000000-0006-0000-0100-00009C0A0000}">
      <text>
        <r>
          <rPr>
            <sz val="11"/>
            <color theme="1"/>
            <rFont val="Calibri"/>
            <family val="2"/>
            <scheme val="minor"/>
          </rPr>
          <t>Descripción calculada automáticamente a partir de código del artículo</t>
        </r>
      </text>
    </comment>
    <comment ref="C2831" authorId="1" shapeId="0" xr:uid="{00000000-0006-0000-0100-00009D0A0000}">
      <text>
        <r>
          <rPr>
            <sz val="11"/>
            <color theme="1"/>
            <rFont val="Calibri"/>
            <family val="2"/>
            <scheme val="minor"/>
          </rPr>
          <t>Seleccione un valor de la lista</t>
        </r>
      </text>
    </comment>
    <comment ref="D2831" authorId="1" shapeId="0" xr:uid="{00000000-0006-0000-0100-00009E0A0000}">
      <text>
        <r>
          <rPr>
            <sz val="11"/>
            <color theme="1"/>
            <rFont val="Calibri"/>
            <family val="2"/>
            <scheme val="minor"/>
          </rPr>
          <t>Introduzca un número con dos decimales como máximo. Debe ser igual o mayor a la "Cantidad Real Consumida"</t>
        </r>
      </text>
    </comment>
    <comment ref="E2831" authorId="1" shapeId="0" xr:uid="{00000000-0006-0000-0100-00009F0A0000}">
      <text>
        <r>
          <rPr>
            <sz val="11"/>
            <color theme="1"/>
            <rFont val="Calibri"/>
            <family val="2"/>
            <scheme val="minor"/>
          </rPr>
          <t>Introduzca un número con dos decimales como máximo</t>
        </r>
      </text>
    </comment>
    <comment ref="F2831" authorId="1" shapeId="0" xr:uid="{00000000-0006-0000-0100-0000A00A0000}">
      <text>
        <r>
          <rPr>
            <sz val="11"/>
            <color theme="1"/>
            <rFont val="Calibri"/>
            <family val="2"/>
            <scheme val="minor"/>
          </rPr>
          <t>Monto calculado automáticamente por el sistema</t>
        </r>
      </text>
    </comment>
    <comment ref="A2836" authorId="1" shapeId="0" xr:uid="{00000000-0006-0000-0100-0000A10A0000}">
      <text>
        <r>
          <rPr>
            <sz val="11"/>
            <color theme="1"/>
            <rFont val="Calibri"/>
            <family val="2"/>
            <scheme val="minor"/>
          </rPr>
          <t>Introducir un texto con el nombre o referencia de la contratación</t>
        </r>
      </text>
    </comment>
    <comment ref="B2836" authorId="1" shapeId="0" xr:uid="{00000000-0006-0000-0100-0000A20A0000}">
      <text>
        <r>
          <rPr>
            <sz val="11"/>
            <color theme="1"/>
            <rFont val="Calibri"/>
            <family val="2"/>
            <scheme val="minor"/>
          </rPr>
          <t>Introduzca un texto con la finalidad de la contratación</t>
        </r>
      </text>
    </comment>
    <comment ref="C2836" authorId="1" shapeId="0" xr:uid="{00000000-0006-0000-0100-0000A30A0000}">
      <text>
        <r>
          <rPr>
            <sz val="11"/>
            <color theme="1"/>
            <rFont val="Calibri"/>
            <family val="2"/>
            <scheme val="minor"/>
          </rPr>
          <t>Seleccionar un valor del listado</t>
        </r>
      </text>
    </comment>
    <comment ref="D2836" authorId="1" shapeId="0" xr:uid="{00000000-0006-0000-0100-0000A40A0000}">
      <text>
        <r>
          <rPr>
            <sz val="11"/>
            <color theme="1"/>
            <rFont val="Calibri"/>
            <family val="2"/>
            <scheme val="minor"/>
          </rPr>
          <t>Seleccione el tipo de procedimiento</t>
        </r>
      </text>
    </comment>
    <comment ref="E2836" authorId="1" shapeId="0" xr:uid="{00000000-0006-0000-0100-0000A50A0000}">
      <text>
        <r>
          <rPr>
            <sz val="11"/>
            <color theme="1"/>
            <rFont val="Calibri"/>
            <family val="2"/>
            <scheme val="minor"/>
          </rPr>
          <t>Seleccione un valor de la lista</t>
        </r>
      </text>
    </comment>
    <comment ref="F2836" authorId="1" shapeId="0" xr:uid="{00000000-0006-0000-0100-0000A60A0000}">
      <text>
        <r>
          <rPr>
            <sz val="11"/>
            <color theme="1"/>
            <rFont val="Calibri"/>
            <family val="2"/>
            <scheme val="minor"/>
          </rPr>
          <t>Introduzca el código SNIP</t>
        </r>
      </text>
    </comment>
    <comment ref="C2837" authorId="1" shapeId="0" xr:uid="{00000000-0006-0000-0100-0000A70A0000}">
      <text>
        <r>
          <rPr>
            <sz val="11"/>
            <color theme="1"/>
            <rFont val="Calibri"/>
            <family val="2"/>
            <scheme val="minor"/>
          </rPr>
          <t>Introduzca la fecha de inicio del proceso, en formato dd-mm-aaaa</t>
        </r>
      </text>
    </comment>
    <comment ref="F2837" authorId="1" shapeId="0" xr:uid="{00000000-0006-0000-0100-0000A9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38" authorId="1" shapeId="0" xr:uid="{00000000-0006-0000-0100-0000AA0A0000}">
      <text/>
    </comment>
    <comment ref="C2839" authorId="1" shapeId="0" xr:uid="{00000000-0006-0000-0100-0000A80A0000}">
      <text>
        <r>
          <rPr>
            <sz val="11"/>
            <color theme="1"/>
            <rFont val="Calibri"/>
            <family val="2"/>
            <scheme val="minor"/>
          </rPr>
          <t>Introduzca la fecha prevista de adjudicación, en formato dd-mm-aaaa</t>
        </r>
      </text>
    </comment>
    <comment ref="F2839" authorId="1" shapeId="0" xr:uid="{00000000-0006-0000-0100-0000AB0A0000}">
      <text/>
    </comment>
    <comment ref="F2840" authorId="1" shapeId="0" xr:uid="{00000000-0006-0000-0100-0000AC0A0000}">
      <text/>
    </comment>
    <comment ref="A2842" authorId="1" shapeId="0" xr:uid="{00000000-0006-0000-0100-0000AD0A0000}">
      <text>
        <r>
          <rPr>
            <sz val="11"/>
            <color theme="1"/>
            <rFont val="Calibri"/>
            <family val="2"/>
            <scheme val="minor"/>
          </rPr>
          <t>Introduzca un codigo UNSPSC</t>
        </r>
      </text>
    </comment>
    <comment ref="B2842" authorId="1" shapeId="0" xr:uid="{00000000-0006-0000-0100-0000AE0A0000}">
      <text>
        <r>
          <rPr>
            <sz val="11"/>
            <color theme="1"/>
            <rFont val="Calibri"/>
            <family val="2"/>
            <scheme val="minor"/>
          </rPr>
          <t>Descripción calculada automáticamente a partir de código del artículo</t>
        </r>
      </text>
    </comment>
    <comment ref="C2842" authorId="1" shapeId="0" xr:uid="{00000000-0006-0000-0100-0000AF0A0000}">
      <text>
        <r>
          <rPr>
            <sz val="11"/>
            <color theme="1"/>
            <rFont val="Calibri"/>
            <family val="2"/>
            <scheme val="minor"/>
          </rPr>
          <t>Seleccione un valor de la lista</t>
        </r>
      </text>
    </comment>
    <comment ref="D2842" authorId="1" shapeId="0" xr:uid="{00000000-0006-0000-0100-0000B00A0000}">
      <text>
        <r>
          <rPr>
            <sz val="11"/>
            <color theme="1"/>
            <rFont val="Calibri"/>
            <family val="2"/>
            <scheme val="minor"/>
          </rPr>
          <t>Introduzca un número con dos decimales como máximo. Debe ser igual o mayor a la "Cantidad Real Consumida"</t>
        </r>
      </text>
    </comment>
    <comment ref="E2842" authorId="1" shapeId="0" xr:uid="{00000000-0006-0000-0100-0000B10A0000}">
      <text>
        <r>
          <rPr>
            <sz val="11"/>
            <color theme="1"/>
            <rFont val="Calibri"/>
            <family val="2"/>
            <scheme val="minor"/>
          </rPr>
          <t>Introduzca un número con dos decimales como máximo</t>
        </r>
      </text>
    </comment>
    <comment ref="F2842" authorId="1" shapeId="0" xr:uid="{00000000-0006-0000-0100-0000B20A0000}">
      <text>
        <r>
          <rPr>
            <sz val="11"/>
            <color theme="1"/>
            <rFont val="Calibri"/>
            <family val="2"/>
            <scheme val="minor"/>
          </rPr>
          <t>Monto calculado automáticamente por el sistema</t>
        </r>
      </text>
    </comment>
    <comment ref="A2849" authorId="1" shapeId="0" xr:uid="{00000000-0006-0000-0100-0000B30A0000}">
      <text>
        <r>
          <rPr>
            <sz val="11"/>
            <color theme="1"/>
            <rFont val="Calibri"/>
            <family val="2"/>
            <scheme val="minor"/>
          </rPr>
          <t>Introducir un texto con el nombre o referencia de la contratación</t>
        </r>
      </text>
    </comment>
    <comment ref="B2849" authorId="1" shapeId="0" xr:uid="{00000000-0006-0000-0100-0000B40A0000}">
      <text>
        <r>
          <rPr>
            <sz val="11"/>
            <color theme="1"/>
            <rFont val="Calibri"/>
            <family val="2"/>
            <scheme val="minor"/>
          </rPr>
          <t>Introduzca un texto con la finalidad de la contratación</t>
        </r>
      </text>
    </comment>
    <comment ref="C2849" authorId="1" shapeId="0" xr:uid="{00000000-0006-0000-0100-0000B50A0000}">
      <text>
        <r>
          <rPr>
            <sz val="11"/>
            <color theme="1"/>
            <rFont val="Calibri"/>
            <family val="2"/>
            <scheme val="minor"/>
          </rPr>
          <t>Seleccionar un valor del listado</t>
        </r>
      </text>
    </comment>
    <comment ref="D2849" authorId="1" shapeId="0" xr:uid="{00000000-0006-0000-0100-0000B60A0000}">
      <text>
        <r>
          <rPr>
            <sz val="11"/>
            <color theme="1"/>
            <rFont val="Calibri"/>
            <family val="2"/>
            <scheme val="minor"/>
          </rPr>
          <t>Seleccione el tipo de procedimiento</t>
        </r>
      </text>
    </comment>
    <comment ref="E2849" authorId="1" shapeId="0" xr:uid="{00000000-0006-0000-0100-0000B70A0000}">
      <text>
        <r>
          <rPr>
            <sz val="11"/>
            <color theme="1"/>
            <rFont val="Calibri"/>
            <family val="2"/>
            <scheme val="minor"/>
          </rPr>
          <t>Seleccione un valor de la lista</t>
        </r>
      </text>
    </comment>
    <comment ref="F2849" authorId="1" shapeId="0" xr:uid="{00000000-0006-0000-0100-0000B80A0000}">
      <text>
        <r>
          <rPr>
            <sz val="11"/>
            <color theme="1"/>
            <rFont val="Calibri"/>
            <family val="2"/>
            <scheme val="minor"/>
          </rPr>
          <t>Introduzca el código SNIP</t>
        </r>
      </text>
    </comment>
    <comment ref="C2850" authorId="1" shapeId="0" xr:uid="{00000000-0006-0000-0100-0000B90A0000}">
      <text>
        <r>
          <rPr>
            <sz val="11"/>
            <color theme="1"/>
            <rFont val="Calibri"/>
            <family val="2"/>
            <scheme val="minor"/>
          </rPr>
          <t>Introduzca la fecha de inicio del proceso, en formato dd-mm-aaaa</t>
        </r>
      </text>
    </comment>
    <comment ref="F2850" authorId="1" shapeId="0" xr:uid="{00000000-0006-0000-0100-0000BB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51" authorId="1" shapeId="0" xr:uid="{00000000-0006-0000-0100-0000BC0A0000}">
      <text/>
    </comment>
    <comment ref="C2852" authorId="1" shapeId="0" xr:uid="{00000000-0006-0000-0100-0000BA0A0000}">
      <text>
        <r>
          <rPr>
            <sz val="11"/>
            <color theme="1"/>
            <rFont val="Calibri"/>
            <family val="2"/>
            <scheme val="minor"/>
          </rPr>
          <t>Introduzca la fecha prevista de adjudicación, en formato dd-mm-aaaa</t>
        </r>
      </text>
    </comment>
    <comment ref="F2852" authorId="1" shapeId="0" xr:uid="{00000000-0006-0000-0100-0000BD0A0000}">
      <text/>
    </comment>
    <comment ref="F2853" authorId="1" shapeId="0" xr:uid="{00000000-0006-0000-0100-0000BE0A0000}">
      <text/>
    </comment>
    <comment ref="A2855" authorId="1" shapeId="0" xr:uid="{00000000-0006-0000-0100-0000BF0A0000}">
      <text>
        <r>
          <rPr>
            <sz val="11"/>
            <color theme="1"/>
            <rFont val="Calibri"/>
            <family val="2"/>
            <scheme val="minor"/>
          </rPr>
          <t>Introduzca un codigo UNSPSC</t>
        </r>
      </text>
    </comment>
    <comment ref="B2855" authorId="1" shapeId="0" xr:uid="{00000000-0006-0000-0100-0000C00A0000}">
      <text>
        <r>
          <rPr>
            <sz val="11"/>
            <color theme="1"/>
            <rFont val="Calibri"/>
            <family val="2"/>
            <scheme val="minor"/>
          </rPr>
          <t>Descripción calculada automáticamente a partir de código del artículo</t>
        </r>
      </text>
    </comment>
    <comment ref="C2855" authorId="1" shapeId="0" xr:uid="{00000000-0006-0000-0100-0000C10A0000}">
      <text>
        <r>
          <rPr>
            <sz val="11"/>
            <color theme="1"/>
            <rFont val="Calibri"/>
            <family val="2"/>
            <scheme val="minor"/>
          </rPr>
          <t>Seleccione un valor de la lista</t>
        </r>
      </text>
    </comment>
    <comment ref="D2855" authorId="1" shapeId="0" xr:uid="{00000000-0006-0000-0100-0000C20A0000}">
      <text>
        <r>
          <rPr>
            <sz val="11"/>
            <color theme="1"/>
            <rFont val="Calibri"/>
            <family val="2"/>
            <scheme val="minor"/>
          </rPr>
          <t>Introduzca un número con dos decimales como máximo. Debe ser igual o mayor a la "Cantidad Real Consumida"</t>
        </r>
      </text>
    </comment>
    <comment ref="E2855" authorId="1" shapeId="0" xr:uid="{00000000-0006-0000-0100-0000C30A0000}">
      <text>
        <r>
          <rPr>
            <sz val="11"/>
            <color theme="1"/>
            <rFont val="Calibri"/>
            <family val="2"/>
            <scheme val="minor"/>
          </rPr>
          <t>Introduzca un número con dos decimales como máximo</t>
        </r>
      </text>
    </comment>
    <comment ref="F2855" authorId="1" shapeId="0" xr:uid="{00000000-0006-0000-0100-0000C40A0000}">
      <text>
        <r>
          <rPr>
            <sz val="11"/>
            <color theme="1"/>
            <rFont val="Calibri"/>
            <family val="2"/>
            <scheme val="minor"/>
          </rPr>
          <t>Monto calculado automáticamente por el sistema</t>
        </r>
      </text>
    </comment>
    <comment ref="A2914" authorId="1" shapeId="0" xr:uid="{00000000-0006-0000-0100-0000C50A0000}">
      <text>
        <r>
          <rPr>
            <sz val="11"/>
            <color theme="1"/>
            <rFont val="Calibri"/>
            <family val="2"/>
            <scheme val="minor"/>
          </rPr>
          <t>Introducir un texto con el nombre o referencia de la contratación</t>
        </r>
      </text>
    </comment>
    <comment ref="B2914" authorId="1" shapeId="0" xr:uid="{00000000-0006-0000-0100-0000C60A0000}">
      <text>
        <r>
          <rPr>
            <sz val="11"/>
            <color theme="1"/>
            <rFont val="Calibri"/>
            <family val="2"/>
            <scheme val="minor"/>
          </rPr>
          <t>Introduzca un texto con la finalidad de la contratación</t>
        </r>
      </text>
    </comment>
    <comment ref="C2914" authorId="1" shapeId="0" xr:uid="{00000000-0006-0000-0100-0000C70A0000}">
      <text>
        <r>
          <rPr>
            <sz val="11"/>
            <color theme="1"/>
            <rFont val="Calibri"/>
            <family val="2"/>
            <scheme val="minor"/>
          </rPr>
          <t>Seleccionar un valor del listado</t>
        </r>
      </text>
    </comment>
    <comment ref="D2914" authorId="1" shapeId="0" xr:uid="{00000000-0006-0000-0100-0000C80A0000}">
      <text>
        <r>
          <rPr>
            <sz val="11"/>
            <color theme="1"/>
            <rFont val="Calibri"/>
            <family val="2"/>
            <scheme val="minor"/>
          </rPr>
          <t>Seleccione el tipo de procedimiento</t>
        </r>
      </text>
    </comment>
    <comment ref="E2914" authorId="1" shapeId="0" xr:uid="{00000000-0006-0000-0100-0000C90A0000}">
      <text>
        <r>
          <rPr>
            <sz val="11"/>
            <color theme="1"/>
            <rFont val="Calibri"/>
            <family val="2"/>
            <scheme val="minor"/>
          </rPr>
          <t>Seleccione un valor de la lista</t>
        </r>
      </text>
    </comment>
    <comment ref="F2914" authorId="1" shapeId="0" xr:uid="{00000000-0006-0000-0100-0000CA0A0000}">
      <text>
        <r>
          <rPr>
            <sz val="11"/>
            <color theme="1"/>
            <rFont val="Calibri"/>
            <family val="2"/>
            <scheme val="minor"/>
          </rPr>
          <t>Introduzca el código SNIP</t>
        </r>
      </text>
    </comment>
    <comment ref="C2915" authorId="1" shapeId="0" xr:uid="{00000000-0006-0000-0100-0000CB0A0000}">
      <text>
        <r>
          <rPr>
            <sz val="11"/>
            <color theme="1"/>
            <rFont val="Calibri"/>
            <family val="2"/>
            <scheme val="minor"/>
          </rPr>
          <t>Introduzca la fecha de inicio del proceso, en formato dd-mm-aaaa</t>
        </r>
      </text>
    </comment>
    <comment ref="F2915" authorId="1" shapeId="0" xr:uid="{00000000-0006-0000-0100-0000CD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16" authorId="1" shapeId="0" xr:uid="{00000000-0006-0000-0100-0000CE0A0000}">
      <text/>
    </comment>
    <comment ref="C2917" authorId="1" shapeId="0" xr:uid="{00000000-0006-0000-0100-0000CC0A0000}">
      <text>
        <r>
          <rPr>
            <sz val="11"/>
            <color theme="1"/>
            <rFont val="Calibri"/>
            <family val="2"/>
            <scheme val="minor"/>
          </rPr>
          <t>Introduzca la fecha prevista de adjudicación, en formato dd-mm-aaaa</t>
        </r>
      </text>
    </comment>
    <comment ref="F2917" authorId="1" shapeId="0" xr:uid="{00000000-0006-0000-0100-0000CF0A0000}">
      <text/>
    </comment>
    <comment ref="F2918" authorId="1" shapeId="0" xr:uid="{00000000-0006-0000-0100-0000D00A0000}">
      <text/>
    </comment>
    <comment ref="A2920" authorId="1" shapeId="0" xr:uid="{00000000-0006-0000-0100-0000D10A0000}">
      <text>
        <r>
          <rPr>
            <sz val="11"/>
            <color theme="1"/>
            <rFont val="Calibri"/>
            <family val="2"/>
            <scheme val="minor"/>
          </rPr>
          <t>Introduzca un codigo UNSPSC</t>
        </r>
      </text>
    </comment>
    <comment ref="B2920" authorId="1" shapeId="0" xr:uid="{00000000-0006-0000-0100-0000D20A0000}">
      <text>
        <r>
          <rPr>
            <sz val="11"/>
            <color theme="1"/>
            <rFont val="Calibri"/>
            <family val="2"/>
            <scheme val="minor"/>
          </rPr>
          <t>Descripción calculada automáticamente a partir de código del artículo</t>
        </r>
      </text>
    </comment>
    <comment ref="C2920" authorId="1" shapeId="0" xr:uid="{00000000-0006-0000-0100-0000D30A0000}">
      <text>
        <r>
          <rPr>
            <sz val="11"/>
            <color theme="1"/>
            <rFont val="Calibri"/>
            <family val="2"/>
            <scheme val="minor"/>
          </rPr>
          <t>Seleccione un valor de la lista</t>
        </r>
      </text>
    </comment>
    <comment ref="D2920" authorId="1" shapeId="0" xr:uid="{00000000-0006-0000-0100-0000D40A0000}">
      <text>
        <r>
          <rPr>
            <sz val="11"/>
            <color theme="1"/>
            <rFont val="Calibri"/>
            <family val="2"/>
            <scheme val="minor"/>
          </rPr>
          <t>Introduzca un número con dos decimales como máximo. Debe ser igual o mayor a la "Cantidad Real Consumida"</t>
        </r>
      </text>
    </comment>
    <comment ref="E2920" authorId="1" shapeId="0" xr:uid="{00000000-0006-0000-0100-0000D50A0000}">
      <text>
        <r>
          <rPr>
            <sz val="11"/>
            <color theme="1"/>
            <rFont val="Calibri"/>
            <family val="2"/>
            <scheme val="minor"/>
          </rPr>
          <t>Introduzca un número con dos decimales como máximo</t>
        </r>
      </text>
    </comment>
    <comment ref="F2920" authorId="1" shapeId="0" xr:uid="{00000000-0006-0000-0100-0000D60A0000}">
      <text>
        <r>
          <rPr>
            <sz val="11"/>
            <color theme="1"/>
            <rFont val="Calibri"/>
            <family val="2"/>
            <scheme val="minor"/>
          </rPr>
          <t>Monto calculado automáticamente por el sistema</t>
        </r>
      </text>
    </comment>
    <comment ref="A2940" authorId="1" shapeId="0" xr:uid="{00000000-0006-0000-0100-0000D70A0000}">
      <text>
        <r>
          <rPr>
            <sz val="11"/>
            <color theme="1"/>
            <rFont val="Calibri"/>
            <family val="2"/>
            <scheme val="minor"/>
          </rPr>
          <t>Introducir un texto con el nombre o referencia de la contratación</t>
        </r>
      </text>
    </comment>
    <comment ref="B2940" authorId="1" shapeId="0" xr:uid="{00000000-0006-0000-0100-0000D80A0000}">
      <text>
        <r>
          <rPr>
            <sz val="11"/>
            <color theme="1"/>
            <rFont val="Calibri"/>
            <family val="2"/>
            <scheme val="minor"/>
          </rPr>
          <t>Introduzca un texto con la finalidad de la contratación</t>
        </r>
      </text>
    </comment>
    <comment ref="C2940" authorId="1" shapeId="0" xr:uid="{00000000-0006-0000-0100-0000D90A0000}">
      <text>
        <r>
          <rPr>
            <sz val="11"/>
            <color theme="1"/>
            <rFont val="Calibri"/>
            <family val="2"/>
            <scheme val="minor"/>
          </rPr>
          <t>Seleccionar un valor del listado</t>
        </r>
      </text>
    </comment>
    <comment ref="D2940" authorId="1" shapeId="0" xr:uid="{00000000-0006-0000-0100-0000DA0A0000}">
      <text>
        <r>
          <rPr>
            <sz val="11"/>
            <color theme="1"/>
            <rFont val="Calibri"/>
            <family val="2"/>
            <scheme val="minor"/>
          </rPr>
          <t>Seleccione el tipo de procedimiento</t>
        </r>
      </text>
    </comment>
    <comment ref="E2940" authorId="1" shapeId="0" xr:uid="{00000000-0006-0000-0100-0000DB0A0000}">
      <text>
        <r>
          <rPr>
            <sz val="11"/>
            <color theme="1"/>
            <rFont val="Calibri"/>
            <family val="2"/>
            <scheme val="minor"/>
          </rPr>
          <t>Seleccione un valor de la lista</t>
        </r>
      </text>
    </comment>
    <comment ref="F2940" authorId="1" shapeId="0" xr:uid="{00000000-0006-0000-0100-0000DC0A0000}">
      <text>
        <r>
          <rPr>
            <sz val="11"/>
            <color theme="1"/>
            <rFont val="Calibri"/>
            <family val="2"/>
            <scheme val="minor"/>
          </rPr>
          <t>Introduzca el código SNIP</t>
        </r>
      </text>
    </comment>
    <comment ref="C2941" authorId="1" shapeId="0" xr:uid="{00000000-0006-0000-0100-0000DD0A0000}">
      <text>
        <r>
          <rPr>
            <sz val="11"/>
            <color theme="1"/>
            <rFont val="Calibri"/>
            <family val="2"/>
            <scheme val="minor"/>
          </rPr>
          <t>Introduzca la fecha de inicio del proceso, en formato dd-mm-aaaa</t>
        </r>
      </text>
    </comment>
    <comment ref="F2941" authorId="1" shapeId="0" xr:uid="{00000000-0006-0000-0100-0000DF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42" authorId="1" shapeId="0" xr:uid="{00000000-0006-0000-0100-0000E00A0000}">
      <text/>
    </comment>
    <comment ref="C2943" authorId="1" shapeId="0" xr:uid="{00000000-0006-0000-0100-0000DE0A0000}">
      <text>
        <r>
          <rPr>
            <sz val="11"/>
            <color theme="1"/>
            <rFont val="Calibri"/>
            <family val="2"/>
            <scheme val="minor"/>
          </rPr>
          <t>Introduzca la fecha prevista de adjudicación, en formato dd-mm-aaaa</t>
        </r>
      </text>
    </comment>
    <comment ref="F2943" authorId="1" shapeId="0" xr:uid="{00000000-0006-0000-0100-0000E10A0000}">
      <text/>
    </comment>
    <comment ref="F2944" authorId="1" shapeId="0" xr:uid="{00000000-0006-0000-0100-0000E20A0000}">
      <text/>
    </comment>
    <comment ref="A2946" authorId="1" shapeId="0" xr:uid="{00000000-0006-0000-0100-0000E30A0000}">
      <text>
        <r>
          <rPr>
            <sz val="11"/>
            <color theme="1"/>
            <rFont val="Calibri"/>
            <family val="2"/>
            <scheme val="minor"/>
          </rPr>
          <t>Introduzca un codigo UNSPSC</t>
        </r>
      </text>
    </comment>
    <comment ref="B2946" authorId="1" shapeId="0" xr:uid="{00000000-0006-0000-0100-0000E40A0000}">
      <text>
        <r>
          <rPr>
            <sz val="11"/>
            <color theme="1"/>
            <rFont val="Calibri"/>
            <family val="2"/>
            <scheme val="minor"/>
          </rPr>
          <t>Descripción calculada automáticamente a partir de código del artículo</t>
        </r>
      </text>
    </comment>
    <comment ref="C2946" authorId="1" shapeId="0" xr:uid="{00000000-0006-0000-0100-0000E50A0000}">
      <text>
        <r>
          <rPr>
            <sz val="11"/>
            <color theme="1"/>
            <rFont val="Calibri"/>
            <family val="2"/>
            <scheme val="minor"/>
          </rPr>
          <t>Seleccione un valor de la lista</t>
        </r>
      </text>
    </comment>
    <comment ref="D2946" authorId="1" shapeId="0" xr:uid="{00000000-0006-0000-0100-0000E60A0000}">
      <text>
        <r>
          <rPr>
            <sz val="11"/>
            <color theme="1"/>
            <rFont val="Calibri"/>
            <family val="2"/>
            <scheme val="minor"/>
          </rPr>
          <t>Introduzca un número con dos decimales como máximo. Debe ser igual o mayor a la "Cantidad Real Consumida"</t>
        </r>
      </text>
    </comment>
    <comment ref="E2946" authorId="1" shapeId="0" xr:uid="{00000000-0006-0000-0100-0000E70A0000}">
      <text>
        <r>
          <rPr>
            <sz val="11"/>
            <color theme="1"/>
            <rFont val="Calibri"/>
            <family val="2"/>
            <scheme val="minor"/>
          </rPr>
          <t>Introduzca un número con dos decimales como máximo</t>
        </r>
      </text>
    </comment>
    <comment ref="F2946" authorId="1" shapeId="0" xr:uid="{00000000-0006-0000-0100-0000E80A0000}">
      <text>
        <r>
          <rPr>
            <sz val="11"/>
            <color theme="1"/>
            <rFont val="Calibri"/>
            <family val="2"/>
            <scheme val="minor"/>
          </rPr>
          <t>Monto calculado automáticamente por el sistema</t>
        </r>
      </text>
    </comment>
    <comment ref="A2984" authorId="1" shapeId="0" xr:uid="{00000000-0006-0000-0100-0000E90A0000}">
      <text>
        <r>
          <rPr>
            <sz val="11"/>
            <color theme="1"/>
            <rFont val="Calibri"/>
            <family val="2"/>
            <scheme val="minor"/>
          </rPr>
          <t>Introducir un texto con el nombre o referencia de la contratación</t>
        </r>
      </text>
    </comment>
    <comment ref="B2984" authorId="1" shapeId="0" xr:uid="{00000000-0006-0000-0100-0000EA0A0000}">
      <text>
        <r>
          <rPr>
            <sz val="11"/>
            <color theme="1"/>
            <rFont val="Calibri"/>
            <family val="2"/>
            <scheme val="minor"/>
          </rPr>
          <t>Introduzca un texto con la finalidad de la contratación</t>
        </r>
      </text>
    </comment>
    <comment ref="C2984" authorId="1" shapeId="0" xr:uid="{00000000-0006-0000-0100-0000EB0A0000}">
      <text>
        <r>
          <rPr>
            <sz val="11"/>
            <color theme="1"/>
            <rFont val="Calibri"/>
            <family val="2"/>
            <scheme val="minor"/>
          </rPr>
          <t>Seleccionar un valor del listado</t>
        </r>
      </text>
    </comment>
    <comment ref="D2984" authorId="1" shapeId="0" xr:uid="{00000000-0006-0000-0100-0000EC0A0000}">
      <text>
        <r>
          <rPr>
            <sz val="11"/>
            <color theme="1"/>
            <rFont val="Calibri"/>
            <family val="2"/>
            <scheme val="minor"/>
          </rPr>
          <t>Seleccione el tipo de procedimiento</t>
        </r>
      </text>
    </comment>
    <comment ref="E2984" authorId="1" shapeId="0" xr:uid="{00000000-0006-0000-0100-0000ED0A0000}">
      <text>
        <r>
          <rPr>
            <sz val="11"/>
            <color theme="1"/>
            <rFont val="Calibri"/>
            <family val="2"/>
            <scheme val="minor"/>
          </rPr>
          <t>Seleccione un valor de la lista</t>
        </r>
      </text>
    </comment>
    <comment ref="F2984" authorId="1" shapeId="0" xr:uid="{00000000-0006-0000-0100-0000EE0A0000}">
      <text>
        <r>
          <rPr>
            <sz val="11"/>
            <color theme="1"/>
            <rFont val="Calibri"/>
            <family val="2"/>
            <scheme val="minor"/>
          </rPr>
          <t>Introduzca el código SNIP</t>
        </r>
      </text>
    </comment>
    <comment ref="C2985" authorId="1" shapeId="0" xr:uid="{00000000-0006-0000-0100-0000EF0A0000}">
      <text>
        <r>
          <rPr>
            <sz val="11"/>
            <color theme="1"/>
            <rFont val="Calibri"/>
            <family val="2"/>
            <scheme val="minor"/>
          </rPr>
          <t>Introduzca la fecha de inicio del proceso, en formato dd-mm-aaaa</t>
        </r>
      </text>
    </comment>
    <comment ref="F2985" authorId="1" shapeId="0" xr:uid="{00000000-0006-0000-0100-0000F1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86" authorId="1" shapeId="0" xr:uid="{00000000-0006-0000-0100-0000F20A0000}">
      <text/>
    </comment>
    <comment ref="C2987" authorId="1" shapeId="0" xr:uid="{00000000-0006-0000-0100-0000F00A0000}">
      <text>
        <r>
          <rPr>
            <sz val="11"/>
            <color theme="1"/>
            <rFont val="Calibri"/>
            <family val="2"/>
            <scheme val="minor"/>
          </rPr>
          <t>Introduzca la fecha prevista de adjudicación, en formato dd-mm-aaaa</t>
        </r>
      </text>
    </comment>
    <comment ref="F2987" authorId="1" shapeId="0" xr:uid="{00000000-0006-0000-0100-0000F30A0000}">
      <text/>
    </comment>
    <comment ref="F2988" authorId="1" shapeId="0" xr:uid="{00000000-0006-0000-0100-0000F40A0000}">
      <text/>
    </comment>
    <comment ref="A2990" authorId="1" shapeId="0" xr:uid="{00000000-0006-0000-0100-0000F50A0000}">
      <text>
        <r>
          <rPr>
            <sz val="11"/>
            <color theme="1"/>
            <rFont val="Calibri"/>
            <family val="2"/>
            <scheme val="minor"/>
          </rPr>
          <t>Introduzca un codigo UNSPSC</t>
        </r>
      </text>
    </comment>
    <comment ref="B2990" authorId="1" shapeId="0" xr:uid="{00000000-0006-0000-0100-0000F60A0000}">
      <text>
        <r>
          <rPr>
            <sz val="11"/>
            <color theme="1"/>
            <rFont val="Calibri"/>
            <family val="2"/>
            <scheme val="minor"/>
          </rPr>
          <t>Descripción calculada automáticamente a partir de código del artículo</t>
        </r>
      </text>
    </comment>
    <comment ref="C2990" authorId="1" shapeId="0" xr:uid="{00000000-0006-0000-0100-0000F70A0000}">
      <text>
        <r>
          <rPr>
            <sz val="11"/>
            <color theme="1"/>
            <rFont val="Calibri"/>
            <family val="2"/>
            <scheme val="minor"/>
          </rPr>
          <t>Seleccione un valor de la lista</t>
        </r>
      </text>
    </comment>
    <comment ref="D2990" authorId="1" shapeId="0" xr:uid="{00000000-0006-0000-0100-0000F80A0000}">
      <text>
        <r>
          <rPr>
            <sz val="11"/>
            <color theme="1"/>
            <rFont val="Calibri"/>
            <family val="2"/>
            <scheme val="minor"/>
          </rPr>
          <t>Introduzca un número con dos decimales como máximo. Debe ser igual o mayor a la "Cantidad Real Consumida"</t>
        </r>
      </text>
    </comment>
    <comment ref="E2990" authorId="1" shapeId="0" xr:uid="{00000000-0006-0000-0100-0000F90A0000}">
      <text>
        <r>
          <rPr>
            <sz val="11"/>
            <color theme="1"/>
            <rFont val="Calibri"/>
            <family val="2"/>
            <scheme val="minor"/>
          </rPr>
          <t>Introduzca un número con dos decimales como máximo</t>
        </r>
      </text>
    </comment>
    <comment ref="F2990" authorId="1" shapeId="0" xr:uid="{00000000-0006-0000-0100-0000FA0A0000}">
      <text>
        <r>
          <rPr>
            <sz val="11"/>
            <color theme="1"/>
            <rFont val="Calibri"/>
            <family val="2"/>
            <scheme val="minor"/>
          </rPr>
          <t>Monto calculado automáticamente por el sistema</t>
        </r>
      </text>
    </comment>
    <comment ref="A3005" authorId="1" shapeId="0" xr:uid="{00000000-0006-0000-0100-0000FB0A0000}">
      <text>
        <r>
          <rPr>
            <sz val="11"/>
            <color theme="1"/>
            <rFont val="Calibri"/>
            <family val="2"/>
            <scheme val="minor"/>
          </rPr>
          <t>Introducir un texto con el nombre o referencia de la contratación</t>
        </r>
      </text>
    </comment>
    <comment ref="B3005" authorId="1" shapeId="0" xr:uid="{00000000-0006-0000-0100-0000FC0A0000}">
      <text>
        <r>
          <rPr>
            <sz val="11"/>
            <color theme="1"/>
            <rFont val="Calibri"/>
            <family val="2"/>
            <scheme val="minor"/>
          </rPr>
          <t>Introduzca un texto con la finalidad de la contratación</t>
        </r>
      </text>
    </comment>
    <comment ref="C3005" authorId="1" shapeId="0" xr:uid="{00000000-0006-0000-0100-0000FD0A0000}">
      <text>
        <r>
          <rPr>
            <sz val="11"/>
            <color theme="1"/>
            <rFont val="Calibri"/>
            <family val="2"/>
            <scheme val="minor"/>
          </rPr>
          <t>Seleccionar un valor del listado</t>
        </r>
      </text>
    </comment>
    <comment ref="D3005" authorId="1" shapeId="0" xr:uid="{00000000-0006-0000-0100-0000FE0A0000}">
      <text>
        <r>
          <rPr>
            <sz val="11"/>
            <color theme="1"/>
            <rFont val="Calibri"/>
            <family val="2"/>
            <scheme val="minor"/>
          </rPr>
          <t>Seleccione el tipo de procedimiento</t>
        </r>
      </text>
    </comment>
    <comment ref="E3005" authorId="1" shapeId="0" xr:uid="{00000000-0006-0000-0100-0000FF0A0000}">
      <text>
        <r>
          <rPr>
            <sz val="11"/>
            <color theme="1"/>
            <rFont val="Calibri"/>
            <family val="2"/>
            <scheme val="minor"/>
          </rPr>
          <t>Seleccione un valor de la lista</t>
        </r>
      </text>
    </comment>
    <comment ref="F3005" authorId="1" shapeId="0" xr:uid="{00000000-0006-0000-0100-0000000B0000}">
      <text>
        <r>
          <rPr>
            <sz val="11"/>
            <color theme="1"/>
            <rFont val="Calibri"/>
            <family val="2"/>
            <scheme val="minor"/>
          </rPr>
          <t>Introduzca el código SNIP</t>
        </r>
      </text>
    </comment>
    <comment ref="C3006" authorId="1" shapeId="0" xr:uid="{00000000-0006-0000-0100-0000010B0000}">
      <text>
        <r>
          <rPr>
            <sz val="11"/>
            <color theme="1"/>
            <rFont val="Calibri"/>
            <family val="2"/>
            <scheme val="minor"/>
          </rPr>
          <t>Introduzca la fecha de inicio del proceso, en formato dd-mm-aaaa</t>
        </r>
      </text>
    </comment>
    <comment ref="F3006" authorId="1" shapeId="0" xr:uid="{00000000-0006-0000-0100-000003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07" authorId="1" shapeId="0" xr:uid="{00000000-0006-0000-0100-0000040B0000}">
      <text/>
    </comment>
    <comment ref="C3008" authorId="1" shapeId="0" xr:uid="{00000000-0006-0000-0100-0000020B0000}">
      <text>
        <r>
          <rPr>
            <sz val="11"/>
            <color theme="1"/>
            <rFont val="Calibri"/>
            <family val="2"/>
            <scheme val="minor"/>
          </rPr>
          <t>Introduzca la fecha prevista de adjudicación, en formato dd-mm-aaaa</t>
        </r>
      </text>
    </comment>
    <comment ref="F3008" authorId="1" shapeId="0" xr:uid="{00000000-0006-0000-0100-0000050B0000}">
      <text/>
    </comment>
    <comment ref="F3009" authorId="1" shapeId="0" xr:uid="{00000000-0006-0000-0100-0000060B0000}">
      <text/>
    </comment>
    <comment ref="A3011" authorId="1" shapeId="0" xr:uid="{00000000-0006-0000-0100-0000070B0000}">
      <text>
        <r>
          <rPr>
            <sz val="11"/>
            <color theme="1"/>
            <rFont val="Calibri"/>
            <family val="2"/>
            <scheme val="minor"/>
          </rPr>
          <t>Introduzca un codigo UNSPSC</t>
        </r>
      </text>
    </comment>
    <comment ref="B3011" authorId="1" shapeId="0" xr:uid="{00000000-0006-0000-0100-0000080B0000}">
      <text>
        <r>
          <rPr>
            <sz val="11"/>
            <color theme="1"/>
            <rFont val="Calibri"/>
            <family val="2"/>
            <scheme val="minor"/>
          </rPr>
          <t>Descripción calculada automáticamente a partir de código del artículo</t>
        </r>
      </text>
    </comment>
    <comment ref="C3011" authorId="1" shapeId="0" xr:uid="{00000000-0006-0000-0100-0000090B0000}">
      <text>
        <r>
          <rPr>
            <sz val="11"/>
            <color theme="1"/>
            <rFont val="Calibri"/>
            <family val="2"/>
            <scheme val="minor"/>
          </rPr>
          <t>Seleccione un valor de la lista</t>
        </r>
      </text>
    </comment>
    <comment ref="D3011" authorId="1" shapeId="0" xr:uid="{00000000-0006-0000-0100-00000A0B0000}">
      <text>
        <r>
          <rPr>
            <sz val="11"/>
            <color theme="1"/>
            <rFont val="Calibri"/>
            <family val="2"/>
            <scheme val="minor"/>
          </rPr>
          <t>Introduzca un número con dos decimales como máximo. Debe ser igual o mayor a la "Cantidad Real Consumida"</t>
        </r>
      </text>
    </comment>
    <comment ref="E3011" authorId="1" shapeId="0" xr:uid="{00000000-0006-0000-0100-00000B0B0000}">
      <text>
        <r>
          <rPr>
            <sz val="11"/>
            <color theme="1"/>
            <rFont val="Calibri"/>
            <family val="2"/>
            <scheme val="minor"/>
          </rPr>
          <t>Introduzca un número con dos decimales como máximo</t>
        </r>
      </text>
    </comment>
    <comment ref="F3011" authorId="1" shapeId="0" xr:uid="{00000000-0006-0000-0100-00000C0B0000}">
      <text>
        <r>
          <rPr>
            <sz val="11"/>
            <color theme="1"/>
            <rFont val="Calibri"/>
            <family val="2"/>
            <scheme val="minor"/>
          </rPr>
          <t>Monto calculado automáticamente por el sistema</t>
        </r>
      </text>
    </comment>
    <comment ref="A3017" authorId="1" shapeId="0" xr:uid="{00000000-0006-0000-0100-00000D0B0000}">
      <text>
        <r>
          <rPr>
            <sz val="11"/>
            <color theme="1"/>
            <rFont val="Calibri"/>
            <family val="2"/>
            <scheme val="minor"/>
          </rPr>
          <t>Introducir un texto con el nombre o referencia de la contratación</t>
        </r>
      </text>
    </comment>
    <comment ref="B3017" authorId="1" shapeId="0" xr:uid="{00000000-0006-0000-0100-00000E0B0000}">
      <text>
        <r>
          <rPr>
            <sz val="11"/>
            <color theme="1"/>
            <rFont val="Calibri"/>
            <family val="2"/>
            <scheme val="minor"/>
          </rPr>
          <t>Introduzca un texto con la finalidad de la contratación</t>
        </r>
      </text>
    </comment>
    <comment ref="C3017" authorId="1" shapeId="0" xr:uid="{00000000-0006-0000-0100-00000F0B0000}">
      <text>
        <r>
          <rPr>
            <sz val="11"/>
            <color theme="1"/>
            <rFont val="Calibri"/>
            <family val="2"/>
            <scheme val="minor"/>
          </rPr>
          <t>Seleccionar un valor del listado</t>
        </r>
      </text>
    </comment>
    <comment ref="D3017" authorId="1" shapeId="0" xr:uid="{00000000-0006-0000-0100-0000100B0000}">
      <text>
        <r>
          <rPr>
            <sz val="11"/>
            <color theme="1"/>
            <rFont val="Calibri"/>
            <family val="2"/>
            <scheme val="minor"/>
          </rPr>
          <t>Seleccione el tipo de procedimiento</t>
        </r>
      </text>
    </comment>
    <comment ref="E3017" authorId="1" shapeId="0" xr:uid="{00000000-0006-0000-0100-0000110B0000}">
      <text>
        <r>
          <rPr>
            <sz val="11"/>
            <color theme="1"/>
            <rFont val="Calibri"/>
            <family val="2"/>
            <scheme val="minor"/>
          </rPr>
          <t>Seleccione un valor de la lista</t>
        </r>
      </text>
    </comment>
    <comment ref="F3017" authorId="1" shapeId="0" xr:uid="{00000000-0006-0000-0100-0000120B0000}">
      <text>
        <r>
          <rPr>
            <sz val="11"/>
            <color theme="1"/>
            <rFont val="Calibri"/>
            <family val="2"/>
            <scheme val="minor"/>
          </rPr>
          <t>Introduzca el código SNIP</t>
        </r>
      </text>
    </comment>
    <comment ref="C3018" authorId="1" shapeId="0" xr:uid="{00000000-0006-0000-0100-0000130B0000}">
      <text>
        <r>
          <rPr>
            <sz val="11"/>
            <color theme="1"/>
            <rFont val="Calibri"/>
            <family val="2"/>
            <scheme val="minor"/>
          </rPr>
          <t>Introduzca la fecha de inicio del proceso, en formato dd-mm-aaaa</t>
        </r>
      </text>
    </comment>
    <comment ref="F3018" authorId="1" shapeId="0" xr:uid="{00000000-0006-0000-0100-000015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19" authorId="1" shapeId="0" xr:uid="{00000000-0006-0000-0100-0000160B0000}">
      <text/>
    </comment>
    <comment ref="C3020" authorId="1" shapeId="0" xr:uid="{00000000-0006-0000-0100-0000140B0000}">
      <text>
        <r>
          <rPr>
            <sz val="11"/>
            <color theme="1"/>
            <rFont val="Calibri"/>
            <family val="2"/>
            <scheme val="minor"/>
          </rPr>
          <t>Introduzca la fecha prevista de adjudicación, en formato dd-mm-aaaa</t>
        </r>
      </text>
    </comment>
    <comment ref="F3020" authorId="1" shapeId="0" xr:uid="{00000000-0006-0000-0100-0000170B0000}">
      <text/>
    </comment>
    <comment ref="F3021" authorId="1" shapeId="0" xr:uid="{00000000-0006-0000-0100-0000180B0000}">
      <text/>
    </comment>
    <comment ref="A3023" authorId="1" shapeId="0" xr:uid="{00000000-0006-0000-0100-0000190B0000}">
      <text>
        <r>
          <rPr>
            <sz val="11"/>
            <color theme="1"/>
            <rFont val="Calibri"/>
            <family val="2"/>
            <scheme val="minor"/>
          </rPr>
          <t>Introduzca un codigo UNSPSC</t>
        </r>
      </text>
    </comment>
    <comment ref="B3023" authorId="1" shapeId="0" xr:uid="{00000000-0006-0000-0100-00001A0B0000}">
      <text>
        <r>
          <rPr>
            <sz val="11"/>
            <color theme="1"/>
            <rFont val="Calibri"/>
            <family val="2"/>
            <scheme val="minor"/>
          </rPr>
          <t>Descripción calculada automáticamente a partir de código del artículo</t>
        </r>
      </text>
    </comment>
    <comment ref="C3023" authorId="1" shapeId="0" xr:uid="{00000000-0006-0000-0100-00001B0B0000}">
      <text>
        <r>
          <rPr>
            <sz val="11"/>
            <color theme="1"/>
            <rFont val="Calibri"/>
            <family val="2"/>
            <scheme val="minor"/>
          </rPr>
          <t>Seleccione un valor de la lista</t>
        </r>
      </text>
    </comment>
    <comment ref="D3023" authorId="1" shapeId="0" xr:uid="{00000000-0006-0000-0100-00001C0B0000}">
      <text>
        <r>
          <rPr>
            <sz val="11"/>
            <color theme="1"/>
            <rFont val="Calibri"/>
            <family val="2"/>
            <scheme val="minor"/>
          </rPr>
          <t>Introduzca un número con dos decimales como máximo. Debe ser igual o mayor a la "Cantidad Real Consumida"</t>
        </r>
      </text>
    </comment>
    <comment ref="E3023" authorId="1" shapeId="0" xr:uid="{00000000-0006-0000-0100-00001D0B0000}">
      <text>
        <r>
          <rPr>
            <sz val="11"/>
            <color theme="1"/>
            <rFont val="Calibri"/>
            <family val="2"/>
            <scheme val="minor"/>
          </rPr>
          <t>Introduzca un número con dos decimales como máximo</t>
        </r>
      </text>
    </comment>
    <comment ref="F3023" authorId="1" shapeId="0" xr:uid="{00000000-0006-0000-0100-00001E0B0000}">
      <text>
        <r>
          <rPr>
            <sz val="11"/>
            <color theme="1"/>
            <rFont val="Calibri"/>
            <family val="2"/>
            <scheme val="minor"/>
          </rPr>
          <t>Monto calculado automáticamente por el sistema</t>
        </r>
      </text>
    </comment>
    <comment ref="A3028" authorId="1" shapeId="0" xr:uid="{00000000-0006-0000-0100-00001F0B0000}">
      <text>
        <r>
          <rPr>
            <sz val="11"/>
            <color theme="1"/>
            <rFont val="Calibri"/>
            <family val="2"/>
            <scheme val="minor"/>
          </rPr>
          <t>Introducir un texto con el nombre o referencia de la contratación</t>
        </r>
      </text>
    </comment>
    <comment ref="B3028" authorId="1" shapeId="0" xr:uid="{00000000-0006-0000-0100-0000200B0000}">
      <text>
        <r>
          <rPr>
            <sz val="11"/>
            <color theme="1"/>
            <rFont val="Calibri"/>
            <family val="2"/>
            <scheme val="minor"/>
          </rPr>
          <t>Introduzca un texto con la finalidad de la contratación</t>
        </r>
      </text>
    </comment>
    <comment ref="C3028" authorId="1" shapeId="0" xr:uid="{00000000-0006-0000-0100-0000210B0000}">
      <text>
        <r>
          <rPr>
            <sz val="11"/>
            <color theme="1"/>
            <rFont val="Calibri"/>
            <family val="2"/>
            <scheme val="minor"/>
          </rPr>
          <t>Seleccionar un valor del listado</t>
        </r>
      </text>
    </comment>
    <comment ref="D3028" authorId="1" shapeId="0" xr:uid="{00000000-0006-0000-0100-0000220B0000}">
      <text>
        <r>
          <rPr>
            <sz val="11"/>
            <color theme="1"/>
            <rFont val="Calibri"/>
            <family val="2"/>
            <scheme val="minor"/>
          </rPr>
          <t>Seleccione el tipo de procedimiento</t>
        </r>
      </text>
    </comment>
    <comment ref="E3028" authorId="1" shapeId="0" xr:uid="{00000000-0006-0000-0100-0000230B0000}">
      <text>
        <r>
          <rPr>
            <sz val="11"/>
            <color theme="1"/>
            <rFont val="Calibri"/>
            <family val="2"/>
            <scheme val="minor"/>
          </rPr>
          <t>Seleccione un valor de la lista</t>
        </r>
      </text>
    </comment>
    <comment ref="F3028" authorId="1" shapeId="0" xr:uid="{00000000-0006-0000-0100-0000240B0000}">
      <text>
        <r>
          <rPr>
            <sz val="11"/>
            <color theme="1"/>
            <rFont val="Calibri"/>
            <family val="2"/>
            <scheme val="minor"/>
          </rPr>
          <t>Introduzca el código SNIP</t>
        </r>
      </text>
    </comment>
    <comment ref="C3029" authorId="1" shapeId="0" xr:uid="{00000000-0006-0000-0100-0000250B0000}">
      <text>
        <r>
          <rPr>
            <sz val="11"/>
            <color theme="1"/>
            <rFont val="Calibri"/>
            <family val="2"/>
            <scheme val="minor"/>
          </rPr>
          <t>Introduzca la fecha de inicio del proceso, en formato dd-mm-aaaa</t>
        </r>
      </text>
    </comment>
    <comment ref="F3029" authorId="1" shapeId="0" xr:uid="{00000000-0006-0000-0100-000027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30" authorId="1" shapeId="0" xr:uid="{00000000-0006-0000-0100-0000280B0000}">
      <text/>
    </comment>
    <comment ref="C3031" authorId="1" shapeId="0" xr:uid="{00000000-0006-0000-0100-0000260B0000}">
      <text>
        <r>
          <rPr>
            <sz val="11"/>
            <color theme="1"/>
            <rFont val="Calibri"/>
            <family val="2"/>
            <scheme val="minor"/>
          </rPr>
          <t>Introduzca la fecha prevista de adjudicación, en formato dd-mm-aaaa</t>
        </r>
      </text>
    </comment>
    <comment ref="F3031" authorId="1" shapeId="0" xr:uid="{00000000-0006-0000-0100-0000290B0000}">
      <text/>
    </comment>
    <comment ref="F3032" authorId="1" shapeId="0" xr:uid="{00000000-0006-0000-0100-00002A0B0000}">
      <text/>
    </comment>
    <comment ref="A3034" authorId="1" shapeId="0" xr:uid="{00000000-0006-0000-0100-00002B0B0000}">
      <text>
        <r>
          <rPr>
            <sz val="11"/>
            <color theme="1"/>
            <rFont val="Calibri"/>
            <family val="2"/>
            <scheme val="minor"/>
          </rPr>
          <t>Introduzca un codigo UNSPSC</t>
        </r>
      </text>
    </comment>
    <comment ref="B3034" authorId="1" shapeId="0" xr:uid="{00000000-0006-0000-0100-00002C0B0000}">
      <text>
        <r>
          <rPr>
            <sz val="11"/>
            <color theme="1"/>
            <rFont val="Calibri"/>
            <family val="2"/>
            <scheme val="minor"/>
          </rPr>
          <t>Descripción calculada automáticamente a partir de código del artículo</t>
        </r>
      </text>
    </comment>
    <comment ref="C3034" authorId="1" shapeId="0" xr:uid="{00000000-0006-0000-0100-00002D0B0000}">
      <text>
        <r>
          <rPr>
            <sz val="11"/>
            <color theme="1"/>
            <rFont val="Calibri"/>
            <family val="2"/>
            <scheme val="minor"/>
          </rPr>
          <t>Seleccione un valor de la lista</t>
        </r>
      </text>
    </comment>
    <comment ref="D3034" authorId="1" shapeId="0" xr:uid="{00000000-0006-0000-0100-00002E0B0000}">
      <text>
        <r>
          <rPr>
            <sz val="11"/>
            <color theme="1"/>
            <rFont val="Calibri"/>
            <family val="2"/>
            <scheme val="minor"/>
          </rPr>
          <t>Introduzca un número con dos decimales como máximo. Debe ser igual o mayor a la "Cantidad Real Consumida"</t>
        </r>
      </text>
    </comment>
    <comment ref="E3034" authorId="1" shapeId="0" xr:uid="{00000000-0006-0000-0100-00002F0B0000}">
      <text>
        <r>
          <rPr>
            <sz val="11"/>
            <color theme="1"/>
            <rFont val="Calibri"/>
            <family val="2"/>
            <scheme val="minor"/>
          </rPr>
          <t>Introduzca un número con dos decimales como máximo</t>
        </r>
      </text>
    </comment>
    <comment ref="F3034" authorId="1" shapeId="0" xr:uid="{00000000-0006-0000-0100-0000300B0000}">
      <text>
        <r>
          <rPr>
            <sz val="11"/>
            <color theme="1"/>
            <rFont val="Calibri"/>
            <family val="2"/>
            <scheme val="minor"/>
          </rPr>
          <t>Monto calculado automáticamente por el sistema</t>
        </r>
      </text>
    </comment>
    <comment ref="A3040" authorId="1" shapeId="0" xr:uid="{00000000-0006-0000-0100-0000310B0000}">
      <text>
        <r>
          <rPr>
            <sz val="11"/>
            <color theme="1"/>
            <rFont val="Calibri"/>
            <family val="2"/>
            <scheme val="minor"/>
          </rPr>
          <t>Introducir un texto con el nombre o referencia de la contratación</t>
        </r>
      </text>
    </comment>
    <comment ref="B3040" authorId="1" shapeId="0" xr:uid="{00000000-0006-0000-0100-0000320B0000}">
      <text>
        <r>
          <rPr>
            <sz val="11"/>
            <color theme="1"/>
            <rFont val="Calibri"/>
            <family val="2"/>
            <scheme val="minor"/>
          </rPr>
          <t>Introduzca un texto con la finalidad de la contratación</t>
        </r>
      </text>
    </comment>
    <comment ref="C3040" authorId="1" shapeId="0" xr:uid="{00000000-0006-0000-0100-0000330B0000}">
      <text>
        <r>
          <rPr>
            <sz val="11"/>
            <color theme="1"/>
            <rFont val="Calibri"/>
            <family val="2"/>
            <scheme val="minor"/>
          </rPr>
          <t>Seleccionar un valor del listado</t>
        </r>
      </text>
    </comment>
    <comment ref="D3040" authorId="1" shapeId="0" xr:uid="{00000000-0006-0000-0100-0000340B0000}">
      <text>
        <r>
          <rPr>
            <sz val="11"/>
            <color theme="1"/>
            <rFont val="Calibri"/>
            <family val="2"/>
            <scheme val="minor"/>
          </rPr>
          <t>Seleccione el tipo de procedimiento</t>
        </r>
      </text>
    </comment>
    <comment ref="E3040" authorId="1" shapeId="0" xr:uid="{00000000-0006-0000-0100-0000350B0000}">
      <text>
        <r>
          <rPr>
            <sz val="11"/>
            <color theme="1"/>
            <rFont val="Calibri"/>
            <family val="2"/>
            <scheme val="minor"/>
          </rPr>
          <t>Seleccione un valor de la lista</t>
        </r>
      </text>
    </comment>
    <comment ref="F3040" authorId="1" shapeId="0" xr:uid="{00000000-0006-0000-0100-0000360B0000}">
      <text>
        <r>
          <rPr>
            <sz val="11"/>
            <color theme="1"/>
            <rFont val="Calibri"/>
            <family val="2"/>
            <scheme val="minor"/>
          </rPr>
          <t>Introduzca el código SNIP</t>
        </r>
      </text>
    </comment>
    <comment ref="C3041" authorId="1" shapeId="0" xr:uid="{00000000-0006-0000-0100-0000370B0000}">
      <text>
        <r>
          <rPr>
            <sz val="11"/>
            <color theme="1"/>
            <rFont val="Calibri"/>
            <family val="2"/>
            <scheme val="minor"/>
          </rPr>
          <t>Introduzca la fecha de inicio del proceso, en formato dd-mm-aaaa</t>
        </r>
      </text>
    </comment>
    <comment ref="F3041" authorId="1" shapeId="0" xr:uid="{00000000-0006-0000-0100-000039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42" authorId="1" shapeId="0" xr:uid="{00000000-0006-0000-0100-00003A0B0000}">
      <text/>
    </comment>
    <comment ref="C3043" authorId="1" shapeId="0" xr:uid="{00000000-0006-0000-0100-0000380B0000}">
      <text>
        <r>
          <rPr>
            <sz val="11"/>
            <color theme="1"/>
            <rFont val="Calibri"/>
            <family val="2"/>
            <scheme val="minor"/>
          </rPr>
          <t>Introduzca la fecha prevista de adjudicación, en formato dd-mm-aaaa</t>
        </r>
      </text>
    </comment>
    <comment ref="F3043" authorId="1" shapeId="0" xr:uid="{00000000-0006-0000-0100-00003B0B0000}">
      <text/>
    </comment>
    <comment ref="F3044" authorId="1" shapeId="0" xr:uid="{00000000-0006-0000-0100-00003C0B0000}">
      <text/>
    </comment>
    <comment ref="A3046" authorId="1" shapeId="0" xr:uid="{00000000-0006-0000-0100-00003D0B0000}">
      <text>
        <r>
          <rPr>
            <sz val="11"/>
            <color theme="1"/>
            <rFont val="Calibri"/>
            <family val="2"/>
            <scheme val="minor"/>
          </rPr>
          <t>Introduzca un codigo UNSPSC</t>
        </r>
      </text>
    </comment>
    <comment ref="B3046" authorId="1" shapeId="0" xr:uid="{00000000-0006-0000-0100-00003E0B0000}">
      <text>
        <r>
          <rPr>
            <sz val="11"/>
            <color theme="1"/>
            <rFont val="Calibri"/>
            <family val="2"/>
            <scheme val="minor"/>
          </rPr>
          <t>Descripción calculada automáticamente a partir de código del artículo</t>
        </r>
      </text>
    </comment>
    <comment ref="C3046" authorId="1" shapeId="0" xr:uid="{00000000-0006-0000-0100-00003F0B0000}">
      <text>
        <r>
          <rPr>
            <sz val="11"/>
            <color theme="1"/>
            <rFont val="Calibri"/>
            <family val="2"/>
            <scheme val="minor"/>
          </rPr>
          <t>Seleccione un valor de la lista</t>
        </r>
      </text>
    </comment>
    <comment ref="D3046" authorId="1" shapeId="0" xr:uid="{00000000-0006-0000-0100-0000400B0000}">
      <text>
        <r>
          <rPr>
            <sz val="11"/>
            <color theme="1"/>
            <rFont val="Calibri"/>
            <family val="2"/>
            <scheme val="minor"/>
          </rPr>
          <t>Introduzca un número con dos decimales como máximo. Debe ser igual o mayor a la "Cantidad Real Consumida"</t>
        </r>
      </text>
    </comment>
    <comment ref="E3046" authorId="1" shapeId="0" xr:uid="{00000000-0006-0000-0100-0000410B0000}">
      <text>
        <r>
          <rPr>
            <sz val="11"/>
            <color theme="1"/>
            <rFont val="Calibri"/>
            <family val="2"/>
            <scheme val="minor"/>
          </rPr>
          <t>Introduzca un número con dos decimales como máximo</t>
        </r>
      </text>
    </comment>
    <comment ref="F3046" authorId="1" shapeId="0" xr:uid="{00000000-0006-0000-0100-0000420B0000}">
      <text>
        <r>
          <rPr>
            <sz val="11"/>
            <color theme="1"/>
            <rFont val="Calibri"/>
            <family val="2"/>
            <scheme val="minor"/>
          </rPr>
          <t>Monto calculado automáticamente por el sistema</t>
        </r>
      </text>
    </comment>
    <comment ref="A3066" authorId="1" shapeId="0" xr:uid="{00000000-0006-0000-0100-0000430B0000}">
      <text>
        <r>
          <rPr>
            <sz val="11"/>
            <color theme="1"/>
            <rFont val="Calibri"/>
            <family val="2"/>
            <scheme val="minor"/>
          </rPr>
          <t>Introducir un texto con el nombre o referencia de la contratación</t>
        </r>
      </text>
    </comment>
    <comment ref="B3066" authorId="1" shapeId="0" xr:uid="{00000000-0006-0000-0100-0000440B0000}">
      <text>
        <r>
          <rPr>
            <sz val="11"/>
            <color theme="1"/>
            <rFont val="Calibri"/>
            <family val="2"/>
            <scheme val="minor"/>
          </rPr>
          <t>Introduzca un texto con la finalidad de la contratación</t>
        </r>
      </text>
    </comment>
    <comment ref="C3066" authorId="1" shapeId="0" xr:uid="{00000000-0006-0000-0100-0000450B0000}">
      <text>
        <r>
          <rPr>
            <sz val="11"/>
            <color theme="1"/>
            <rFont val="Calibri"/>
            <family val="2"/>
            <scheme val="minor"/>
          </rPr>
          <t>Seleccionar un valor del listado</t>
        </r>
      </text>
    </comment>
    <comment ref="D3066" authorId="1" shapeId="0" xr:uid="{00000000-0006-0000-0100-0000460B0000}">
      <text>
        <r>
          <rPr>
            <sz val="11"/>
            <color theme="1"/>
            <rFont val="Calibri"/>
            <family val="2"/>
            <scheme val="minor"/>
          </rPr>
          <t>Seleccione el tipo de procedimiento</t>
        </r>
      </text>
    </comment>
    <comment ref="E3066" authorId="1" shapeId="0" xr:uid="{00000000-0006-0000-0100-0000470B0000}">
      <text>
        <r>
          <rPr>
            <sz val="11"/>
            <color theme="1"/>
            <rFont val="Calibri"/>
            <family val="2"/>
            <scheme val="minor"/>
          </rPr>
          <t>Seleccione un valor de la lista</t>
        </r>
      </text>
    </comment>
    <comment ref="F3066" authorId="1" shapeId="0" xr:uid="{00000000-0006-0000-0100-0000480B0000}">
      <text>
        <r>
          <rPr>
            <sz val="11"/>
            <color theme="1"/>
            <rFont val="Calibri"/>
            <family val="2"/>
            <scheme val="minor"/>
          </rPr>
          <t>Introduzca el código SNIP</t>
        </r>
      </text>
    </comment>
    <comment ref="C3067" authorId="1" shapeId="0" xr:uid="{00000000-0006-0000-0100-0000490B0000}">
      <text>
        <r>
          <rPr>
            <sz val="11"/>
            <color theme="1"/>
            <rFont val="Calibri"/>
            <family val="2"/>
            <scheme val="minor"/>
          </rPr>
          <t>Introduzca la fecha de inicio del proceso, en formato dd-mm-aaaa</t>
        </r>
      </text>
    </comment>
    <comment ref="F3067" authorId="1" shapeId="0" xr:uid="{00000000-0006-0000-0100-00004B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68" authorId="1" shapeId="0" xr:uid="{00000000-0006-0000-0100-00004C0B0000}">
      <text/>
    </comment>
    <comment ref="C3069" authorId="1" shapeId="0" xr:uid="{00000000-0006-0000-0100-00004A0B0000}">
      <text>
        <r>
          <rPr>
            <sz val="11"/>
            <color theme="1"/>
            <rFont val="Calibri"/>
            <family val="2"/>
            <scheme val="minor"/>
          </rPr>
          <t>Introduzca la fecha prevista de adjudicación, en formato dd-mm-aaaa</t>
        </r>
      </text>
    </comment>
    <comment ref="F3069" authorId="1" shapeId="0" xr:uid="{00000000-0006-0000-0100-00004D0B0000}">
      <text/>
    </comment>
    <comment ref="F3070" authorId="1" shapeId="0" xr:uid="{00000000-0006-0000-0100-00004E0B0000}">
      <text/>
    </comment>
    <comment ref="A3072" authorId="1" shapeId="0" xr:uid="{00000000-0006-0000-0100-00004F0B0000}">
      <text>
        <r>
          <rPr>
            <sz val="11"/>
            <color theme="1"/>
            <rFont val="Calibri"/>
            <family val="2"/>
            <scheme val="minor"/>
          </rPr>
          <t>Introduzca un codigo UNSPSC</t>
        </r>
      </text>
    </comment>
    <comment ref="B3072" authorId="1" shapeId="0" xr:uid="{00000000-0006-0000-0100-0000500B0000}">
      <text>
        <r>
          <rPr>
            <sz val="11"/>
            <color theme="1"/>
            <rFont val="Calibri"/>
            <family val="2"/>
            <scheme val="minor"/>
          </rPr>
          <t>Descripción calculada automáticamente a partir de código del artículo</t>
        </r>
      </text>
    </comment>
    <comment ref="C3072" authorId="1" shapeId="0" xr:uid="{00000000-0006-0000-0100-0000510B0000}">
      <text>
        <r>
          <rPr>
            <sz val="11"/>
            <color theme="1"/>
            <rFont val="Calibri"/>
            <family val="2"/>
            <scheme val="minor"/>
          </rPr>
          <t>Seleccione un valor de la lista</t>
        </r>
      </text>
    </comment>
    <comment ref="D3072" authorId="1" shapeId="0" xr:uid="{00000000-0006-0000-0100-0000520B0000}">
      <text>
        <r>
          <rPr>
            <sz val="11"/>
            <color theme="1"/>
            <rFont val="Calibri"/>
            <family val="2"/>
            <scheme val="minor"/>
          </rPr>
          <t>Introduzca un número con dos decimales como máximo. Debe ser igual o mayor a la "Cantidad Real Consumida"</t>
        </r>
      </text>
    </comment>
    <comment ref="E3072" authorId="1" shapeId="0" xr:uid="{00000000-0006-0000-0100-0000530B0000}">
      <text>
        <r>
          <rPr>
            <sz val="11"/>
            <color theme="1"/>
            <rFont val="Calibri"/>
            <family val="2"/>
            <scheme val="minor"/>
          </rPr>
          <t>Introduzca un número con dos decimales como máximo</t>
        </r>
      </text>
    </comment>
    <comment ref="F3072" authorId="1" shapeId="0" xr:uid="{00000000-0006-0000-0100-0000540B0000}">
      <text>
        <r>
          <rPr>
            <sz val="11"/>
            <color theme="1"/>
            <rFont val="Calibri"/>
            <family val="2"/>
            <scheme val="minor"/>
          </rPr>
          <t>Monto calculado automáticamente por el sistema</t>
        </r>
      </text>
    </comment>
    <comment ref="A3082" authorId="1" shapeId="0" xr:uid="{00000000-0006-0000-0100-0000550B0000}">
      <text>
        <r>
          <rPr>
            <sz val="11"/>
            <color theme="1"/>
            <rFont val="Calibri"/>
            <family val="2"/>
            <scheme val="minor"/>
          </rPr>
          <t>Introducir un texto con el nombre o referencia de la contratación</t>
        </r>
      </text>
    </comment>
    <comment ref="B3082" authorId="1" shapeId="0" xr:uid="{00000000-0006-0000-0100-0000560B0000}">
      <text>
        <r>
          <rPr>
            <sz val="11"/>
            <color theme="1"/>
            <rFont val="Calibri"/>
            <family val="2"/>
            <scheme val="minor"/>
          </rPr>
          <t>Introduzca un texto con la finalidad de la contratación</t>
        </r>
      </text>
    </comment>
    <comment ref="C3082" authorId="1" shapeId="0" xr:uid="{00000000-0006-0000-0100-0000570B0000}">
      <text>
        <r>
          <rPr>
            <sz val="11"/>
            <color theme="1"/>
            <rFont val="Calibri"/>
            <family val="2"/>
            <scheme val="minor"/>
          </rPr>
          <t>Seleccionar un valor del listado</t>
        </r>
      </text>
    </comment>
    <comment ref="D3082" authorId="1" shapeId="0" xr:uid="{00000000-0006-0000-0100-0000580B0000}">
      <text>
        <r>
          <rPr>
            <sz val="11"/>
            <color theme="1"/>
            <rFont val="Calibri"/>
            <family val="2"/>
            <scheme val="minor"/>
          </rPr>
          <t>Seleccione el tipo de procedimiento</t>
        </r>
      </text>
    </comment>
    <comment ref="E3082" authorId="1" shapeId="0" xr:uid="{00000000-0006-0000-0100-0000590B0000}">
      <text>
        <r>
          <rPr>
            <sz val="11"/>
            <color theme="1"/>
            <rFont val="Calibri"/>
            <family val="2"/>
            <scheme val="minor"/>
          </rPr>
          <t>Seleccione un valor de la lista</t>
        </r>
      </text>
    </comment>
    <comment ref="F3082" authorId="1" shapeId="0" xr:uid="{00000000-0006-0000-0100-00005A0B0000}">
      <text>
        <r>
          <rPr>
            <sz val="11"/>
            <color theme="1"/>
            <rFont val="Calibri"/>
            <family val="2"/>
            <scheme val="minor"/>
          </rPr>
          <t>Introduzca el código SNIP</t>
        </r>
      </text>
    </comment>
    <comment ref="C3083" authorId="1" shapeId="0" xr:uid="{00000000-0006-0000-0100-00005B0B0000}">
      <text>
        <r>
          <rPr>
            <sz val="11"/>
            <color theme="1"/>
            <rFont val="Calibri"/>
            <family val="2"/>
            <scheme val="minor"/>
          </rPr>
          <t>Introduzca la fecha de inicio del proceso, en formato dd-mm-aaaa</t>
        </r>
      </text>
    </comment>
    <comment ref="F3083" authorId="1" shapeId="0" xr:uid="{00000000-0006-0000-0100-00005D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84" authorId="1" shapeId="0" xr:uid="{00000000-0006-0000-0100-00005E0B0000}">
      <text/>
    </comment>
    <comment ref="C3085" authorId="1" shapeId="0" xr:uid="{00000000-0006-0000-0100-00005C0B0000}">
      <text>
        <r>
          <rPr>
            <sz val="11"/>
            <color theme="1"/>
            <rFont val="Calibri"/>
            <family val="2"/>
            <scheme val="minor"/>
          </rPr>
          <t>Introduzca la fecha prevista de adjudicación, en formato dd-mm-aaaa</t>
        </r>
      </text>
    </comment>
    <comment ref="F3085" authorId="1" shapeId="0" xr:uid="{00000000-0006-0000-0100-00005F0B0000}">
      <text/>
    </comment>
    <comment ref="F3086" authorId="1" shapeId="0" xr:uid="{00000000-0006-0000-0100-0000600B0000}">
      <text/>
    </comment>
    <comment ref="A3088" authorId="1" shapeId="0" xr:uid="{00000000-0006-0000-0100-0000610B0000}">
      <text>
        <r>
          <rPr>
            <sz val="11"/>
            <color theme="1"/>
            <rFont val="Calibri"/>
            <family val="2"/>
            <scheme val="minor"/>
          </rPr>
          <t>Introduzca un codigo UNSPSC</t>
        </r>
      </text>
    </comment>
    <comment ref="B3088" authorId="1" shapeId="0" xr:uid="{00000000-0006-0000-0100-0000620B0000}">
      <text>
        <r>
          <rPr>
            <sz val="11"/>
            <color theme="1"/>
            <rFont val="Calibri"/>
            <family val="2"/>
            <scheme val="minor"/>
          </rPr>
          <t>Descripción calculada automáticamente a partir de código del artículo</t>
        </r>
      </text>
    </comment>
    <comment ref="C3088" authorId="1" shapeId="0" xr:uid="{00000000-0006-0000-0100-0000630B0000}">
      <text>
        <r>
          <rPr>
            <sz val="11"/>
            <color theme="1"/>
            <rFont val="Calibri"/>
            <family val="2"/>
            <scheme val="minor"/>
          </rPr>
          <t>Seleccione un valor de la lista</t>
        </r>
      </text>
    </comment>
    <comment ref="D3088" authorId="1" shapeId="0" xr:uid="{00000000-0006-0000-0100-0000640B0000}">
      <text>
        <r>
          <rPr>
            <sz val="11"/>
            <color theme="1"/>
            <rFont val="Calibri"/>
            <family val="2"/>
            <scheme val="minor"/>
          </rPr>
          <t>Introduzca un número con dos decimales como máximo. Debe ser igual o mayor a la "Cantidad Real Consumida"</t>
        </r>
      </text>
    </comment>
    <comment ref="E3088" authorId="1" shapeId="0" xr:uid="{00000000-0006-0000-0100-0000650B0000}">
      <text>
        <r>
          <rPr>
            <sz val="11"/>
            <color theme="1"/>
            <rFont val="Calibri"/>
            <family val="2"/>
            <scheme val="minor"/>
          </rPr>
          <t>Introduzca un número con dos decimales como máximo</t>
        </r>
      </text>
    </comment>
    <comment ref="F3088" authorId="1" shapeId="0" xr:uid="{00000000-0006-0000-0100-0000660B0000}">
      <text>
        <r>
          <rPr>
            <sz val="11"/>
            <color theme="1"/>
            <rFont val="Calibri"/>
            <family val="2"/>
            <scheme val="minor"/>
          </rPr>
          <t>Monto calculado automáticamente por el sistema</t>
        </r>
      </text>
    </comment>
    <comment ref="A3093" authorId="1" shapeId="0" xr:uid="{00000000-0006-0000-0100-0000670B0000}">
      <text>
        <r>
          <rPr>
            <sz val="11"/>
            <color theme="1"/>
            <rFont val="Calibri"/>
            <family val="2"/>
            <scheme val="minor"/>
          </rPr>
          <t>Introducir un texto con el nombre o referencia de la contratación</t>
        </r>
      </text>
    </comment>
    <comment ref="B3093" authorId="1" shapeId="0" xr:uid="{00000000-0006-0000-0100-0000680B0000}">
      <text>
        <r>
          <rPr>
            <sz val="11"/>
            <color theme="1"/>
            <rFont val="Calibri"/>
            <family val="2"/>
            <scheme val="minor"/>
          </rPr>
          <t>Introduzca un texto con la finalidad de la contratación</t>
        </r>
      </text>
    </comment>
    <comment ref="C3093" authorId="1" shapeId="0" xr:uid="{00000000-0006-0000-0100-0000690B0000}">
      <text>
        <r>
          <rPr>
            <sz val="11"/>
            <color theme="1"/>
            <rFont val="Calibri"/>
            <family val="2"/>
            <scheme val="minor"/>
          </rPr>
          <t>Seleccionar un valor del listado</t>
        </r>
      </text>
    </comment>
    <comment ref="D3093" authorId="1" shapeId="0" xr:uid="{00000000-0006-0000-0100-00006A0B0000}">
      <text>
        <r>
          <rPr>
            <sz val="11"/>
            <color theme="1"/>
            <rFont val="Calibri"/>
            <family val="2"/>
            <scheme val="minor"/>
          </rPr>
          <t>Seleccione el tipo de procedimiento</t>
        </r>
      </text>
    </comment>
    <comment ref="E3093" authorId="1" shapeId="0" xr:uid="{00000000-0006-0000-0100-00006B0B0000}">
      <text>
        <r>
          <rPr>
            <sz val="11"/>
            <color theme="1"/>
            <rFont val="Calibri"/>
            <family val="2"/>
            <scheme val="minor"/>
          </rPr>
          <t>Seleccione un valor de la lista</t>
        </r>
      </text>
    </comment>
    <comment ref="F3093" authorId="1" shapeId="0" xr:uid="{00000000-0006-0000-0100-00006C0B0000}">
      <text>
        <r>
          <rPr>
            <sz val="11"/>
            <color theme="1"/>
            <rFont val="Calibri"/>
            <family val="2"/>
            <scheme val="minor"/>
          </rPr>
          <t>Introduzca el código SNIP</t>
        </r>
      </text>
    </comment>
    <comment ref="C3094" authorId="1" shapeId="0" xr:uid="{00000000-0006-0000-0100-00006D0B0000}">
      <text>
        <r>
          <rPr>
            <sz val="11"/>
            <color theme="1"/>
            <rFont val="Calibri"/>
            <family val="2"/>
            <scheme val="minor"/>
          </rPr>
          <t>Introduzca la fecha de inicio del proceso, en formato dd-mm-aaaa</t>
        </r>
      </text>
    </comment>
    <comment ref="F3094" authorId="1" shapeId="0" xr:uid="{00000000-0006-0000-0100-00006F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95" authorId="1" shapeId="0" xr:uid="{00000000-0006-0000-0100-0000700B0000}">
      <text/>
    </comment>
    <comment ref="C3096" authorId="1" shapeId="0" xr:uid="{00000000-0006-0000-0100-00006E0B0000}">
      <text>
        <r>
          <rPr>
            <sz val="11"/>
            <color theme="1"/>
            <rFont val="Calibri"/>
            <family val="2"/>
            <scheme val="minor"/>
          </rPr>
          <t>Introduzca la fecha prevista de adjudicación, en formato dd-mm-aaaa</t>
        </r>
      </text>
    </comment>
    <comment ref="F3096" authorId="1" shapeId="0" xr:uid="{00000000-0006-0000-0100-0000710B0000}">
      <text/>
    </comment>
    <comment ref="F3097" authorId="1" shapeId="0" xr:uid="{00000000-0006-0000-0100-0000720B0000}">
      <text/>
    </comment>
    <comment ref="A3099" authorId="1" shapeId="0" xr:uid="{00000000-0006-0000-0100-0000730B0000}">
      <text>
        <r>
          <rPr>
            <sz val="11"/>
            <color theme="1"/>
            <rFont val="Calibri"/>
            <family val="2"/>
            <scheme val="minor"/>
          </rPr>
          <t>Introduzca un codigo UNSPSC</t>
        </r>
      </text>
    </comment>
    <comment ref="B3099" authorId="1" shapeId="0" xr:uid="{00000000-0006-0000-0100-0000740B0000}">
      <text>
        <r>
          <rPr>
            <sz val="11"/>
            <color theme="1"/>
            <rFont val="Calibri"/>
            <family val="2"/>
            <scheme val="minor"/>
          </rPr>
          <t>Descripción calculada automáticamente a partir de código del artículo</t>
        </r>
      </text>
    </comment>
    <comment ref="C3099" authorId="1" shapeId="0" xr:uid="{00000000-0006-0000-0100-0000750B0000}">
      <text>
        <r>
          <rPr>
            <sz val="11"/>
            <color theme="1"/>
            <rFont val="Calibri"/>
            <family val="2"/>
            <scheme val="minor"/>
          </rPr>
          <t>Seleccione un valor de la lista</t>
        </r>
      </text>
    </comment>
    <comment ref="D3099" authorId="1" shapeId="0" xr:uid="{00000000-0006-0000-0100-0000760B0000}">
      <text>
        <r>
          <rPr>
            <sz val="11"/>
            <color theme="1"/>
            <rFont val="Calibri"/>
            <family val="2"/>
            <scheme val="minor"/>
          </rPr>
          <t>Introduzca un número con dos decimales como máximo. Debe ser igual o mayor a la "Cantidad Real Consumida"</t>
        </r>
      </text>
    </comment>
    <comment ref="E3099" authorId="1" shapeId="0" xr:uid="{00000000-0006-0000-0100-0000770B0000}">
      <text>
        <r>
          <rPr>
            <sz val="11"/>
            <color theme="1"/>
            <rFont val="Calibri"/>
            <family val="2"/>
            <scheme val="minor"/>
          </rPr>
          <t>Introduzca un número con dos decimales como máximo</t>
        </r>
      </text>
    </comment>
    <comment ref="F3099" authorId="1" shapeId="0" xr:uid="{00000000-0006-0000-0100-0000780B0000}">
      <text>
        <r>
          <rPr>
            <sz val="11"/>
            <color theme="1"/>
            <rFont val="Calibri"/>
            <family val="2"/>
            <scheme val="minor"/>
          </rPr>
          <t>Monto calculado automáticamente por el sistema</t>
        </r>
      </text>
    </comment>
    <comment ref="A3112" authorId="1" shapeId="0" xr:uid="{00000000-0006-0000-0100-0000790B0000}">
      <text>
        <r>
          <rPr>
            <sz val="11"/>
            <color theme="1"/>
            <rFont val="Calibri"/>
            <family val="2"/>
            <scheme val="minor"/>
          </rPr>
          <t>Introducir un texto con el nombre o referencia de la contratación</t>
        </r>
      </text>
    </comment>
    <comment ref="B3112" authorId="1" shapeId="0" xr:uid="{00000000-0006-0000-0100-00007A0B0000}">
      <text>
        <r>
          <rPr>
            <sz val="11"/>
            <color theme="1"/>
            <rFont val="Calibri"/>
            <family val="2"/>
            <scheme val="minor"/>
          </rPr>
          <t>Introduzca un texto con la finalidad de la contratación</t>
        </r>
      </text>
    </comment>
    <comment ref="C3112" authorId="1" shapeId="0" xr:uid="{00000000-0006-0000-0100-00007B0B0000}">
      <text>
        <r>
          <rPr>
            <sz val="11"/>
            <color theme="1"/>
            <rFont val="Calibri"/>
            <family val="2"/>
            <scheme val="minor"/>
          </rPr>
          <t>Seleccionar un valor del listado</t>
        </r>
      </text>
    </comment>
    <comment ref="D3112" authorId="1" shapeId="0" xr:uid="{00000000-0006-0000-0100-00007C0B0000}">
      <text>
        <r>
          <rPr>
            <sz val="11"/>
            <color theme="1"/>
            <rFont val="Calibri"/>
            <family val="2"/>
            <scheme val="minor"/>
          </rPr>
          <t>Seleccione el tipo de procedimiento</t>
        </r>
      </text>
    </comment>
    <comment ref="E3112" authorId="1" shapeId="0" xr:uid="{00000000-0006-0000-0100-00007D0B0000}">
      <text>
        <r>
          <rPr>
            <sz val="11"/>
            <color theme="1"/>
            <rFont val="Calibri"/>
            <family val="2"/>
            <scheme val="minor"/>
          </rPr>
          <t>Seleccione un valor de la lista</t>
        </r>
      </text>
    </comment>
    <comment ref="F3112" authorId="1" shapeId="0" xr:uid="{00000000-0006-0000-0100-00007E0B0000}">
      <text>
        <r>
          <rPr>
            <sz val="11"/>
            <color theme="1"/>
            <rFont val="Calibri"/>
            <family val="2"/>
            <scheme val="minor"/>
          </rPr>
          <t>Introduzca el código SNIP</t>
        </r>
      </text>
    </comment>
    <comment ref="C3113" authorId="1" shapeId="0" xr:uid="{00000000-0006-0000-0100-00007F0B0000}">
      <text>
        <r>
          <rPr>
            <sz val="11"/>
            <color theme="1"/>
            <rFont val="Calibri"/>
            <family val="2"/>
            <scheme val="minor"/>
          </rPr>
          <t>Introduzca la fecha de inicio del proceso, en formato dd-mm-aaaa</t>
        </r>
      </text>
    </comment>
    <comment ref="F3113" authorId="1" shapeId="0" xr:uid="{00000000-0006-0000-0100-000081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14" authorId="1" shapeId="0" xr:uid="{00000000-0006-0000-0100-0000820B0000}">
      <text/>
    </comment>
    <comment ref="C3115" authorId="1" shapeId="0" xr:uid="{00000000-0006-0000-0100-0000800B0000}">
      <text>
        <r>
          <rPr>
            <sz val="11"/>
            <color theme="1"/>
            <rFont val="Calibri"/>
            <family val="2"/>
            <scheme val="minor"/>
          </rPr>
          <t>Introduzca la fecha prevista de adjudicación, en formato dd-mm-aaaa</t>
        </r>
      </text>
    </comment>
    <comment ref="F3115" authorId="1" shapeId="0" xr:uid="{00000000-0006-0000-0100-0000830B0000}">
      <text/>
    </comment>
    <comment ref="F3116" authorId="1" shapeId="0" xr:uid="{00000000-0006-0000-0100-0000840B0000}">
      <text/>
    </comment>
    <comment ref="A3118" authorId="1" shapeId="0" xr:uid="{00000000-0006-0000-0100-0000850B0000}">
      <text>
        <r>
          <rPr>
            <sz val="11"/>
            <color theme="1"/>
            <rFont val="Calibri"/>
            <family val="2"/>
            <scheme val="minor"/>
          </rPr>
          <t>Introduzca un codigo UNSPSC</t>
        </r>
      </text>
    </comment>
    <comment ref="B3118" authorId="1" shapeId="0" xr:uid="{00000000-0006-0000-0100-0000860B0000}">
      <text>
        <r>
          <rPr>
            <sz val="11"/>
            <color theme="1"/>
            <rFont val="Calibri"/>
            <family val="2"/>
            <scheme val="minor"/>
          </rPr>
          <t>Descripción calculada automáticamente a partir de código del artículo</t>
        </r>
      </text>
    </comment>
    <comment ref="C3118" authorId="1" shapeId="0" xr:uid="{00000000-0006-0000-0100-0000870B0000}">
      <text>
        <r>
          <rPr>
            <sz val="11"/>
            <color theme="1"/>
            <rFont val="Calibri"/>
            <family val="2"/>
            <scheme val="minor"/>
          </rPr>
          <t>Seleccione un valor de la lista</t>
        </r>
      </text>
    </comment>
    <comment ref="D3118" authorId="1" shapeId="0" xr:uid="{00000000-0006-0000-0100-0000880B0000}">
      <text>
        <r>
          <rPr>
            <sz val="11"/>
            <color theme="1"/>
            <rFont val="Calibri"/>
            <family val="2"/>
            <scheme val="minor"/>
          </rPr>
          <t>Introduzca un número con dos decimales como máximo. Debe ser igual o mayor a la "Cantidad Real Consumida"</t>
        </r>
      </text>
    </comment>
    <comment ref="E3118" authorId="1" shapeId="0" xr:uid="{00000000-0006-0000-0100-0000890B0000}">
      <text>
        <r>
          <rPr>
            <sz val="11"/>
            <color theme="1"/>
            <rFont val="Calibri"/>
            <family val="2"/>
            <scheme val="minor"/>
          </rPr>
          <t>Introduzca un número con dos decimales como máximo</t>
        </r>
      </text>
    </comment>
    <comment ref="F3118" authorId="1" shapeId="0" xr:uid="{00000000-0006-0000-0100-00008A0B0000}">
      <text>
        <r>
          <rPr>
            <sz val="11"/>
            <color theme="1"/>
            <rFont val="Calibri"/>
            <family val="2"/>
            <scheme val="minor"/>
          </rPr>
          <t>Monto calculado automáticamente por el sistema</t>
        </r>
      </text>
    </comment>
    <comment ref="A3123" authorId="1" shapeId="0" xr:uid="{00000000-0006-0000-0100-00008B0B0000}">
      <text>
        <r>
          <rPr>
            <sz val="11"/>
            <color theme="1"/>
            <rFont val="Calibri"/>
            <family val="2"/>
            <scheme val="minor"/>
          </rPr>
          <t>Introducir un texto con el nombre o referencia de la contratación</t>
        </r>
      </text>
    </comment>
    <comment ref="B3123" authorId="1" shapeId="0" xr:uid="{00000000-0006-0000-0100-00008C0B0000}">
      <text>
        <r>
          <rPr>
            <sz val="11"/>
            <color theme="1"/>
            <rFont val="Calibri"/>
            <family val="2"/>
            <scheme val="minor"/>
          </rPr>
          <t>Introduzca un texto con la finalidad de la contratación</t>
        </r>
      </text>
    </comment>
    <comment ref="C3123" authorId="1" shapeId="0" xr:uid="{00000000-0006-0000-0100-00008D0B0000}">
      <text>
        <r>
          <rPr>
            <sz val="11"/>
            <color theme="1"/>
            <rFont val="Calibri"/>
            <family val="2"/>
            <scheme val="minor"/>
          </rPr>
          <t>Seleccionar un valor del listado</t>
        </r>
      </text>
    </comment>
    <comment ref="D3123" authorId="1" shapeId="0" xr:uid="{00000000-0006-0000-0100-00008E0B0000}">
      <text>
        <r>
          <rPr>
            <sz val="11"/>
            <color theme="1"/>
            <rFont val="Calibri"/>
            <family val="2"/>
            <scheme val="minor"/>
          </rPr>
          <t>Seleccione el tipo de procedimiento</t>
        </r>
      </text>
    </comment>
    <comment ref="E3123" authorId="1" shapeId="0" xr:uid="{00000000-0006-0000-0100-00008F0B0000}">
      <text>
        <r>
          <rPr>
            <sz val="11"/>
            <color theme="1"/>
            <rFont val="Calibri"/>
            <family val="2"/>
            <scheme val="minor"/>
          </rPr>
          <t>Seleccione un valor de la lista</t>
        </r>
      </text>
    </comment>
    <comment ref="F3123" authorId="1" shapeId="0" xr:uid="{00000000-0006-0000-0100-0000900B0000}">
      <text>
        <r>
          <rPr>
            <sz val="11"/>
            <color theme="1"/>
            <rFont val="Calibri"/>
            <family val="2"/>
            <scheme val="minor"/>
          </rPr>
          <t>Introduzca el código SNIP</t>
        </r>
      </text>
    </comment>
    <comment ref="C3124" authorId="1" shapeId="0" xr:uid="{00000000-0006-0000-0100-0000910B0000}">
      <text>
        <r>
          <rPr>
            <sz val="11"/>
            <color theme="1"/>
            <rFont val="Calibri"/>
            <family val="2"/>
            <scheme val="minor"/>
          </rPr>
          <t>Introduzca la fecha de inicio del proceso, en formato dd-mm-aaaa</t>
        </r>
      </text>
    </comment>
    <comment ref="F3124" authorId="1" shapeId="0" xr:uid="{00000000-0006-0000-0100-000093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25" authorId="1" shapeId="0" xr:uid="{00000000-0006-0000-0100-0000940B0000}">
      <text/>
    </comment>
    <comment ref="C3126" authorId="1" shapeId="0" xr:uid="{00000000-0006-0000-0100-0000920B0000}">
      <text>
        <r>
          <rPr>
            <sz val="11"/>
            <color theme="1"/>
            <rFont val="Calibri"/>
            <family val="2"/>
            <scheme val="minor"/>
          </rPr>
          <t>Introduzca la fecha prevista de adjudicación, en formato dd-mm-aaaa</t>
        </r>
      </text>
    </comment>
    <comment ref="F3126" authorId="1" shapeId="0" xr:uid="{00000000-0006-0000-0100-0000950B0000}">
      <text/>
    </comment>
    <comment ref="F3127" authorId="1" shapeId="0" xr:uid="{00000000-0006-0000-0100-0000960B0000}">
      <text/>
    </comment>
    <comment ref="A3129" authorId="1" shapeId="0" xr:uid="{00000000-0006-0000-0100-0000970B0000}">
      <text>
        <r>
          <rPr>
            <sz val="11"/>
            <color theme="1"/>
            <rFont val="Calibri"/>
            <family val="2"/>
            <scheme val="minor"/>
          </rPr>
          <t>Introduzca un codigo UNSPSC</t>
        </r>
      </text>
    </comment>
    <comment ref="B3129" authorId="1" shapeId="0" xr:uid="{00000000-0006-0000-0100-0000980B0000}">
      <text>
        <r>
          <rPr>
            <sz val="11"/>
            <color theme="1"/>
            <rFont val="Calibri"/>
            <family val="2"/>
            <scheme val="minor"/>
          </rPr>
          <t>Descripción calculada automáticamente a partir de código del artículo</t>
        </r>
      </text>
    </comment>
    <comment ref="C3129" authorId="1" shapeId="0" xr:uid="{00000000-0006-0000-0100-0000990B0000}">
      <text>
        <r>
          <rPr>
            <sz val="11"/>
            <color theme="1"/>
            <rFont val="Calibri"/>
            <family val="2"/>
            <scheme val="minor"/>
          </rPr>
          <t>Seleccione un valor de la lista</t>
        </r>
      </text>
    </comment>
    <comment ref="D3129" authorId="1" shapeId="0" xr:uid="{00000000-0006-0000-0100-00009A0B0000}">
      <text>
        <r>
          <rPr>
            <sz val="11"/>
            <color theme="1"/>
            <rFont val="Calibri"/>
            <family val="2"/>
            <scheme val="minor"/>
          </rPr>
          <t>Introduzca un número con dos decimales como máximo. Debe ser igual o mayor a la "Cantidad Real Consumida"</t>
        </r>
      </text>
    </comment>
    <comment ref="E3129" authorId="1" shapeId="0" xr:uid="{00000000-0006-0000-0100-00009B0B0000}">
      <text>
        <r>
          <rPr>
            <sz val="11"/>
            <color theme="1"/>
            <rFont val="Calibri"/>
            <family val="2"/>
            <scheme val="minor"/>
          </rPr>
          <t>Introduzca un número con dos decimales como máximo</t>
        </r>
      </text>
    </comment>
    <comment ref="F3129" authorId="1" shapeId="0" xr:uid="{00000000-0006-0000-0100-00009C0B0000}">
      <text>
        <r>
          <rPr>
            <sz val="11"/>
            <color theme="1"/>
            <rFont val="Calibri"/>
            <family val="2"/>
            <scheme val="minor"/>
          </rPr>
          <t>Monto calculado automáticamente por el sistema</t>
        </r>
      </text>
    </comment>
    <comment ref="A3134" authorId="1" shapeId="0" xr:uid="{00000000-0006-0000-0100-00009D0B0000}">
      <text>
        <r>
          <rPr>
            <sz val="11"/>
            <color theme="1"/>
            <rFont val="Calibri"/>
            <family val="2"/>
            <scheme val="minor"/>
          </rPr>
          <t>Introducir un texto con el nombre o referencia de la contratación</t>
        </r>
      </text>
    </comment>
    <comment ref="B3134" authorId="1" shapeId="0" xr:uid="{00000000-0006-0000-0100-00009E0B0000}">
      <text>
        <r>
          <rPr>
            <sz val="11"/>
            <color theme="1"/>
            <rFont val="Calibri"/>
            <family val="2"/>
            <scheme val="minor"/>
          </rPr>
          <t>Introduzca un texto con la finalidad de la contratación</t>
        </r>
      </text>
    </comment>
    <comment ref="C3134" authorId="1" shapeId="0" xr:uid="{00000000-0006-0000-0100-00009F0B0000}">
      <text>
        <r>
          <rPr>
            <sz val="11"/>
            <color theme="1"/>
            <rFont val="Calibri"/>
            <family val="2"/>
            <scheme val="minor"/>
          </rPr>
          <t>Seleccionar un valor del listado</t>
        </r>
      </text>
    </comment>
    <comment ref="D3134" authorId="1" shapeId="0" xr:uid="{00000000-0006-0000-0100-0000A00B0000}">
      <text>
        <r>
          <rPr>
            <sz val="11"/>
            <color theme="1"/>
            <rFont val="Calibri"/>
            <family val="2"/>
            <scheme val="minor"/>
          </rPr>
          <t>Seleccione el tipo de procedimiento</t>
        </r>
      </text>
    </comment>
    <comment ref="E3134" authorId="1" shapeId="0" xr:uid="{00000000-0006-0000-0100-0000A10B0000}">
      <text>
        <r>
          <rPr>
            <sz val="11"/>
            <color theme="1"/>
            <rFont val="Calibri"/>
            <family val="2"/>
            <scheme val="minor"/>
          </rPr>
          <t>Seleccione un valor de la lista</t>
        </r>
      </text>
    </comment>
    <comment ref="F3134" authorId="1" shapeId="0" xr:uid="{00000000-0006-0000-0100-0000A20B0000}">
      <text>
        <r>
          <rPr>
            <sz val="11"/>
            <color theme="1"/>
            <rFont val="Calibri"/>
            <family val="2"/>
            <scheme val="minor"/>
          </rPr>
          <t>Introduzca el código SNIP</t>
        </r>
      </text>
    </comment>
    <comment ref="C3135" authorId="1" shapeId="0" xr:uid="{00000000-0006-0000-0100-0000A30B0000}">
      <text>
        <r>
          <rPr>
            <sz val="11"/>
            <color theme="1"/>
            <rFont val="Calibri"/>
            <family val="2"/>
            <scheme val="minor"/>
          </rPr>
          <t>Introduzca la fecha de inicio del proceso, en formato dd-mm-aaaa</t>
        </r>
      </text>
    </comment>
    <comment ref="F3135" authorId="1" shapeId="0" xr:uid="{00000000-0006-0000-0100-0000A5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36" authorId="1" shapeId="0" xr:uid="{00000000-0006-0000-0100-0000A60B0000}">
      <text/>
    </comment>
    <comment ref="C3137" authorId="1" shapeId="0" xr:uid="{00000000-0006-0000-0100-0000A40B0000}">
      <text>
        <r>
          <rPr>
            <sz val="11"/>
            <color theme="1"/>
            <rFont val="Calibri"/>
            <family val="2"/>
            <scheme val="minor"/>
          </rPr>
          <t>Introduzca la fecha prevista de adjudicación, en formato dd-mm-aaaa</t>
        </r>
      </text>
    </comment>
    <comment ref="F3137" authorId="1" shapeId="0" xr:uid="{00000000-0006-0000-0100-0000A70B0000}">
      <text/>
    </comment>
    <comment ref="F3138" authorId="1" shapeId="0" xr:uid="{00000000-0006-0000-0100-0000A80B0000}">
      <text/>
    </comment>
    <comment ref="A3140" authorId="1" shapeId="0" xr:uid="{00000000-0006-0000-0100-0000A90B0000}">
      <text>
        <r>
          <rPr>
            <sz val="11"/>
            <color theme="1"/>
            <rFont val="Calibri"/>
            <family val="2"/>
            <scheme val="minor"/>
          </rPr>
          <t>Introduzca un codigo UNSPSC</t>
        </r>
      </text>
    </comment>
    <comment ref="B3140" authorId="1" shapeId="0" xr:uid="{00000000-0006-0000-0100-0000AA0B0000}">
      <text>
        <r>
          <rPr>
            <sz val="11"/>
            <color theme="1"/>
            <rFont val="Calibri"/>
            <family val="2"/>
            <scheme val="minor"/>
          </rPr>
          <t>Descripción calculada automáticamente a partir de código del artículo</t>
        </r>
      </text>
    </comment>
    <comment ref="C3140" authorId="1" shapeId="0" xr:uid="{00000000-0006-0000-0100-0000AB0B0000}">
      <text>
        <r>
          <rPr>
            <sz val="11"/>
            <color theme="1"/>
            <rFont val="Calibri"/>
            <family val="2"/>
            <scheme val="minor"/>
          </rPr>
          <t>Seleccione un valor de la lista</t>
        </r>
      </text>
    </comment>
    <comment ref="D3140" authorId="1" shapeId="0" xr:uid="{00000000-0006-0000-0100-0000AC0B0000}">
      <text>
        <r>
          <rPr>
            <sz val="11"/>
            <color theme="1"/>
            <rFont val="Calibri"/>
            <family val="2"/>
            <scheme val="minor"/>
          </rPr>
          <t>Introduzca un número con dos decimales como máximo. Debe ser igual o mayor a la "Cantidad Real Consumida"</t>
        </r>
      </text>
    </comment>
    <comment ref="E3140" authorId="1" shapeId="0" xr:uid="{00000000-0006-0000-0100-0000AD0B0000}">
      <text>
        <r>
          <rPr>
            <sz val="11"/>
            <color theme="1"/>
            <rFont val="Calibri"/>
            <family val="2"/>
            <scheme val="minor"/>
          </rPr>
          <t>Introduzca un número con dos decimales como máximo</t>
        </r>
      </text>
    </comment>
    <comment ref="F3140" authorId="1" shapeId="0" xr:uid="{00000000-0006-0000-0100-0000AE0B0000}">
      <text>
        <r>
          <rPr>
            <sz val="11"/>
            <color theme="1"/>
            <rFont val="Calibri"/>
            <family val="2"/>
            <scheme val="minor"/>
          </rPr>
          <t>Monto calculado automáticamente por el sistema</t>
        </r>
      </text>
    </comment>
    <comment ref="A3148" authorId="1" shapeId="0" xr:uid="{00000000-0006-0000-0100-0000AF0B0000}">
      <text>
        <r>
          <rPr>
            <sz val="11"/>
            <color theme="1"/>
            <rFont val="Calibri"/>
            <family val="2"/>
            <scheme val="minor"/>
          </rPr>
          <t>Introducir un texto con el nombre o referencia de la contratación</t>
        </r>
      </text>
    </comment>
    <comment ref="B3148" authorId="1" shapeId="0" xr:uid="{00000000-0006-0000-0100-0000B00B0000}">
      <text>
        <r>
          <rPr>
            <sz val="11"/>
            <color theme="1"/>
            <rFont val="Calibri"/>
            <family val="2"/>
            <scheme val="minor"/>
          </rPr>
          <t>Introduzca un texto con la finalidad de la contratación</t>
        </r>
      </text>
    </comment>
    <comment ref="C3148" authorId="1" shapeId="0" xr:uid="{00000000-0006-0000-0100-0000B10B0000}">
      <text>
        <r>
          <rPr>
            <sz val="11"/>
            <color theme="1"/>
            <rFont val="Calibri"/>
            <family val="2"/>
            <scheme val="minor"/>
          </rPr>
          <t>Seleccionar un valor del listado</t>
        </r>
      </text>
    </comment>
    <comment ref="D3148" authorId="1" shapeId="0" xr:uid="{00000000-0006-0000-0100-0000B20B0000}">
      <text>
        <r>
          <rPr>
            <sz val="11"/>
            <color theme="1"/>
            <rFont val="Calibri"/>
            <family val="2"/>
            <scheme val="minor"/>
          </rPr>
          <t>Seleccione el tipo de procedimiento</t>
        </r>
      </text>
    </comment>
    <comment ref="E3148" authorId="1" shapeId="0" xr:uid="{00000000-0006-0000-0100-0000B30B0000}">
      <text>
        <r>
          <rPr>
            <sz val="11"/>
            <color theme="1"/>
            <rFont val="Calibri"/>
            <family val="2"/>
            <scheme val="minor"/>
          </rPr>
          <t>Seleccione un valor de la lista</t>
        </r>
      </text>
    </comment>
    <comment ref="F3148" authorId="1" shapeId="0" xr:uid="{00000000-0006-0000-0100-0000B40B0000}">
      <text>
        <r>
          <rPr>
            <sz val="11"/>
            <color theme="1"/>
            <rFont val="Calibri"/>
            <family val="2"/>
            <scheme val="minor"/>
          </rPr>
          <t>Introduzca el código SNIP</t>
        </r>
      </text>
    </comment>
    <comment ref="C3149" authorId="1" shapeId="0" xr:uid="{00000000-0006-0000-0100-0000B50B0000}">
      <text>
        <r>
          <rPr>
            <sz val="11"/>
            <color theme="1"/>
            <rFont val="Calibri"/>
            <family val="2"/>
            <scheme val="minor"/>
          </rPr>
          <t>Introduzca la fecha de inicio del proceso, en formato dd-mm-aaaa</t>
        </r>
      </text>
    </comment>
    <comment ref="F3149" authorId="1" shapeId="0" xr:uid="{00000000-0006-0000-0100-0000B7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50" authorId="1" shapeId="0" xr:uid="{00000000-0006-0000-0100-0000B80B0000}">
      <text/>
    </comment>
    <comment ref="C3151" authorId="1" shapeId="0" xr:uid="{00000000-0006-0000-0100-0000B60B0000}">
      <text>
        <r>
          <rPr>
            <sz val="11"/>
            <color theme="1"/>
            <rFont val="Calibri"/>
            <family val="2"/>
            <scheme val="minor"/>
          </rPr>
          <t>Introduzca la fecha prevista de adjudicación, en formato dd-mm-aaaa</t>
        </r>
      </text>
    </comment>
    <comment ref="F3151" authorId="1" shapeId="0" xr:uid="{00000000-0006-0000-0100-0000B90B0000}">
      <text/>
    </comment>
    <comment ref="F3152" authorId="1" shapeId="0" xr:uid="{00000000-0006-0000-0100-0000BA0B0000}">
      <text/>
    </comment>
    <comment ref="A3154" authorId="1" shapeId="0" xr:uid="{00000000-0006-0000-0100-0000BB0B0000}">
      <text>
        <r>
          <rPr>
            <sz val="11"/>
            <color theme="1"/>
            <rFont val="Calibri"/>
            <family val="2"/>
            <scheme val="minor"/>
          </rPr>
          <t>Introduzca un codigo UNSPSC</t>
        </r>
      </text>
    </comment>
    <comment ref="B3154" authorId="1" shapeId="0" xr:uid="{00000000-0006-0000-0100-0000BC0B0000}">
      <text>
        <r>
          <rPr>
            <sz val="11"/>
            <color theme="1"/>
            <rFont val="Calibri"/>
            <family val="2"/>
            <scheme val="minor"/>
          </rPr>
          <t>Descripción calculada automáticamente a partir de código del artículo</t>
        </r>
      </text>
    </comment>
    <comment ref="C3154" authorId="1" shapeId="0" xr:uid="{00000000-0006-0000-0100-0000BD0B0000}">
      <text>
        <r>
          <rPr>
            <sz val="11"/>
            <color theme="1"/>
            <rFont val="Calibri"/>
            <family val="2"/>
            <scheme val="minor"/>
          </rPr>
          <t>Seleccione un valor de la lista</t>
        </r>
      </text>
    </comment>
    <comment ref="D3154" authorId="1" shapeId="0" xr:uid="{00000000-0006-0000-0100-0000BE0B0000}">
      <text>
        <r>
          <rPr>
            <sz val="11"/>
            <color theme="1"/>
            <rFont val="Calibri"/>
            <family val="2"/>
            <scheme val="minor"/>
          </rPr>
          <t>Introduzca un número con dos decimales como máximo. Debe ser igual o mayor a la "Cantidad Real Consumida"</t>
        </r>
      </text>
    </comment>
    <comment ref="E3154" authorId="1" shapeId="0" xr:uid="{00000000-0006-0000-0100-0000BF0B0000}">
      <text>
        <r>
          <rPr>
            <sz val="11"/>
            <color theme="1"/>
            <rFont val="Calibri"/>
            <family val="2"/>
            <scheme val="minor"/>
          </rPr>
          <t>Introduzca un número con dos decimales como máximo</t>
        </r>
      </text>
    </comment>
    <comment ref="F3154" authorId="1" shapeId="0" xr:uid="{00000000-0006-0000-0100-0000C00B0000}">
      <text>
        <r>
          <rPr>
            <sz val="11"/>
            <color theme="1"/>
            <rFont val="Calibri"/>
            <family val="2"/>
            <scheme val="minor"/>
          </rPr>
          <t>Monto calculado automáticamente por el sistema</t>
        </r>
      </text>
    </comment>
    <comment ref="A3209" authorId="1" shapeId="0" xr:uid="{00000000-0006-0000-0100-0000C10B0000}">
      <text>
        <r>
          <rPr>
            <sz val="11"/>
            <color theme="1"/>
            <rFont val="Calibri"/>
            <family val="2"/>
            <scheme val="minor"/>
          </rPr>
          <t>Introducir un texto con el nombre o referencia de la contratación</t>
        </r>
      </text>
    </comment>
    <comment ref="B3209" authorId="1" shapeId="0" xr:uid="{00000000-0006-0000-0100-0000C20B0000}">
      <text>
        <r>
          <rPr>
            <sz val="11"/>
            <color theme="1"/>
            <rFont val="Calibri"/>
            <family val="2"/>
            <scheme val="minor"/>
          </rPr>
          <t>Introduzca un texto con la finalidad de la contratación</t>
        </r>
      </text>
    </comment>
    <comment ref="C3209" authorId="1" shapeId="0" xr:uid="{00000000-0006-0000-0100-0000C30B0000}">
      <text>
        <r>
          <rPr>
            <sz val="11"/>
            <color theme="1"/>
            <rFont val="Calibri"/>
            <family val="2"/>
            <scheme val="minor"/>
          </rPr>
          <t>Seleccionar un valor del listado</t>
        </r>
      </text>
    </comment>
    <comment ref="D3209" authorId="1" shapeId="0" xr:uid="{00000000-0006-0000-0100-0000C40B0000}">
      <text>
        <r>
          <rPr>
            <sz val="11"/>
            <color theme="1"/>
            <rFont val="Calibri"/>
            <family val="2"/>
            <scheme val="minor"/>
          </rPr>
          <t>Seleccione el tipo de procedimiento</t>
        </r>
      </text>
    </comment>
    <comment ref="E3209" authorId="1" shapeId="0" xr:uid="{00000000-0006-0000-0100-0000C50B0000}">
      <text>
        <r>
          <rPr>
            <sz val="11"/>
            <color theme="1"/>
            <rFont val="Calibri"/>
            <family val="2"/>
            <scheme val="minor"/>
          </rPr>
          <t>Seleccione un valor de la lista</t>
        </r>
      </text>
    </comment>
    <comment ref="F3209" authorId="1" shapeId="0" xr:uid="{00000000-0006-0000-0100-0000C60B0000}">
      <text>
        <r>
          <rPr>
            <sz val="11"/>
            <color theme="1"/>
            <rFont val="Calibri"/>
            <family val="2"/>
            <scheme val="minor"/>
          </rPr>
          <t>Introduzca el código SNIP</t>
        </r>
      </text>
    </comment>
    <comment ref="C3210" authorId="1" shapeId="0" xr:uid="{00000000-0006-0000-0100-0000C70B0000}">
      <text>
        <r>
          <rPr>
            <sz val="11"/>
            <color theme="1"/>
            <rFont val="Calibri"/>
            <family val="2"/>
            <scheme val="minor"/>
          </rPr>
          <t>Introduzca la fecha de inicio del proceso, en formato dd-mm-aaaa</t>
        </r>
      </text>
    </comment>
    <comment ref="F3210" authorId="1" shapeId="0" xr:uid="{00000000-0006-0000-0100-0000C9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11" authorId="1" shapeId="0" xr:uid="{00000000-0006-0000-0100-0000CA0B0000}">
      <text/>
    </comment>
    <comment ref="C3212" authorId="1" shapeId="0" xr:uid="{00000000-0006-0000-0100-0000C80B0000}">
      <text>
        <r>
          <rPr>
            <sz val="11"/>
            <color theme="1"/>
            <rFont val="Calibri"/>
            <family val="2"/>
            <scheme val="minor"/>
          </rPr>
          <t>Introduzca la fecha prevista de adjudicación, en formato dd-mm-aaaa</t>
        </r>
      </text>
    </comment>
    <comment ref="F3212" authorId="1" shapeId="0" xr:uid="{00000000-0006-0000-0100-0000CB0B0000}">
      <text/>
    </comment>
    <comment ref="F3213" authorId="1" shapeId="0" xr:uid="{00000000-0006-0000-0100-0000CC0B0000}">
      <text/>
    </comment>
    <comment ref="A3215" authorId="1" shapeId="0" xr:uid="{00000000-0006-0000-0100-0000CD0B0000}">
      <text>
        <r>
          <rPr>
            <sz val="11"/>
            <color theme="1"/>
            <rFont val="Calibri"/>
            <family val="2"/>
            <scheme val="minor"/>
          </rPr>
          <t>Introduzca un codigo UNSPSC</t>
        </r>
      </text>
    </comment>
    <comment ref="B3215" authorId="1" shapeId="0" xr:uid="{00000000-0006-0000-0100-0000CE0B0000}">
      <text>
        <r>
          <rPr>
            <sz val="11"/>
            <color theme="1"/>
            <rFont val="Calibri"/>
            <family val="2"/>
            <scheme val="minor"/>
          </rPr>
          <t>Descripción calculada automáticamente a partir de código del artículo</t>
        </r>
      </text>
    </comment>
    <comment ref="C3215" authorId="1" shapeId="0" xr:uid="{00000000-0006-0000-0100-0000CF0B0000}">
      <text>
        <r>
          <rPr>
            <sz val="11"/>
            <color theme="1"/>
            <rFont val="Calibri"/>
            <family val="2"/>
            <scheme val="minor"/>
          </rPr>
          <t>Seleccione un valor de la lista</t>
        </r>
      </text>
    </comment>
    <comment ref="D3215" authorId="1" shapeId="0" xr:uid="{00000000-0006-0000-0100-0000D00B0000}">
      <text>
        <r>
          <rPr>
            <sz val="11"/>
            <color theme="1"/>
            <rFont val="Calibri"/>
            <family val="2"/>
            <scheme val="minor"/>
          </rPr>
          <t>Introduzca un número con dos decimales como máximo. Debe ser igual o mayor a la "Cantidad Real Consumida"</t>
        </r>
      </text>
    </comment>
    <comment ref="E3215" authorId="1" shapeId="0" xr:uid="{00000000-0006-0000-0100-0000D10B0000}">
      <text>
        <r>
          <rPr>
            <sz val="11"/>
            <color theme="1"/>
            <rFont val="Calibri"/>
            <family val="2"/>
            <scheme val="minor"/>
          </rPr>
          <t>Introduzca un número con dos decimales como máximo</t>
        </r>
      </text>
    </comment>
    <comment ref="F3215" authorId="1" shapeId="0" xr:uid="{00000000-0006-0000-0100-0000D20B0000}">
      <text>
        <r>
          <rPr>
            <sz val="11"/>
            <color theme="1"/>
            <rFont val="Calibri"/>
            <family val="2"/>
            <scheme val="minor"/>
          </rPr>
          <t>Monto calculado automáticamente por el sistema</t>
        </r>
      </text>
    </comment>
    <comment ref="A3221" authorId="1" shapeId="0" xr:uid="{00000000-0006-0000-0100-0000D30B0000}">
      <text>
        <r>
          <rPr>
            <sz val="11"/>
            <color theme="1"/>
            <rFont val="Calibri"/>
            <family val="2"/>
            <scheme val="minor"/>
          </rPr>
          <t>Introducir un texto con el nombre o referencia de la contratación</t>
        </r>
      </text>
    </comment>
    <comment ref="B3221" authorId="1" shapeId="0" xr:uid="{00000000-0006-0000-0100-0000D40B0000}">
      <text>
        <r>
          <rPr>
            <sz val="11"/>
            <color theme="1"/>
            <rFont val="Calibri"/>
            <family val="2"/>
            <scheme val="minor"/>
          </rPr>
          <t>Introduzca un texto con la finalidad de la contratación</t>
        </r>
      </text>
    </comment>
    <comment ref="C3221" authorId="1" shapeId="0" xr:uid="{00000000-0006-0000-0100-0000D50B0000}">
      <text>
        <r>
          <rPr>
            <sz val="11"/>
            <color theme="1"/>
            <rFont val="Calibri"/>
            <family val="2"/>
            <scheme val="minor"/>
          </rPr>
          <t>Seleccionar un valor del listado</t>
        </r>
      </text>
    </comment>
    <comment ref="D3221" authorId="1" shapeId="0" xr:uid="{00000000-0006-0000-0100-0000D60B0000}">
      <text>
        <r>
          <rPr>
            <sz val="11"/>
            <color theme="1"/>
            <rFont val="Calibri"/>
            <family val="2"/>
            <scheme val="minor"/>
          </rPr>
          <t>Seleccione el tipo de procedimiento</t>
        </r>
      </text>
    </comment>
    <comment ref="E3221" authorId="1" shapeId="0" xr:uid="{00000000-0006-0000-0100-0000D70B0000}">
      <text>
        <r>
          <rPr>
            <sz val="11"/>
            <color theme="1"/>
            <rFont val="Calibri"/>
            <family val="2"/>
            <scheme val="minor"/>
          </rPr>
          <t>Seleccione un valor de la lista</t>
        </r>
      </text>
    </comment>
    <comment ref="F3221" authorId="1" shapeId="0" xr:uid="{00000000-0006-0000-0100-0000D80B0000}">
      <text>
        <r>
          <rPr>
            <sz val="11"/>
            <color theme="1"/>
            <rFont val="Calibri"/>
            <family val="2"/>
            <scheme val="minor"/>
          </rPr>
          <t>Introduzca el código SNIP</t>
        </r>
      </text>
    </comment>
    <comment ref="C3222" authorId="1" shapeId="0" xr:uid="{00000000-0006-0000-0100-0000D90B0000}">
      <text>
        <r>
          <rPr>
            <sz val="11"/>
            <color theme="1"/>
            <rFont val="Calibri"/>
            <family val="2"/>
            <scheme val="minor"/>
          </rPr>
          <t>Introduzca la fecha de inicio del proceso, en formato dd-mm-aaaa</t>
        </r>
      </text>
    </comment>
    <comment ref="F3222" authorId="1" shapeId="0" xr:uid="{00000000-0006-0000-0100-0000DB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23" authorId="1" shapeId="0" xr:uid="{00000000-0006-0000-0100-0000DC0B0000}">
      <text/>
    </comment>
    <comment ref="C3224" authorId="1" shapeId="0" xr:uid="{00000000-0006-0000-0100-0000DA0B0000}">
      <text>
        <r>
          <rPr>
            <sz val="11"/>
            <color theme="1"/>
            <rFont val="Calibri"/>
            <family val="2"/>
            <scheme val="minor"/>
          </rPr>
          <t>Introduzca la fecha prevista de adjudicación, en formato dd-mm-aaaa</t>
        </r>
      </text>
    </comment>
    <comment ref="F3224" authorId="1" shapeId="0" xr:uid="{00000000-0006-0000-0100-0000DD0B0000}">
      <text/>
    </comment>
    <comment ref="F3225" authorId="1" shapeId="0" xr:uid="{00000000-0006-0000-0100-0000DE0B0000}">
      <text/>
    </comment>
    <comment ref="A3227" authorId="1" shapeId="0" xr:uid="{00000000-0006-0000-0100-0000DF0B0000}">
      <text>
        <r>
          <rPr>
            <sz val="11"/>
            <color theme="1"/>
            <rFont val="Calibri"/>
            <family val="2"/>
            <scheme val="minor"/>
          </rPr>
          <t>Introduzca un codigo UNSPSC</t>
        </r>
      </text>
    </comment>
    <comment ref="B3227" authorId="1" shapeId="0" xr:uid="{00000000-0006-0000-0100-0000E00B0000}">
      <text>
        <r>
          <rPr>
            <sz val="11"/>
            <color theme="1"/>
            <rFont val="Calibri"/>
            <family val="2"/>
            <scheme val="minor"/>
          </rPr>
          <t>Descripción calculada automáticamente a partir de código del artículo</t>
        </r>
      </text>
    </comment>
    <comment ref="C3227" authorId="1" shapeId="0" xr:uid="{00000000-0006-0000-0100-0000E10B0000}">
      <text>
        <r>
          <rPr>
            <sz val="11"/>
            <color theme="1"/>
            <rFont val="Calibri"/>
            <family val="2"/>
            <scheme val="minor"/>
          </rPr>
          <t>Seleccione un valor de la lista</t>
        </r>
      </text>
    </comment>
    <comment ref="D3227" authorId="1" shapeId="0" xr:uid="{00000000-0006-0000-0100-0000E20B0000}">
      <text>
        <r>
          <rPr>
            <sz val="11"/>
            <color theme="1"/>
            <rFont val="Calibri"/>
            <family val="2"/>
            <scheme val="minor"/>
          </rPr>
          <t>Introduzca un número con dos decimales como máximo. Debe ser igual o mayor a la "Cantidad Real Consumida"</t>
        </r>
      </text>
    </comment>
    <comment ref="E3227" authorId="1" shapeId="0" xr:uid="{00000000-0006-0000-0100-0000E30B0000}">
      <text>
        <r>
          <rPr>
            <sz val="11"/>
            <color theme="1"/>
            <rFont val="Calibri"/>
            <family val="2"/>
            <scheme val="minor"/>
          </rPr>
          <t>Introduzca un número con dos decimales como máximo</t>
        </r>
      </text>
    </comment>
    <comment ref="F3227" authorId="1" shapeId="0" xr:uid="{00000000-0006-0000-0100-0000E40B0000}">
      <text>
        <r>
          <rPr>
            <sz val="11"/>
            <color theme="1"/>
            <rFont val="Calibri"/>
            <family val="2"/>
            <scheme val="minor"/>
          </rPr>
          <t>Monto calculado automáticamente por el sistema</t>
        </r>
      </text>
    </comment>
    <comment ref="A3234" authorId="1" shapeId="0" xr:uid="{00000000-0006-0000-0100-0000E50B0000}">
      <text>
        <r>
          <rPr>
            <sz val="11"/>
            <color theme="1"/>
            <rFont val="Calibri"/>
            <family val="2"/>
            <scheme val="minor"/>
          </rPr>
          <t>Introducir un texto con el nombre o referencia de la contratación</t>
        </r>
      </text>
    </comment>
    <comment ref="B3234" authorId="1" shapeId="0" xr:uid="{00000000-0006-0000-0100-0000E60B0000}">
      <text>
        <r>
          <rPr>
            <sz val="11"/>
            <color theme="1"/>
            <rFont val="Calibri"/>
            <family val="2"/>
            <scheme val="minor"/>
          </rPr>
          <t>Introduzca un texto con la finalidad de la contratación</t>
        </r>
      </text>
    </comment>
    <comment ref="C3234" authorId="1" shapeId="0" xr:uid="{00000000-0006-0000-0100-0000E70B0000}">
      <text>
        <r>
          <rPr>
            <sz val="11"/>
            <color theme="1"/>
            <rFont val="Calibri"/>
            <family val="2"/>
            <scheme val="minor"/>
          </rPr>
          <t>Seleccionar un valor del listado</t>
        </r>
      </text>
    </comment>
    <comment ref="D3234" authorId="1" shapeId="0" xr:uid="{00000000-0006-0000-0100-0000E80B0000}">
      <text>
        <r>
          <rPr>
            <sz val="11"/>
            <color theme="1"/>
            <rFont val="Calibri"/>
            <family val="2"/>
            <scheme val="minor"/>
          </rPr>
          <t>Seleccione el tipo de procedimiento</t>
        </r>
      </text>
    </comment>
    <comment ref="E3234" authorId="1" shapeId="0" xr:uid="{00000000-0006-0000-0100-0000E90B0000}">
      <text>
        <r>
          <rPr>
            <sz val="11"/>
            <color theme="1"/>
            <rFont val="Calibri"/>
            <family val="2"/>
            <scheme val="minor"/>
          </rPr>
          <t>Seleccione un valor de la lista</t>
        </r>
      </text>
    </comment>
    <comment ref="F3234" authorId="1" shapeId="0" xr:uid="{00000000-0006-0000-0100-0000EA0B0000}">
      <text>
        <r>
          <rPr>
            <sz val="11"/>
            <color theme="1"/>
            <rFont val="Calibri"/>
            <family val="2"/>
            <scheme val="minor"/>
          </rPr>
          <t>Introduzca el código SNIP</t>
        </r>
      </text>
    </comment>
    <comment ref="C3235" authorId="1" shapeId="0" xr:uid="{00000000-0006-0000-0100-0000EB0B0000}">
      <text>
        <r>
          <rPr>
            <sz val="11"/>
            <color theme="1"/>
            <rFont val="Calibri"/>
            <family val="2"/>
            <scheme val="minor"/>
          </rPr>
          <t>Introduzca la fecha de inicio del proceso, en formato dd-mm-aaaa</t>
        </r>
      </text>
    </comment>
    <comment ref="F3235" authorId="1" shapeId="0" xr:uid="{00000000-0006-0000-0100-0000ED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36" authorId="1" shapeId="0" xr:uid="{00000000-0006-0000-0100-0000EE0B0000}">
      <text/>
    </comment>
    <comment ref="C3237" authorId="1" shapeId="0" xr:uid="{00000000-0006-0000-0100-0000EC0B0000}">
      <text>
        <r>
          <rPr>
            <sz val="11"/>
            <color theme="1"/>
            <rFont val="Calibri"/>
            <family val="2"/>
            <scheme val="minor"/>
          </rPr>
          <t>Introduzca la fecha prevista de adjudicación, en formato dd-mm-aaaa</t>
        </r>
      </text>
    </comment>
    <comment ref="F3237" authorId="1" shapeId="0" xr:uid="{00000000-0006-0000-0100-0000EF0B0000}">
      <text/>
    </comment>
    <comment ref="F3238" authorId="1" shapeId="0" xr:uid="{00000000-0006-0000-0100-0000F00B0000}">
      <text/>
    </comment>
    <comment ref="A3240" authorId="1" shapeId="0" xr:uid="{00000000-0006-0000-0100-0000F10B0000}">
      <text>
        <r>
          <rPr>
            <sz val="11"/>
            <color theme="1"/>
            <rFont val="Calibri"/>
            <family val="2"/>
            <scheme val="minor"/>
          </rPr>
          <t>Introduzca un codigo UNSPSC</t>
        </r>
      </text>
    </comment>
    <comment ref="B3240" authorId="1" shapeId="0" xr:uid="{00000000-0006-0000-0100-0000F20B0000}">
      <text>
        <r>
          <rPr>
            <sz val="11"/>
            <color theme="1"/>
            <rFont val="Calibri"/>
            <family val="2"/>
            <scheme val="minor"/>
          </rPr>
          <t>Descripción calculada automáticamente a partir de código del artículo</t>
        </r>
      </text>
    </comment>
    <comment ref="C3240" authorId="1" shapeId="0" xr:uid="{00000000-0006-0000-0100-0000F30B0000}">
      <text>
        <r>
          <rPr>
            <sz val="11"/>
            <color theme="1"/>
            <rFont val="Calibri"/>
            <family val="2"/>
            <scheme val="minor"/>
          </rPr>
          <t>Seleccione un valor de la lista</t>
        </r>
      </text>
    </comment>
    <comment ref="D3240" authorId="1" shapeId="0" xr:uid="{00000000-0006-0000-0100-0000F40B0000}">
      <text>
        <r>
          <rPr>
            <sz val="11"/>
            <color theme="1"/>
            <rFont val="Calibri"/>
            <family val="2"/>
            <scheme val="minor"/>
          </rPr>
          <t>Introduzca un número con dos decimales como máximo. Debe ser igual o mayor a la "Cantidad Real Consumida"</t>
        </r>
      </text>
    </comment>
    <comment ref="E3240" authorId="1" shapeId="0" xr:uid="{00000000-0006-0000-0100-0000F50B0000}">
      <text>
        <r>
          <rPr>
            <sz val="11"/>
            <color theme="1"/>
            <rFont val="Calibri"/>
            <family val="2"/>
            <scheme val="minor"/>
          </rPr>
          <t>Introduzca un número con dos decimales como máximo</t>
        </r>
      </text>
    </comment>
    <comment ref="F3240" authorId="1" shapeId="0" xr:uid="{00000000-0006-0000-0100-0000F60B0000}">
      <text>
        <r>
          <rPr>
            <sz val="11"/>
            <color theme="1"/>
            <rFont val="Calibri"/>
            <family val="2"/>
            <scheme val="minor"/>
          </rPr>
          <t>Monto calculado automáticamente por el sistema</t>
        </r>
      </text>
    </comment>
    <comment ref="A3245" authorId="1" shapeId="0" xr:uid="{00000000-0006-0000-0100-0000F70B0000}">
      <text>
        <r>
          <rPr>
            <sz val="11"/>
            <color theme="1"/>
            <rFont val="Calibri"/>
            <family val="2"/>
            <scheme val="minor"/>
          </rPr>
          <t>Introducir un texto con el nombre o referencia de la contratación</t>
        </r>
      </text>
    </comment>
    <comment ref="B3245" authorId="1" shapeId="0" xr:uid="{00000000-0006-0000-0100-0000F80B0000}">
      <text>
        <r>
          <rPr>
            <sz val="11"/>
            <color theme="1"/>
            <rFont val="Calibri"/>
            <family val="2"/>
            <scheme val="minor"/>
          </rPr>
          <t>Introduzca un texto con la finalidad de la contratación</t>
        </r>
      </text>
    </comment>
    <comment ref="C3245" authorId="1" shapeId="0" xr:uid="{00000000-0006-0000-0100-0000F90B0000}">
      <text>
        <r>
          <rPr>
            <sz val="11"/>
            <color theme="1"/>
            <rFont val="Calibri"/>
            <family val="2"/>
            <scheme val="minor"/>
          </rPr>
          <t>Seleccionar un valor del listado</t>
        </r>
      </text>
    </comment>
    <comment ref="D3245" authorId="1" shapeId="0" xr:uid="{00000000-0006-0000-0100-0000FA0B0000}">
      <text>
        <r>
          <rPr>
            <sz val="11"/>
            <color theme="1"/>
            <rFont val="Calibri"/>
            <family val="2"/>
            <scheme val="minor"/>
          </rPr>
          <t>Seleccione el tipo de procedimiento</t>
        </r>
      </text>
    </comment>
    <comment ref="E3245" authorId="1" shapeId="0" xr:uid="{00000000-0006-0000-0100-0000FB0B0000}">
      <text>
        <r>
          <rPr>
            <sz val="11"/>
            <color theme="1"/>
            <rFont val="Calibri"/>
            <family val="2"/>
            <scheme val="minor"/>
          </rPr>
          <t>Seleccione un valor de la lista</t>
        </r>
      </text>
    </comment>
    <comment ref="F3245" authorId="1" shapeId="0" xr:uid="{00000000-0006-0000-0100-0000FC0B0000}">
      <text>
        <r>
          <rPr>
            <sz val="11"/>
            <color theme="1"/>
            <rFont val="Calibri"/>
            <family val="2"/>
            <scheme val="minor"/>
          </rPr>
          <t>Introduzca el código SNIP</t>
        </r>
      </text>
    </comment>
    <comment ref="C3246" authorId="1" shapeId="0" xr:uid="{00000000-0006-0000-0100-0000FD0B0000}">
      <text>
        <r>
          <rPr>
            <sz val="11"/>
            <color theme="1"/>
            <rFont val="Calibri"/>
            <family val="2"/>
            <scheme val="minor"/>
          </rPr>
          <t>Introduzca la fecha de inicio del proceso, en formato dd-mm-aaaa</t>
        </r>
      </text>
    </comment>
    <comment ref="F3246" authorId="1" shapeId="0" xr:uid="{00000000-0006-0000-0100-0000FF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47" authorId="1" shapeId="0" xr:uid="{00000000-0006-0000-0100-0000000C0000}">
      <text/>
    </comment>
    <comment ref="C3248" authorId="1" shapeId="0" xr:uid="{00000000-0006-0000-0100-0000FE0B0000}">
      <text>
        <r>
          <rPr>
            <sz val="11"/>
            <color theme="1"/>
            <rFont val="Calibri"/>
            <family val="2"/>
            <scheme val="minor"/>
          </rPr>
          <t>Introduzca la fecha prevista de adjudicación, en formato dd-mm-aaaa</t>
        </r>
      </text>
    </comment>
    <comment ref="F3248" authorId="1" shapeId="0" xr:uid="{00000000-0006-0000-0100-0000010C0000}">
      <text/>
    </comment>
    <comment ref="F3249" authorId="1" shapeId="0" xr:uid="{00000000-0006-0000-0100-0000020C0000}">
      <text/>
    </comment>
    <comment ref="A3251" authorId="1" shapeId="0" xr:uid="{00000000-0006-0000-0100-0000030C0000}">
      <text>
        <r>
          <rPr>
            <sz val="11"/>
            <color theme="1"/>
            <rFont val="Calibri"/>
            <family val="2"/>
            <scheme val="minor"/>
          </rPr>
          <t>Introduzca un codigo UNSPSC</t>
        </r>
      </text>
    </comment>
    <comment ref="B3251" authorId="1" shapeId="0" xr:uid="{00000000-0006-0000-0100-0000040C0000}">
      <text>
        <r>
          <rPr>
            <sz val="11"/>
            <color theme="1"/>
            <rFont val="Calibri"/>
            <family val="2"/>
            <scheme val="minor"/>
          </rPr>
          <t>Descripción calculada automáticamente a partir de código del artículo</t>
        </r>
      </text>
    </comment>
    <comment ref="C3251" authorId="1" shapeId="0" xr:uid="{00000000-0006-0000-0100-0000050C0000}">
      <text>
        <r>
          <rPr>
            <sz val="11"/>
            <color theme="1"/>
            <rFont val="Calibri"/>
            <family val="2"/>
            <scheme val="minor"/>
          </rPr>
          <t>Seleccione un valor de la lista</t>
        </r>
      </text>
    </comment>
    <comment ref="D3251" authorId="1" shapeId="0" xr:uid="{00000000-0006-0000-0100-0000060C0000}">
      <text>
        <r>
          <rPr>
            <sz val="11"/>
            <color theme="1"/>
            <rFont val="Calibri"/>
            <family val="2"/>
            <scheme val="minor"/>
          </rPr>
          <t>Introduzca un número con dos decimales como máximo. Debe ser igual o mayor a la "Cantidad Real Consumida"</t>
        </r>
      </text>
    </comment>
    <comment ref="E3251" authorId="1" shapeId="0" xr:uid="{00000000-0006-0000-0100-0000070C0000}">
      <text>
        <r>
          <rPr>
            <sz val="11"/>
            <color theme="1"/>
            <rFont val="Calibri"/>
            <family val="2"/>
            <scheme val="minor"/>
          </rPr>
          <t>Introduzca un número con dos decimales como máximo</t>
        </r>
      </text>
    </comment>
    <comment ref="F3251" authorId="1" shapeId="0" xr:uid="{00000000-0006-0000-0100-0000080C0000}">
      <text>
        <r>
          <rPr>
            <sz val="11"/>
            <color theme="1"/>
            <rFont val="Calibri"/>
            <family val="2"/>
            <scheme val="minor"/>
          </rPr>
          <t>Monto calculado automáticamente por el sistema</t>
        </r>
      </text>
    </comment>
    <comment ref="A3267" authorId="1" shapeId="0" xr:uid="{00000000-0006-0000-0100-0000090C0000}">
      <text>
        <r>
          <rPr>
            <sz val="11"/>
            <color theme="1"/>
            <rFont val="Calibri"/>
            <family val="2"/>
            <scheme val="minor"/>
          </rPr>
          <t>Introducir un texto con el nombre o referencia de la contratación</t>
        </r>
      </text>
    </comment>
    <comment ref="B3267" authorId="1" shapeId="0" xr:uid="{00000000-0006-0000-0100-00000A0C0000}">
      <text>
        <r>
          <rPr>
            <sz val="11"/>
            <color theme="1"/>
            <rFont val="Calibri"/>
            <family val="2"/>
            <scheme val="minor"/>
          </rPr>
          <t>Introduzca un texto con la finalidad de la contratación</t>
        </r>
      </text>
    </comment>
    <comment ref="C3267" authorId="1" shapeId="0" xr:uid="{00000000-0006-0000-0100-00000B0C0000}">
      <text>
        <r>
          <rPr>
            <sz val="11"/>
            <color theme="1"/>
            <rFont val="Calibri"/>
            <family val="2"/>
            <scheme val="minor"/>
          </rPr>
          <t>Seleccionar un valor del listado</t>
        </r>
      </text>
    </comment>
    <comment ref="D3267" authorId="1" shapeId="0" xr:uid="{00000000-0006-0000-0100-00000C0C0000}">
      <text>
        <r>
          <rPr>
            <sz val="11"/>
            <color theme="1"/>
            <rFont val="Calibri"/>
            <family val="2"/>
            <scheme val="minor"/>
          </rPr>
          <t>Seleccione el tipo de procedimiento</t>
        </r>
      </text>
    </comment>
    <comment ref="E3267" authorId="1" shapeId="0" xr:uid="{00000000-0006-0000-0100-00000D0C0000}">
      <text>
        <r>
          <rPr>
            <sz val="11"/>
            <color theme="1"/>
            <rFont val="Calibri"/>
            <family val="2"/>
            <scheme val="minor"/>
          </rPr>
          <t>Seleccione un valor de la lista</t>
        </r>
      </text>
    </comment>
    <comment ref="F3267" authorId="1" shapeId="0" xr:uid="{00000000-0006-0000-0100-00000E0C0000}">
      <text>
        <r>
          <rPr>
            <sz val="11"/>
            <color theme="1"/>
            <rFont val="Calibri"/>
            <family val="2"/>
            <scheme val="minor"/>
          </rPr>
          <t>Introduzca el código SNIP</t>
        </r>
      </text>
    </comment>
    <comment ref="C3268" authorId="1" shapeId="0" xr:uid="{00000000-0006-0000-0100-00000F0C0000}">
      <text>
        <r>
          <rPr>
            <sz val="11"/>
            <color theme="1"/>
            <rFont val="Calibri"/>
            <family val="2"/>
            <scheme val="minor"/>
          </rPr>
          <t>Introduzca la fecha de inicio del proceso, en formato dd-mm-aaaa</t>
        </r>
      </text>
    </comment>
    <comment ref="F3268" authorId="1" shapeId="0" xr:uid="{00000000-0006-0000-0100-000011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69" authorId="1" shapeId="0" xr:uid="{00000000-0006-0000-0100-0000120C0000}">
      <text/>
    </comment>
    <comment ref="C3270" authorId="1" shapeId="0" xr:uid="{00000000-0006-0000-0100-0000100C0000}">
      <text>
        <r>
          <rPr>
            <sz val="11"/>
            <color theme="1"/>
            <rFont val="Calibri"/>
            <family val="2"/>
            <scheme val="minor"/>
          </rPr>
          <t>Introduzca la fecha prevista de adjudicación, en formato dd-mm-aaaa</t>
        </r>
      </text>
    </comment>
    <comment ref="F3270" authorId="1" shapeId="0" xr:uid="{00000000-0006-0000-0100-0000130C0000}">
      <text/>
    </comment>
    <comment ref="F3271" authorId="1" shapeId="0" xr:uid="{00000000-0006-0000-0100-0000140C0000}">
      <text/>
    </comment>
    <comment ref="A3273" authorId="1" shapeId="0" xr:uid="{00000000-0006-0000-0100-0000150C0000}">
      <text>
        <r>
          <rPr>
            <sz val="11"/>
            <color theme="1"/>
            <rFont val="Calibri"/>
            <family val="2"/>
            <scheme val="minor"/>
          </rPr>
          <t>Introduzca un codigo UNSPSC</t>
        </r>
      </text>
    </comment>
    <comment ref="B3273" authorId="1" shapeId="0" xr:uid="{00000000-0006-0000-0100-0000160C0000}">
      <text>
        <r>
          <rPr>
            <sz val="11"/>
            <color theme="1"/>
            <rFont val="Calibri"/>
            <family val="2"/>
            <scheme val="minor"/>
          </rPr>
          <t>Descripción calculada automáticamente a partir de código del artículo</t>
        </r>
      </text>
    </comment>
    <comment ref="C3273" authorId="1" shapeId="0" xr:uid="{00000000-0006-0000-0100-0000170C0000}">
      <text>
        <r>
          <rPr>
            <sz val="11"/>
            <color theme="1"/>
            <rFont val="Calibri"/>
            <family val="2"/>
            <scheme val="minor"/>
          </rPr>
          <t>Seleccione un valor de la lista</t>
        </r>
      </text>
    </comment>
    <comment ref="D3273" authorId="1" shapeId="0" xr:uid="{00000000-0006-0000-0100-0000180C0000}">
      <text>
        <r>
          <rPr>
            <sz val="11"/>
            <color theme="1"/>
            <rFont val="Calibri"/>
            <family val="2"/>
            <scheme val="minor"/>
          </rPr>
          <t>Introduzca un número con dos decimales como máximo. Debe ser igual o mayor a la "Cantidad Real Consumida"</t>
        </r>
      </text>
    </comment>
    <comment ref="E3273" authorId="1" shapeId="0" xr:uid="{00000000-0006-0000-0100-0000190C0000}">
      <text>
        <r>
          <rPr>
            <sz val="11"/>
            <color theme="1"/>
            <rFont val="Calibri"/>
            <family val="2"/>
            <scheme val="minor"/>
          </rPr>
          <t>Introduzca un número con dos decimales como máximo</t>
        </r>
      </text>
    </comment>
    <comment ref="F3273" authorId="1" shapeId="0" xr:uid="{00000000-0006-0000-0100-00001A0C0000}">
      <text>
        <r>
          <rPr>
            <sz val="11"/>
            <color theme="1"/>
            <rFont val="Calibri"/>
            <family val="2"/>
            <scheme val="minor"/>
          </rPr>
          <t>Monto calculado automáticamente por el sistema</t>
        </r>
      </text>
    </comment>
    <comment ref="A3278" authorId="1" shapeId="0" xr:uid="{00000000-0006-0000-0100-00001B0C0000}">
      <text>
        <r>
          <rPr>
            <sz val="11"/>
            <color theme="1"/>
            <rFont val="Calibri"/>
            <family val="2"/>
            <scheme val="minor"/>
          </rPr>
          <t>Introducir un texto con el nombre o referencia de la contratación</t>
        </r>
      </text>
    </comment>
    <comment ref="B3278" authorId="1" shapeId="0" xr:uid="{00000000-0006-0000-0100-00001C0C0000}">
      <text>
        <r>
          <rPr>
            <sz val="11"/>
            <color theme="1"/>
            <rFont val="Calibri"/>
            <family val="2"/>
            <scheme val="minor"/>
          </rPr>
          <t>Introduzca un texto con la finalidad de la contratación</t>
        </r>
      </text>
    </comment>
    <comment ref="C3278" authorId="1" shapeId="0" xr:uid="{00000000-0006-0000-0100-00001D0C0000}">
      <text>
        <r>
          <rPr>
            <sz val="11"/>
            <color theme="1"/>
            <rFont val="Calibri"/>
            <family val="2"/>
            <scheme val="minor"/>
          </rPr>
          <t>Seleccionar un valor del listado</t>
        </r>
      </text>
    </comment>
    <comment ref="D3278" authorId="1" shapeId="0" xr:uid="{00000000-0006-0000-0100-00001E0C0000}">
      <text>
        <r>
          <rPr>
            <sz val="11"/>
            <color theme="1"/>
            <rFont val="Calibri"/>
            <family val="2"/>
            <scheme val="minor"/>
          </rPr>
          <t>Seleccione el tipo de procedimiento</t>
        </r>
      </text>
    </comment>
    <comment ref="E3278" authorId="1" shapeId="0" xr:uid="{00000000-0006-0000-0100-00001F0C0000}">
      <text>
        <r>
          <rPr>
            <sz val="11"/>
            <color theme="1"/>
            <rFont val="Calibri"/>
            <family val="2"/>
            <scheme val="minor"/>
          </rPr>
          <t>Seleccione un valor de la lista</t>
        </r>
      </text>
    </comment>
    <comment ref="F3278" authorId="1" shapeId="0" xr:uid="{00000000-0006-0000-0100-0000200C0000}">
      <text>
        <r>
          <rPr>
            <sz val="11"/>
            <color theme="1"/>
            <rFont val="Calibri"/>
            <family val="2"/>
            <scheme val="minor"/>
          </rPr>
          <t>Introduzca el código SNIP</t>
        </r>
      </text>
    </comment>
    <comment ref="C3279" authorId="1" shapeId="0" xr:uid="{00000000-0006-0000-0100-0000210C0000}">
      <text>
        <r>
          <rPr>
            <sz val="11"/>
            <color theme="1"/>
            <rFont val="Calibri"/>
            <family val="2"/>
            <scheme val="minor"/>
          </rPr>
          <t>Introduzca la fecha de inicio del proceso, en formato dd-mm-aaaa</t>
        </r>
      </text>
    </comment>
    <comment ref="F3279" authorId="1" shapeId="0" xr:uid="{00000000-0006-0000-0100-000023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80" authorId="1" shapeId="0" xr:uid="{00000000-0006-0000-0100-0000240C0000}">
      <text/>
    </comment>
    <comment ref="C3281" authorId="1" shapeId="0" xr:uid="{00000000-0006-0000-0100-0000220C0000}">
      <text>
        <r>
          <rPr>
            <sz val="11"/>
            <color theme="1"/>
            <rFont val="Calibri"/>
            <family val="2"/>
            <scheme val="minor"/>
          </rPr>
          <t>Introduzca la fecha prevista de adjudicación, en formato dd-mm-aaaa</t>
        </r>
      </text>
    </comment>
    <comment ref="F3281" authorId="1" shapeId="0" xr:uid="{00000000-0006-0000-0100-0000250C0000}">
      <text/>
    </comment>
    <comment ref="F3282" authorId="1" shapeId="0" xr:uid="{00000000-0006-0000-0100-0000260C0000}">
      <text/>
    </comment>
    <comment ref="A3284" authorId="1" shapeId="0" xr:uid="{00000000-0006-0000-0100-0000270C0000}">
      <text>
        <r>
          <rPr>
            <sz val="11"/>
            <color theme="1"/>
            <rFont val="Calibri"/>
            <family val="2"/>
            <scheme val="minor"/>
          </rPr>
          <t>Introduzca un codigo UNSPSC</t>
        </r>
      </text>
    </comment>
    <comment ref="B3284" authorId="1" shapeId="0" xr:uid="{00000000-0006-0000-0100-0000280C0000}">
      <text>
        <r>
          <rPr>
            <sz val="11"/>
            <color theme="1"/>
            <rFont val="Calibri"/>
            <family val="2"/>
            <scheme val="minor"/>
          </rPr>
          <t>Descripción calculada automáticamente a partir de código del artículo</t>
        </r>
      </text>
    </comment>
    <comment ref="C3284" authorId="1" shapeId="0" xr:uid="{00000000-0006-0000-0100-0000290C0000}">
      <text>
        <r>
          <rPr>
            <sz val="11"/>
            <color theme="1"/>
            <rFont val="Calibri"/>
            <family val="2"/>
            <scheme val="minor"/>
          </rPr>
          <t>Seleccione un valor de la lista</t>
        </r>
      </text>
    </comment>
    <comment ref="D3284" authorId="1" shapeId="0" xr:uid="{00000000-0006-0000-0100-00002A0C0000}">
      <text>
        <r>
          <rPr>
            <sz val="11"/>
            <color theme="1"/>
            <rFont val="Calibri"/>
            <family val="2"/>
            <scheme val="minor"/>
          </rPr>
          <t>Introduzca un número con dos decimales como máximo. Debe ser igual o mayor a la "Cantidad Real Consumida"</t>
        </r>
      </text>
    </comment>
    <comment ref="E3284" authorId="1" shapeId="0" xr:uid="{00000000-0006-0000-0100-00002B0C0000}">
      <text>
        <r>
          <rPr>
            <sz val="11"/>
            <color theme="1"/>
            <rFont val="Calibri"/>
            <family val="2"/>
            <scheme val="minor"/>
          </rPr>
          <t>Introduzca un número con dos decimales como máximo</t>
        </r>
      </text>
    </comment>
    <comment ref="F3284" authorId="1" shapeId="0" xr:uid="{00000000-0006-0000-0100-00002C0C0000}">
      <text>
        <r>
          <rPr>
            <sz val="11"/>
            <color theme="1"/>
            <rFont val="Calibri"/>
            <family val="2"/>
            <scheme val="minor"/>
          </rPr>
          <t>Monto calculado automáticamente por el sistema</t>
        </r>
      </text>
    </comment>
    <comment ref="A3289" authorId="1" shapeId="0" xr:uid="{00000000-0006-0000-0100-00002D0C0000}">
      <text>
        <r>
          <rPr>
            <sz val="11"/>
            <color theme="1"/>
            <rFont val="Calibri"/>
            <family val="2"/>
            <scheme val="minor"/>
          </rPr>
          <t>Introducir un texto con el nombre o referencia de la contratación</t>
        </r>
      </text>
    </comment>
    <comment ref="B3289" authorId="1" shapeId="0" xr:uid="{00000000-0006-0000-0100-00002E0C0000}">
      <text>
        <r>
          <rPr>
            <sz val="11"/>
            <color theme="1"/>
            <rFont val="Calibri"/>
            <family val="2"/>
            <scheme val="minor"/>
          </rPr>
          <t>Introduzca un texto con la finalidad de la contratación</t>
        </r>
      </text>
    </comment>
    <comment ref="C3289" authorId="1" shapeId="0" xr:uid="{00000000-0006-0000-0100-00002F0C0000}">
      <text>
        <r>
          <rPr>
            <sz val="11"/>
            <color theme="1"/>
            <rFont val="Calibri"/>
            <family val="2"/>
            <scheme val="minor"/>
          </rPr>
          <t>Seleccionar un valor del listado</t>
        </r>
      </text>
    </comment>
    <comment ref="D3289" authorId="1" shapeId="0" xr:uid="{00000000-0006-0000-0100-0000300C0000}">
      <text>
        <r>
          <rPr>
            <sz val="11"/>
            <color theme="1"/>
            <rFont val="Calibri"/>
            <family val="2"/>
            <scheme val="minor"/>
          </rPr>
          <t>Seleccione el tipo de procedimiento</t>
        </r>
      </text>
    </comment>
    <comment ref="E3289" authorId="1" shapeId="0" xr:uid="{00000000-0006-0000-0100-0000310C0000}">
      <text>
        <r>
          <rPr>
            <sz val="11"/>
            <color theme="1"/>
            <rFont val="Calibri"/>
            <family val="2"/>
            <scheme val="minor"/>
          </rPr>
          <t>Seleccione un valor de la lista</t>
        </r>
      </text>
    </comment>
    <comment ref="F3289" authorId="1" shapeId="0" xr:uid="{00000000-0006-0000-0100-0000320C0000}">
      <text>
        <r>
          <rPr>
            <sz val="11"/>
            <color theme="1"/>
            <rFont val="Calibri"/>
            <family val="2"/>
            <scheme val="minor"/>
          </rPr>
          <t>Introduzca el código SNIP</t>
        </r>
      </text>
    </comment>
    <comment ref="C3290" authorId="1" shapeId="0" xr:uid="{00000000-0006-0000-0100-0000330C0000}">
      <text>
        <r>
          <rPr>
            <sz val="11"/>
            <color theme="1"/>
            <rFont val="Calibri"/>
            <family val="2"/>
            <scheme val="minor"/>
          </rPr>
          <t>Introduzca la fecha de inicio del proceso, en formato dd-mm-aaaa</t>
        </r>
      </text>
    </comment>
    <comment ref="F3290" authorId="1" shapeId="0" xr:uid="{00000000-0006-0000-0100-000035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91" authorId="1" shapeId="0" xr:uid="{00000000-0006-0000-0100-0000360C0000}">
      <text/>
    </comment>
    <comment ref="C3292" authorId="1" shapeId="0" xr:uid="{00000000-0006-0000-0100-0000340C0000}">
      <text>
        <r>
          <rPr>
            <sz val="11"/>
            <color theme="1"/>
            <rFont val="Calibri"/>
            <family val="2"/>
            <scheme val="minor"/>
          </rPr>
          <t>Introduzca la fecha prevista de adjudicación, en formato dd-mm-aaaa</t>
        </r>
      </text>
    </comment>
    <comment ref="F3292" authorId="1" shapeId="0" xr:uid="{00000000-0006-0000-0100-0000370C0000}">
      <text/>
    </comment>
    <comment ref="F3293" authorId="1" shapeId="0" xr:uid="{00000000-0006-0000-0100-0000380C0000}">
      <text/>
    </comment>
    <comment ref="A3295" authorId="1" shapeId="0" xr:uid="{00000000-0006-0000-0100-0000390C0000}">
      <text>
        <r>
          <rPr>
            <sz val="11"/>
            <color theme="1"/>
            <rFont val="Calibri"/>
            <family val="2"/>
            <scheme val="minor"/>
          </rPr>
          <t>Introduzca un codigo UNSPSC</t>
        </r>
      </text>
    </comment>
    <comment ref="B3295" authorId="1" shapeId="0" xr:uid="{00000000-0006-0000-0100-00003A0C0000}">
      <text>
        <r>
          <rPr>
            <sz val="11"/>
            <color theme="1"/>
            <rFont val="Calibri"/>
            <family val="2"/>
            <scheme val="minor"/>
          </rPr>
          <t>Descripción calculada automáticamente a partir de código del artículo</t>
        </r>
      </text>
    </comment>
    <comment ref="C3295" authorId="1" shapeId="0" xr:uid="{00000000-0006-0000-0100-00003B0C0000}">
      <text>
        <r>
          <rPr>
            <sz val="11"/>
            <color theme="1"/>
            <rFont val="Calibri"/>
            <family val="2"/>
            <scheme val="minor"/>
          </rPr>
          <t>Seleccione un valor de la lista</t>
        </r>
      </text>
    </comment>
    <comment ref="D3295" authorId="1" shapeId="0" xr:uid="{00000000-0006-0000-0100-00003C0C0000}">
      <text>
        <r>
          <rPr>
            <sz val="11"/>
            <color theme="1"/>
            <rFont val="Calibri"/>
            <family val="2"/>
            <scheme val="minor"/>
          </rPr>
          <t>Introduzca un número con dos decimales como máximo. Debe ser igual o mayor a la "Cantidad Real Consumida"</t>
        </r>
      </text>
    </comment>
    <comment ref="E3295" authorId="1" shapeId="0" xr:uid="{00000000-0006-0000-0100-00003D0C0000}">
      <text>
        <r>
          <rPr>
            <sz val="11"/>
            <color theme="1"/>
            <rFont val="Calibri"/>
            <family val="2"/>
            <scheme val="minor"/>
          </rPr>
          <t>Introduzca un número con dos decimales como máximo</t>
        </r>
      </text>
    </comment>
    <comment ref="F3295" authorId="1" shapeId="0" xr:uid="{00000000-0006-0000-0100-00003E0C0000}">
      <text>
        <r>
          <rPr>
            <sz val="11"/>
            <color theme="1"/>
            <rFont val="Calibri"/>
            <family val="2"/>
            <scheme val="minor"/>
          </rPr>
          <t>Monto calculado automáticamente por el sistema</t>
        </r>
      </text>
    </comment>
    <comment ref="A3300" authorId="1" shapeId="0" xr:uid="{00000000-0006-0000-0100-00003F0C0000}">
      <text>
        <r>
          <rPr>
            <sz val="11"/>
            <color theme="1"/>
            <rFont val="Calibri"/>
            <family val="2"/>
            <scheme val="minor"/>
          </rPr>
          <t>Introducir un texto con el nombre o referencia de la contratación</t>
        </r>
      </text>
    </comment>
    <comment ref="B3300" authorId="1" shapeId="0" xr:uid="{00000000-0006-0000-0100-0000400C0000}">
      <text>
        <r>
          <rPr>
            <sz val="11"/>
            <color theme="1"/>
            <rFont val="Calibri"/>
            <family val="2"/>
            <scheme val="minor"/>
          </rPr>
          <t>Introduzca un texto con la finalidad de la contratación</t>
        </r>
      </text>
    </comment>
    <comment ref="C3300" authorId="1" shapeId="0" xr:uid="{00000000-0006-0000-0100-0000410C0000}">
      <text>
        <r>
          <rPr>
            <sz val="11"/>
            <color theme="1"/>
            <rFont val="Calibri"/>
            <family val="2"/>
            <scheme val="minor"/>
          </rPr>
          <t>Seleccionar un valor del listado</t>
        </r>
      </text>
    </comment>
    <comment ref="D3300" authorId="1" shapeId="0" xr:uid="{00000000-0006-0000-0100-0000420C0000}">
      <text>
        <r>
          <rPr>
            <sz val="11"/>
            <color theme="1"/>
            <rFont val="Calibri"/>
            <family val="2"/>
            <scheme val="minor"/>
          </rPr>
          <t>Seleccione el tipo de procedimiento</t>
        </r>
      </text>
    </comment>
    <comment ref="E3300" authorId="1" shapeId="0" xr:uid="{00000000-0006-0000-0100-0000430C0000}">
      <text>
        <r>
          <rPr>
            <sz val="11"/>
            <color theme="1"/>
            <rFont val="Calibri"/>
            <family val="2"/>
            <scheme val="minor"/>
          </rPr>
          <t>Seleccione un valor de la lista</t>
        </r>
      </text>
    </comment>
    <comment ref="F3300" authorId="1" shapeId="0" xr:uid="{00000000-0006-0000-0100-0000440C0000}">
      <text>
        <r>
          <rPr>
            <sz val="11"/>
            <color theme="1"/>
            <rFont val="Calibri"/>
            <family val="2"/>
            <scheme val="minor"/>
          </rPr>
          <t>Introduzca el código SNIP</t>
        </r>
      </text>
    </comment>
    <comment ref="C3301" authorId="1" shapeId="0" xr:uid="{00000000-0006-0000-0100-0000450C0000}">
      <text>
        <r>
          <rPr>
            <sz val="11"/>
            <color theme="1"/>
            <rFont val="Calibri"/>
            <family val="2"/>
            <scheme val="minor"/>
          </rPr>
          <t>Introduzca la fecha de inicio del proceso, en formato dd-mm-aaaa</t>
        </r>
      </text>
    </comment>
    <comment ref="F3301" authorId="1" shapeId="0" xr:uid="{00000000-0006-0000-0100-000047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02" authorId="1" shapeId="0" xr:uid="{00000000-0006-0000-0100-0000480C0000}">
      <text/>
    </comment>
    <comment ref="C3303" authorId="1" shapeId="0" xr:uid="{00000000-0006-0000-0100-0000460C0000}">
      <text>
        <r>
          <rPr>
            <sz val="11"/>
            <color theme="1"/>
            <rFont val="Calibri"/>
            <family val="2"/>
            <scheme val="minor"/>
          </rPr>
          <t>Introduzca la fecha prevista de adjudicación, en formato dd-mm-aaaa</t>
        </r>
      </text>
    </comment>
    <comment ref="F3303" authorId="1" shapeId="0" xr:uid="{00000000-0006-0000-0100-0000490C0000}">
      <text/>
    </comment>
    <comment ref="F3304" authorId="1" shapeId="0" xr:uid="{00000000-0006-0000-0100-00004A0C0000}">
      <text/>
    </comment>
    <comment ref="A3306" authorId="1" shapeId="0" xr:uid="{00000000-0006-0000-0100-00004B0C0000}">
      <text>
        <r>
          <rPr>
            <sz val="11"/>
            <color theme="1"/>
            <rFont val="Calibri"/>
            <family val="2"/>
            <scheme val="minor"/>
          </rPr>
          <t>Introduzca un codigo UNSPSC</t>
        </r>
      </text>
    </comment>
    <comment ref="B3306" authorId="1" shapeId="0" xr:uid="{00000000-0006-0000-0100-00004C0C0000}">
      <text>
        <r>
          <rPr>
            <sz val="11"/>
            <color theme="1"/>
            <rFont val="Calibri"/>
            <family val="2"/>
            <scheme val="minor"/>
          </rPr>
          <t>Descripción calculada automáticamente a partir de código del artículo</t>
        </r>
      </text>
    </comment>
    <comment ref="C3306" authorId="1" shapeId="0" xr:uid="{00000000-0006-0000-0100-00004D0C0000}">
      <text>
        <r>
          <rPr>
            <sz val="11"/>
            <color theme="1"/>
            <rFont val="Calibri"/>
            <family val="2"/>
            <scheme val="minor"/>
          </rPr>
          <t>Seleccione un valor de la lista</t>
        </r>
      </text>
    </comment>
    <comment ref="D3306" authorId="1" shapeId="0" xr:uid="{00000000-0006-0000-0100-00004E0C0000}">
      <text>
        <r>
          <rPr>
            <sz val="11"/>
            <color theme="1"/>
            <rFont val="Calibri"/>
            <family val="2"/>
            <scheme val="minor"/>
          </rPr>
          <t>Introduzca un número con dos decimales como máximo. Debe ser igual o mayor a la "Cantidad Real Consumida"</t>
        </r>
      </text>
    </comment>
    <comment ref="E3306" authorId="1" shapeId="0" xr:uid="{00000000-0006-0000-0100-00004F0C0000}">
      <text>
        <r>
          <rPr>
            <sz val="11"/>
            <color theme="1"/>
            <rFont val="Calibri"/>
            <family val="2"/>
            <scheme val="minor"/>
          </rPr>
          <t>Introduzca un número con dos decimales como máximo</t>
        </r>
      </text>
    </comment>
    <comment ref="F3306" authorId="1" shapeId="0" xr:uid="{00000000-0006-0000-0100-0000500C0000}">
      <text>
        <r>
          <rPr>
            <sz val="11"/>
            <color theme="1"/>
            <rFont val="Calibri"/>
            <family val="2"/>
            <scheme val="minor"/>
          </rPr>
          <t>Monto calculado automáticamente por el sistema</t>
        </r>
      </text>
    </comment>
    <comment ref="A3311" authorId="1" shapeId="0" xr:uid="{00000000-0006-0000-0100-0000510C0000}">
      <text>
        <r>
          <rPr>
            <sz val="11"/>
            <color theme="1"/>
            <rFont val="Calibri"/>
            <family val="2"/>
            <scheme val="minor"/>
          </rPr>
          <t>Introducir un texto con el nombre o referencia de la contratación</t>
        </r>
      </text>
    </comment>
    <comment ref="B3311" authorId="1" shapeId="0" xr:uid="{00000000-0006-0000-0100-0000520C0000}">
      <text>
        <r>
          <rPr>
            <sz val="11"/>
            <color theme="1"/>
            <rFont val="Calibri"/>
            <family val="2"/>
            <scheme val="minor"/>
          </rPr>
          <t>Introduzca un texto con la finalidad de la contratación</t>
        </r>
      </text>
    </comment>
    <comment ref="C3311" authorId="1" shapeId="0" xr:uid="{00000000-0006-0000-0100-0000530C0000}">
      <text>
        <r>
          <rPr>
            <sz val="11"/>
            <color theme="1"/>
            <rFont val="Calibri"/>
            <family val="2"/>
            <scheme val="minor"/>
          </rPr>
          <t>Seleccionar un valor del listado</t>
        </r>
      </text>
    </comment>
    <comment ref="D3311" authorId="1" shapeId="0" xr:uid="{00000000-0006-0000-0100-0000540C0000}">
      <text>
        <r>
          <rPr>
            <sz val="11"/>
            <color theme="1"/>
            <rFont val="Calibri"/>
            <family val="2"/>
            <scheme val="minor"/>
          </rPr>
          <t>Seleccione el tipo de procedimiento</t>
        </r>
      </text>
    </comment>
    <comment ref="E3311" authorId="1" shapeId="0" xr:uid="{00000000-0006-0000-0100-0000550C0000}">
      <text>
        <r>
          <rPr>
            <sz val="11"/>
            <color theme="1"/>
            <rFont val="Calibri"/>
            <family val="2"/>
            <scheme val="minor"/>
          </rPr>
          <t>Seleccione un valor de la lista</t>
        </r>
      </text>
    </comment>
    <comment ref="F3311" authorId="1" shapeId="0" xr:uid="{00000000-0006-0000-0100-0000560C0000}">
      <text>
        <r>
          <rPr>
            <sz val="11"/>
            <color theme="1"/>
            <rFont val="Calibri"/>
            <family val="2"/>
            <scheme val="minor"/>
          </rPr>
          <t>Introduzca el código SNIP</t>
        </r>
      </text>
    </comment>
    <comment ref="C3312" authorId="1" shapeId="0" xr:uid="{00000000-0006-0000-0100-0000570C0000}">
      <text>
        <r>
          <rPr>
            <sz val="11"/>
            <color theme="1"/>
            <rFont val="Calibri"/>
            <family val="2"/>
            <scheme val="minor"/>
          </rPr>
          <t>Introduzca la fecha de inicio del proceso, en formato dd-mm-aaaa</t>
        </r>
      </text>
    </comment>
    <comment ref="F3312" authorId="1" shapeId="0" xr:uid="{00000000-0006-0000-0100-000059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13" authorId="1" shapeId="0" xr:uid="{00000000-0006-0000-0100-00005A0C0000}">
      <text/>
    </comment>
    <comment ref="C3314" authorId="1" shapeId="0" xr:uid="{00000000-0006-0000-0100-0000580C0000}">
      <text>
        <r>
          <rPr>
            <sz val="11"/>
            <color theme="1"/>
            <rFont val="Calibri"/>
            <family val="2"/>
            <scheme val="minor"/>
          </rPr>
          <t>Introduzca la fecha prevista de adjudicación, en formato dd-mm-aaaa</t>
        </r>
      </text>
    </comment>
    <comment ref="F3314" authorId="1" shapeId="0" xr:uid="{00000000-0006-0000-0100-00005B0C0000}">
      <text/>
    </comment>
    <comment ref="F3315" authorId="1" shapeId="0" xr:uid="{00000000-0006-0000-0100-00005C0C0000}">
      <text/>
    </comment>
    <comment ref="A3317" authorId="1" shapeId="0" xr:uid="{00000000-0006-0000-0100-00005D0C0000}">
      <text>
        <r>
          <rPr>
            <sz val="11"/>
            <color theme="1"/>
            <rFont val="Calibri"/>
            <family val="2"/>
            <scheme val="minor"/>
          </rPr>
          <t>Introduzca un codigo UNSPSC</t>
        </r>
      </text>
    </comment>
    <comment ref="B3317" authorId="1" shapeId="0" xr:uid="{00000000-0006-0000-0100-00005E0C0000}">
      <text>
        <r>
          <rPr>
            <sz val="11"/>
            <color theme="1"/>
            <rFont val="Calibri"/>
            <family val="2"/>
            <scheme val="minor"/>
          </rPr>
          <t>Descripción calculada automáticamente a partir de código del artículo</t>
        </r>
      </text>
    </comment>
    <comment ref="C3317" authorId="1" shapeId="0" xr:uid="{00000000-0006-0000-0100-00005F0C0000}">
      <text>
        <r>
          <rPr>
            <sz val="11"/>
            <color theme="1"/>
            <rFont val="Calibri"/>
            <family val="2"/>
            <scheme val="minor"/>
          </rPr>
          <t>Seleccione un valor de la lista</t>
        </r>
      </text>
    </comment>
    <comment ref="D3317" authorId="1" shapeId="0" xr:uid="{00000000-0006-0000-0100-0000600C0000}">
      <text>
        <r>
          <rPr>
            <sz val="11"/>
            <color theme="1"/>
            <rFont val="Calibri"/>
            <family val="2"/>
            <scheme val="minor"/>
          </rPr>
          <t>Introduzca un número con dos decimales como máximo. Debe ser igual o mayor a la "Cantidad Real Consumida"</t>
        </r>
      </text>
    </comment>
    <comment ref="E3317" authorId="1" shapeId="0" xr:uid="{00000000-0006-0000-0100-0000610C0000}">
      <text>
        <r>
          <rPr>
            <sz val="11"/>
            <color theme="1"/>
            <rFont val="Calibri"/>
            <family val="2"/>
            <scheme val="minor"/>
          </rPr>
          <t>Introduzca un número con dos decimales como máximo</t>
        </r>
      </text>
    </comment>
    <comment ref="F3317" authorId="1" shapeId="0" xr:uid="{00000000-0006-0000-0100-0000620C0000}">
      <text>
        <r>
          <rPr>
            <sz val="11"/>
            <color theme="1"/>
            <rFont val="Calibri"/>
            <family val="2"/>
            <scheme val="minor"/>
          </rPr>
          <t>Monto calculado automáticamente por el sistema</t>
        </r>
      </text>
    </comment>
    <comment ref="A3322" authorId="1" shapeId="0" xr:uid="{00000000-0006-0000-0100-0000630C0000}">
      <text>
        <r>
          <rPr>
            <sz val="11"/>
            <color theme="1"/>
            <rFont val="Calibri"/>
            <family val="2"/>
            <scheme val="minor"/>
          </rPr>
          <t>Introducir un texto con el nombre o referencia de la contratación</t>
        </r>
      </text>
    </comment>
    <comment ref="B3322" authorId="1" shapeId="0" xr:uid="{00000000-0006-0000-0100-0000640C0000}">
      <text>
        <r>
          <rPr>
            <sz val="11"/>
            <color theme="1"/>
            <rFont val="Calibri"/>
            <family val="2"/>
            <scheme val="minor"/>
          </rPr>
          <t>Introduzca un texto con la finalidad de la contratación</t>
        </r>
      </text>
    </comment>
    <comment ref="C3322" authorId="1" shapeId="0" xr:uid="{00000000-0006-0000-0100-0000650C0000}">
      <text>
        <r>
          <rPr>
            <sz val="11"/>
            <color theme="1"/>
            <rFont val="Calibri"/>
            <family val="2"/>
            <scheme val="minor"/>
          </rPr>
          <t>Seleccionar un valor del listado</t>
        </r>
      </text>
    </comment>
    <comment ref="D3322" authorId="1" shapeId="0" xr:uid="{00000000-0006-0000-0100-0000660C0000}">
      <text>
        <r>
          <rPr>
            <sz val="11"/>
            <color theme="1"/>
            <rFont val="Calibri"/>
            <family val="2"/>
            <scheme val="minor"/>
          </rPr>
          <t>Seleccione el tipo de procedimiento</t>
        </r>
      </text>
    </comment>
    <comment ref="E3322" authorId="1" shapeId="0" xr:uid="{00000000-0006-0000-0100-0000670C0000}">
      <text>
        <r>
          <rPr>
            <sz val="11"/>
            <color theme="1"/>
            <rFont val="Calibri"/>
            <family val="2"/>
            <scheme val="minor"/>
          </rPr>
          <t>Seleccione un valor de la lista</t>
        </r>
      </text>
    </comment>
    <comment ref="F3322" authorId="1" shapeId="0" xr:uid="{00000000-0006-0000-0100-0000680C0000}">
      <text>
        <r>
          <rPr>
            <sz val="11"/>
            <color theme="1"/>
            <rFont val="Calibri"/>
            <family val="2"/>
            <scheme val="minor"/>
          </rPr>
          <t>Introduzca el código SNIP</t>
        </r>
      </text>
    </comment>
    <comment ref="C3323" authorId="1" shapeId="0" xr:uid="{00000000-0006-0000-0100-0000690C0000}">
      <text>
        <r>
          <rPr>
            <sz val="11"/>
            <color theme="1"/>
            <rFont val="Calibri"/>
            <family val="2"/>
            <scheme val="minor"/>
          </rPr>
          <t>Introduzca la fecha de inicio del proceso, en formato dd-mm-aaaa</t>
        </r>
      </text>
    </comment>
    <comment ref="F3323" authorId="1" shapeId="0" xr:uid="{00000000-0006-0000-0100-00006B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24" authorId="1" shapeId="0" xr:uid="{00000000-0006-0000-0100-00006C0C0000}">
      <text/>
    </comment>
    <comment ref="C3325" authorId="1" shapeId="0" xr:uid="{00000000-0006-0000-0100-00006A0C0000}">
      <text>
        <r>
          <rPr>
            <sz val="11"/>
            <color theme="1"/>
            <rFont val="Calibri"/>
            <family val="2"/>
            <scheme val="minor"/>
          </rPr>
          <t>Introduzca la fecha prevista de adjudicación, en formato dd-mm-aaaa</t>
        </r>
      </text>
    </comment>
    <comment ref="F3325" authorId="1" shapeId="0" xr:uid="{00000000-0006-0000-0100-00006D0C0000}">
      <text/>
    </comment>
    <comment ref="F3326" authorId="1" shapeId="0" xr:uid="{00000000-0006-0000-0100-00006E0C0000}">
      <text/>
    </comment>
    <comment ref="A3328" authorId="1" shapeId="0" xr:uid="{00000000-0006-0000-0100-00006F0C0000}">
      <text>
        <r>
          <rPr>
            <sz val="11"/>
            <color theme="1"/>
            <rFont val="Calibri"/>
            <family val="2"/>
            <scheme val="minor"/>
          </rPr>
          <t>Introduzca un codigo UNSPSC</t>
        </r>
      </text>
    </comment>
    <comment ref="B3328" authorId="1" shapeId="0" xr:uid="{00000000-0006-0000-0100-0000700C0000}">
      <text>
        <r>
          <rPr>
            <sz val="11"/>
            <color theme="1"/>
            <rFont val="Calibri"/>
            <family val="2"/>
            <scheme val="minor"/>
          </rPr>
          <t>Descripción calculada automáticamente a partir de código del artículo</t>
        </r>
      </text>
    </comment>
    <comment ref="C3328" authorId="1" shapeId="0" xr:uid="{00000000-0006-0000-0100-0000710C0000}">
      <text>
        <r>
          <rPr>
            <sz val="11"/>
            <color theme="1"/>
            <rFont val="Calibri"/>
            <family val="2"/>
            <scheme val="minor"/>
          </rPr>
          <t>Seleccione un valor de la lista</t>
        </r>
      </text>
    </comment>
    <comment ref="D3328" authorId="1" shapeId="0" xr:uid="{00000000-0006-0000-0100-0000720C0000}">
      <text>
        <r>
          <rPr>
            <sz val="11"/>
            <color theme="1"/>
            <rFont val="Calibri"/>
            <family val="2"/>
            <scheme val="minor"/>
          </rPr>
          <t>Introduzca un número con dos decimales como máximo. Debe ser igual o mayor a la "Cantidad Real Consumida"</t>
        </r>
      </text>
    </comment>
    <comment ref="E3328" authorId="1" shapeId="0" xr:uid="{00000000-0006-0000-0100-0000730C0000}">
      <text>
        <r>
          <rPr>
            <sz val="11"/>
            <color theme="1"/>
            <rFont val="Calibri"/>
            <family val="2"/>
            <scheme val="minor"/>
          </rPr>
          <t>Introduzca un número con dos decimales como máximo</t>
        </r>
      </text>
    </comment>
    <comment ref="F3328" authorId="1" shapeId="0" xr:uid="{00000000-0006-0000-0100-0000740C0000}">
      <text>
        <r>
          <rPr>
            <sz val="11"/>
            <color theme="1"/>
            <rFont val="Calibri"/>
            <family val="2"/>
            <scheme val="minor"/>
          </rPr>
          <t>Monto calculado automáticamente por el sistema</t>
        </r>
      </text>
    </comment>
    <comment ref="A3333" authorId="1" shapeId="0" xr:uid="{00000000-0006-0000-0100-0000750C0000}">
      <text>
        <r>
          <rPr>
            <sz val="11"/>
            <color theme="1"/>
            <rFont val="Calibri"/>
            <family val="2"/>
            <scheme val="minor"/>
          </rPr>
          <t>Introducir un texto con el nombre o referencia de la contratación</t>
        </r>
      </text>
    </comment>
    <comment ref="B3333" authorId="1" shapeId="0" xr:uid="{00000000-0006-0000-0100-0000760C0000}">
      <text>
        <r>
          <rPr>
            <sz val="11"/>
            <color theme="1"/>
            <rFont val="Calibri"/>
            <family val="2"/>
            <scheme val="minor"/>
          </rPr>
          <t>Introduzca un texto con la finalidad de la contratación</t>
        </r>
      </text>
    </comment>
    <comment ref="C3333" authorId="1" shapeId="0" xr:uid="{00000000-0006-0000-0100-0000770C0000}">
      <text>
        <r>
          <rPr>
            <sz val="11"/>
            <color theme="1"/>
            <rFont val="Calibri"/>
            <family val="2"/>
            <scheme val="minor"/>
          </rPr>
          <t>Seleccionar un valor del listado</t>
        </r>
      </text>
    </comment>
    <comment ref="D3333" authorId="1" shapeId="0" xr:uid="{00000000-0006-0000-0100-0000780C0000}">
      <text>
        <r>
          <rPr>
            <sz val="11"/>
            <color theme="1"/>
            <rFont val="Calibri"/>
            <family val="2"/>
            <scheme val="minor"/>
          </rPr>
          <t>Seleccione el tipo de procedimiento</t>
        </r>
      </text>
    </comment>
    <comment ref="E3333" authorId="1" shapeId="0" xr:uid="{00000000-0006-0000-0100-0000790C0000}">
      <text>
        <r>
          <rPr>
            <sz val="11"/>
            <color theme="1"/>
            <rFont val="Calibri"/>
            <family val="2"/>
            <scheme val="minor"/>
          </rPr>
          <t>Seleccione un valor de la lista</t>
        </r>
      </text>
    </comment>
    <comment ref="F3333" authorId="1" shapeId="0" xr:uid="{00000000-0006-0000-0100-00007A0C0000}">
      <text>
        <r>
          <rPr>
            <sz val="11"/>
            <color theme="1"/>
            <rFont val="Calibri"/>
            <family val="2"/>
            <scheme val="minor"/>
          </rPr>
          <t>Introduzca el código SNIP</t>
        </r>
      </text>
    </comment>
    <comment ref="C3334" authorId="1" shapeId="0" xr:uid="{00000000-0006-0000-0100-00007B0C0000}">
      <text>
        <r>
          <rPr>
            <sz val="11"/>
            <color theme="1"/>
            <rFont val="Calibri"/>
            <family val="2"/>
            <scheme val="minor"/>
          </rPr>
          <t>Introduzca la fecha de inicio del proceso, en formato dd-mm-aaaa</t>
        </r>
      </text>
    </comment>
    <comment ref="F3334" authorId="1" shapeId="0" xr:uid="{00000000-0006-0000-0100-00007D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35" authorId="1" shapeId="0" xr:uid="{00000000-0006-0000-0100-00007E0C0000}">
      <text/>
    </comment>
    <comment ref="C3336" authorId="1" shapeId="0" xr:uid="{00000000-0006-0000-0100-00007C0C0000}">
      <text>
        <r>
          <rPr>
            <sz val="11"/>
            <color theme="1"/>
            <rFont val="Calibri"/>
            <family val="2"/>
            <scheme val="minor"/>
          </rPr>
          <t>Introduzca la fecha prevista de adjudicación, en formato dd-mm-aaaa</t>
        </r>
      </text>
    </comment>
    <comment ref="F3336" authorId="1" shapeId="0" xr:uid="{00000000-0006-0000-0100-00007F0C0000}">
      <text/>
    </comment>
    <comment ref="F3337" authorId="1" shapeId="0" xr:uid="{00000000-0006-0000-0100-0000800C0000}">
      <text/>
    </comment>
    <comment ref="A3339" authorId="1" shapeId="0" xr:uid="{00000000-0006-0000-0100-0000810C0000}">
      <text>
        <r>
          <rPr>
            <sz val="11"/>
            <color theme="1"/>
            <rFont val="Calibri"/>
            <family val="2"/>
            <scheme val="minor"/>
          </rPr>
          <t>Introduzca un codigo UNSPSC</t>
        </r>
      </text>
    </comment>
    <comment ref="B3339" authorId="1" shapeId="0" xr:uid="{00000000-0006-0000-0100-0000820C0000}">
      <text>
        <r>
          <rPr>
            <sz val="11"/>
            <color theme="1"/>
            <rFont val="Calibri"/>
            <family val="2"/>
            <scheme val="minor"/>
          </rPr>
          <t>Descripción calculada automáticamente a partir de código del artículo</t>
        </r>
      </text>
    </comment>
    <comment ref="C3339" authorId="1" shapeId="0" xr:uid="{00000000-0006-0000-0100-0000830C0000}">
      <text>
        <r>
          <rPr>
            <sz val="11"/>
            <color theme="1"/>
            <rFont val="Calibri"/>
            <family val="2"/>
            <scheme val="minor"/>
          </rPr>
          <t>Seleccione un valor de la lista</t>
        </r>
      </text>
    </comment>
    <comment ref="D3339" authorId="1" shapeId="0" xr:uid="{00000000-0006-0000-0100-0000840C0000}">
      <text>
        <r>
          <rPr>
            <sz val="11"/>
            <color theme="1"/>
            <rFont val="Calibri"/>
            <family val="2"/>
            <scheme val="minor"/>
          </rPr>
          <t>Introduzca un número con dos decimales como máximo. Debe ser igual o mayor a la "Cantidad Real Consumida"</t>
        </r>
      </text>
    </comment>
    <comment ref="E3339" authorId="1" shapeId="0" xr:uid="{00000000-0006-0000-0100-0000850C0000}">
      <text>
        <r>
          <rPr>
            <sz val="11"/>
            <color theme="1"/>
            <rFont val="Calibri"/>
            <family val="2"/>
            <scheme val="minor"/>
          </rPr>
          <t>Introduzca un número con dos decimales como máximo</t>
        </r>
      </text>
    </comment>
    <comment ref="F3339" authorId="1" shapeId="0" xr:uid="{00000000-0006-0000-0100-0000860C0000}">
      <text>
        <r>
          <rPr>
            <sz val="11"/>
            <color theme="1"/>
            <rFont val="Calibri"/>
            <family val="2"/>
            <scheme val="minor"/>
          </rPr>
          <t>Monto calculado automáticamente por el sistema</t>
        </r>
      </text>
    </comment>
    <comment ref="A3344" authorId="1" shapeId="0" xr:uid="{00000000-0006-0000-0100-0000870C0000}">
      <text>
        <r>
          <rPr>
            <sz val="11"/>
            <color theme="1"/>
            <rFont val="Calibri"/>
            <family val="2"/>
            <scheme val="minor"/>
          </rPr>
          <t>Introducir un texto con el nombre o referencia de la contratación</t>
        </r>
      </text>
    </comment>
    <comment ref="B3344" authorId="1" shapeId="0" xr:uid="{00000000-0006-0000-0100-0000880C0000}">
      <text>
        <r>
          <rPr>
            <sz val="11"/>
            <color theme="1"/>
            <rFont val="Calibri"/>
            <family val="2"/>
            <scheme val="minor"/>
          </rPr>
          <t>Introduzca un texto con la finalidad de la contratación</t>
        </r>
      </text>
    </comment>
    <comment ref="C3344" authorId="1" shapeId="0" xr:uid="{00000000-0006-0000-0100-0000890C0000}">
      <text>
        <r>
          <rPr>
            <sz val="11"/>
            <color theme="1"/>
            <rFont val="Calibri"/>
            <family val="2"/>
            <scheme val="minor"/>
          </rPr>
          <t>Seleccionar un valor del listado</t>
        </r>
      </text>
    </comment>
    <comment ref="D3344" authorId="1" shapeId="0" xr:uid="{00000000-0006-0000-0100-00008A0C0000}">
      <text>
        <r>
          <rPr>
            <sz val="11"/>
            <color theme="1"/>
            <rFont val="Calibri"/>
            <family val="2"/>
            <scheme val="minor"/>
          </rPr>
          <t>Seleccione el tipo de procedimiento</t>
        </r>
      </text>
    </comment>
    <comment ref="E3344" authorId="1" shapeId="0" xr:uid="{00000000-0006-0000-0100-00008B0C0000}">
      <text>
        <r>
          <rPr>
            <sz val="11"/>
            <color theme="1"/>
            <rFont val="Calibri"/>
            <family val="2"/>
            <scheme val="minor"/>
          </rPr>
          <t>Seleccione un valor de la lista</t>
        </r>
      </text>
    </comment>
    <comment ref="F3344" authorId="1" shapeId="0" xr:uid="{00000000-0006-0000-0100-00008C0C0000}">
      <text>
        <r>
          <rPr>
            <sz val="11"/>
            <color theme="1"/>
            <rFont val="Calibri"/>
            <family val="2"/>
            <scheme val="minor"/>
          </rPr>
          <t>Introduzca el código SNIP</t>
        </r>
      </text>
    </comment>
    <comment ref="C3345" authorId="1" shapeId="0" xr:uid="{00000000-0006-0000-0100-00008D0C0000}">
      <text>
        <r>
          <rPr>
            <sz val="11"/>
            <color theme="1"/>
            <rFont val="Calibri"/>
            <family val="2"/>
            <scheme val="minor"/>
          </rPr>
          <t>Introduzca la fecha de inicio del proceso, en formato dd-mm-aaaa</t>
        </r>
      </text>
    </comment>
    <comment ref="F3345" authorId="1" shapeId="0" xr:uid="{00000000-0006-0000-0100-00008F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46" authorId="1" shapeId="0" xr:uid="{00000000-0006-0000-0100-0000900C0000}">
      <text/>
    </comment>
    <comment ref="C3347" authorId="1" shapeId="0" xr:uid="{00000000-0006-0000-0100-00008E0C0000}">
      <text>
        <r>
          <rPr>
            <sz val="11"/>
            <color theme="1"/>
            <rFont val="Calibri"/>
            <family val="2"/>
            <scheme val="minor"/>
          </rPr>
          <t>Introduzca la fecha prevista de adjudicación, en formato dd-mm-aaaa</t>
        </r>
      </text>
    </comment>
    <comment ref="F3347" authorId="1" shapeId="0" xr:uid="{00000000-0006-0000-0100-0000910C0000}">
      <text/>
    </comment>
    <comment ref="F3348" authorId="1" shapeId="0" xr:uid="{00000000-0006-0000-0100-0000920C0000}">
      <text/>
    </comment>
    <comment ref="A3350" authorId="1" shapeId="0" xr:uid="{00000000-0006-0000-0100-0000930C0000}">
      <text>
        <r>
          <rPr>
            <sz val="11"/>
            <color theme="1"/>
            <rFont val="Calibri"/>
            <family val="2"/>
            <scheme val="minor"/>
          </rPr>
          <t>Introduzca un codigo UNSPSC</t>
        </r>
      </text>
    </comment>
    <comment ref="B3350" authorId="1" shapeId="0" xr:uid="{00000000-0006-0000-0100-0000940C0000}">
      <text>
        <r>
          <rPr>
            <sz val="11"/>
            <color theme="1"/>
            <rFont val="Calibri"/>
            <family val="2"/>
            <scheme val="minor"/>
          </rPr>
          <t>Descripción calculada automáticamente a partir de código del artículo</t>
        </r>
      </text>
    </comment>
    <comment ref="C3350" authorId="1" shapeId="0" xr:uid="{00000000-0006-0000-0100-0000950C0000}">
      <text>
        <r>
          <rPr>
            <sz val="11"/>
            <color theme="1"/>
            <rFont val="Calibri"/>
            <family val="2"/>
            <scheme val="minor"/>
          </rPr>
          <t>Seleccione un valor de la lista</t>
        </r>
      </text>
    </comment>
    <comment ref="D3350" authorId="1" shapeId="0" xr:uid="{00000000-0006-0000-0100-0000960C0000}">
      <text>
        <r>
          <rPr>
            <sz val="11"/>
            <color theme="1"/>
            <rFont val="Calibri"/>
            <family val="2"/>
            <scheme val="minor"/>
          </rPr>
          <t>Introduzca un número con dos decimales como máximo. Debe ser igual o mayor a la "Cantidad Real Consumida"</t>
        </r>
      </text>
    </comment>
    <comment ref="E3350" authorId="1" shapeId="0" xr:uid="{00000000-0006-0000-0100-0000970C0000}">
      <text>
        <r>
          <rPr>
            <sz val="11"/>
            <color theme="1"/>
            <rFont val="Calibri"/>
            <family val="2"/>
            <scheme val="minor"/>
          </rPr>
          <t>Introduzca un número con dos decimales como máximo</t>
        </r>
      </text>
    </comment>
    <comment ref="F3350" authorId="1" shapeId="0" xr:uid="{00000000-0006-0000-0100-0000980C0000}">
      <text>
        <r>
          <rPr>
            <sz val="11"/>
            <color theme="1"/>
            <rFont val="Calibri"/>
            <family val="2"/>
            <scheme val="minor"/>
          </rPr>
          <t>Monto calculado automáticamente por el sistema</t>
        </r>
      </text>
    </comment>
    <comment ref="A3355" authorId="1" shapeId="0" xr:uid="{00000000-0006-0000-0100-0000990C0000}">
      <text>
        <r>
          <rPr>
            <sz val="11"/>
            <color theme="1"/>
            <rFont val="Calibri"/>
            <family val="2"/>
            <scheme val="minor"/>
          </rPr>
          <t>Introducir un texto con el nombre o referencia de la contratación</t>
        </r>
      </text>
    </comment>
    <comment ref="B3355" authorId="1" shapeId="0" xr:uid="{00000000-0006-0000-0100-00009A0C0000}">
      <text>
        <r>
          <rPr>
            <sz val="11"/>
            <color theme="1"/>
            <rFont val="Calibri"/>
            <family val="2"/>
            <scheme val="minor"/>
          </rPr>
          <t>Introduzca un texto con la finalidad de la contratación</t>
        </r>
      </text>
    </comment>
    <comment ref="C3355" authorId="1" shapeId="0" xr:uid="{00000000-0006-0000-0100-00009B0C0000}">
      <text>
        <r>
          <rPr>
            <sz val="11"/>
            <color theme="1"/>
            <rFont val="Calibri"/>
            <family val="2"/>
            <scheme val="minor"/>
          </rPr>
          <t>Seleccionar un valor del listado</t>
        </r>
      </text>
    </comment>
    <comment ref="D3355" authorId="1" shapeId="0" xr:uid="{00000000-0006-0000-0100-00009C0C0000}">
      <text>
        <r>
          <rPr>
            <sz val="11"/>
            <color theme="1"/>
            <rFont val="Calibri"/>
            <family val="2"/>
            <scheme val="minor"/>
          </rPr>
          <t>Seleccione el tipo de procedimiento</t>
        </r>
      </text>
    </comment>
    <comment ref="E3355" authorId="1" shapeId="0" xr:uid="{00000000-0006-0000-0100-00009D0C0000}">
      <text>
        <r>
          <rPr>
            <sz val="11"/>
            <color theme="1"/>
            <rFont val="Calibri"/>
            <family val="2"/>
            <scheme val="minor"/>
          </rPr>
          <t>Seleccione un valor de la lista</t>
        </r>
      </text>
    </comment>
    <comment ref="F3355" authorId="1" shapeId="0" xr:uid="{00000000-0006-0000-0100-00009E0C0000}">
      <text>
        <r>
          <rPr>
            <sz val="11"/>
            <color theme="1"/>
            <rFont val="Calibri"/>
            <family val="2"/>
            <scheme val="minor"/>
          </rPr>
          <t>Introduzca el código SNIP</t>
        </r>
      </text>
    </comment>
    <comment ref="C3356" authorId="1" shapeId="0" xr:uid="{00000000-0006-0000-0100-00009F0C0000}">
      <text>
        <r>
          <rPr>
            <sz val="11"/>
            <color theme="1"/>
            <rFont val="Calibri"/>
            <family val="2"/>
            <scheme val="minor"/>
          </rPr>
          <t>Introduzca la fecha de inicio del proceso, en formato dd-mm-aaaa</t>
        </r>
      </text>
    </comment>
    <comment ref="F3356" authorId="1" shapeId="0" xr:uid="{00000000-0006-0000-0100-0000A1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57" authorId="1" shapeId="0" xr:uid="{00000000-0006-0000-0100-0000A20C0000}">
      <text/>
    </comment>
    <comment ref="C3358" authorId="1" shapeId="0" xr:uid="{00000000-0006-0000-0100-0000A00C0000}">
      <text>
        <r>
          <rPr>
            <sz val="11"/>
            <color theme="1"/>
            <rFont val="Calibri"/>
            <family val="2"/>
            <scheme val="minor"/>
          </rPr>
          <t>Introduzca la fecha prevista de adjudicación, en formato dd-mm-aaaa</t>
        </r>
      </text>
    </comment>
    <comment ref="F3358" authorId="1" shapeId="0" xr:uid="{00000000-0006-0000-0100-0000A30C0000}">
      <text/>
    </comment>
    <comment ref="F3359" authorId="1" shapeId="0" xr:uid="{00000000-0006-0000-0100-0000A40C0000}">
      <text/>
    </comment>
    <comment ref="A3361" authorId="1" shapeId="0" xr:uid="{00000000-0006-0000-0100-0000A50C0000}">
      <text>
        <r>
          <rPr>
            <sz val="11"/>
            <color theme="1"/>
            <rFont val="Calibri"/>
            <family val="2"/>
            <scheme val="minor"/>
          </rPr>
          <t>Introduzca un codigo UNSPSC</t>
        </r>
      </text>
    </comment>
    <comment ref="B3361" authorId="1" shapeId="0" xr:uid="{00000000-0006-0000-0100-0000A60C0000}">
      <text>
        <r>
          <rPr>
            <sz val="11"/>
            <color theme="1"/>
            <rFont val="Calibri"/>
            <family val="2"/>
            <scheme val="minor"/>
          </rPr>
          <t>Descripción calculada automáticamente a partir de código del artículo</t>
        </r>
      </text>
    </comment>
    <comment ref="C3361" authorId="1" shapeId="0" xr:uid="{00000000-0006-0000-0100-0000A70C0000}">
      <text>
        <r>
          <rPr>
            <sz val="11"/>
            <color theme="1"/>
            <rFont val="Calibri"/>
            <family val="2"/>
            <scheme val="minor"/>
          </rPr>
          <t>Seleccione un valor de la lista</t>
        </r>
      </text>
    </comment>
    <comment ref="D3361" authorId="1" shapeId="0" xr:uid="{00000000-0006-0000-0100-0000A80C0000}">
      <text>
        <r>
          <rPr>
            <sz val="11"/>
            <color theme="1"/>
            <rFont val="Calibri"/>
            <family val="2"/>
            <scheme val="minor"/>
          </rPr>
          <t>Introduzca un número con dos decimales como máximo. Debe ser igual o mayor a la "Cantidad Real Consumida"</t>
        </r>
      </text>
    </comment>
    <comment ref="E3361" authorId="1" shapeId="0" xr:uid="{00000000-0006-0000-0100-0000A90C0000}">
      <text>
        <r>
          <rPr>
            <sz val="11"/>
            <color theme="1"/>
            <rFont val="Calibri"/>
            <family val="2"/>
            <scheme val="minor"/>
          </rPr>
          <t>Introduzca un número con dos decimales como máximo</t>
        </r>
      </text>
    </comment>
    <comment ref="F3361" authorId="1" shapeId="0" xr:uid="{00000000-0006-0000-0100-0000AA0C0000}">
      <text>
        <r>
          <rPr>
            <sz val="11"/>
            <color theme="1"/>
            <rFont val="Calibri"/>
            <family val="2"/>
            <scheme val="minor"/>
          </rPr>
          <t>Monto calculado automáticamente por el sistema</t>
        </r>
      </text>
    </comment>
    <comment ref="A3366" authorId="1" shapeId="0" xr:uid="{00000000-0006-0000-0100-0000AB0C0000}">
      <text>
        <r>
          <rPr>
            <sz val="11"/>
            <color theme="1"/>
            <rFont val="Calibri"/>
            <family val="2"/>
            <scheme val="minor"/>
          </rPr>
          <t>Introducir un texto con el nombre o referencia de la contratación</t>
        </r>
      </text>
    </comment>
    <comment ref="B3366" authorId="1" shapeId="0" xr:uid="{00000000-0006-0000-0100-0000AC0C0000}">
      <text>
        <r>
          <rPr>
            <sz val="11"/>
            <color theme="1"/>
            <rFont val="Calibri"/>
            <family val="2"/>
            <scheme val="minor"/>
          </rPr>
          <t>Introduzca un texto con la finalidad de la contratación</t>
        </r>
      </text>
    </comment>
    <comment ref="C3366" authorId="1" shapeId="0" xr:uid="{00000000-0006-0000-0100-0000AD0C0000}">
      <text>
        <r>
          <rPr>
            <sz val="11"/>
            <color theme="1"/>
            <rFont val="Calibri"/>
            <family val="2"/>
            <scheme val="minor"/>
          </rPr>
          <t>Seleccionar un valor del listado</t>
        </r>
      </text>
    </comment>
    <comment ref="D3366" authorId="1" shapeId="0" xr:uid="{00000000-0006-0000-0100-0000AE0C0000}">
      <text>
        <r>
          <rPr>
            <sz val="11"/>
            <color theme="1"/>
            <rFont val="Calibri"/>
            <family val="2"/>
            <scheme val="minor"/>
          </rPr>
          <t>Seleccione el tipo de procedimiento</t>
        </r>
      </text>
    </comment>
    <comment ref="E3366" authorId="1" shapeId="0" xr:uid="{00000000-0006-0000-0100-0000AF0C0000}">
      <text>
        <r>
          <rPr>
            <sz val="11"/>
            <color theme="1"/>
            <rFont val="Calibri"/>
            <family val="2"/>
            <scheme val="minor"/>
          </rPr>
          <t>Seleccione un valor de la lista</t>
        </r>
      </text>
    </comment>
    <comment ref="F3366" authorId="1" shapeId="0" xr:uid="{00000000-0006-0000-0100-0000B00C0000}">
      <text>
        <r>
          <rPr>
            <sz val="11"/>
            <color theme="1"/>
            <rFont val="Calibri"/>
            <family val="2"/>
            <scheme val="minor"/>
          </rPr>
          <t>Introduzca el código SNIP</t>
        </r>
      </text>
    </comment>
    <comment ref="C3367" authorId="1" shapeId="0" xr:uid="{00000000-0006-0000-0100-0000B10C0000}">
      <text>
        <r>
          <rPr>
            <sz val="11"/>
            <color theme="1"/>
            <rFont val="Calibri"/>
            <family val="2"/>
            <scheme val="minor"/>
          </rPr>
          <t>Introduzca la fecha de inicio del proceso, en formato dd-mm-aaaa</t>
        </r>
      </text>
    </comment>
    <comment ref="F3367" authorId="1" shapeId="0" xr:uid="{00000000-0006-0000-0100-0000B3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68" authorId="1" shapeId="0" xr:uid="{00000000-0006-0000-0100-0000B40C0000}">
      <text/>
    </comment>
    <comment ref="C3369" authorId="1" shapeId="0" xr:uid="{00000000-0006-0000-0100-0000B20C0000}">
      <text>
        <r>
          <rPr>
            <sz val="11"/>
            <color theme="1"/>
            <rFont val="Calibri"/>
            <family val="2"/>
            <scheme val="minor"/>
          </rPr>
          <t>Introduzca la fecha prevista de adjudicación, en formato dd-mm-aaaa</t>
        </r>
      </text>
    </comment>
    <comment ref="F3369" authorId="1" shapeId="0" xr:uid="{00000000-0006-0000-0100-0000B50C0000}">
      <text/>
    </comment>
    <comment ref="F3370" authorId="1" shapeId="0" xr:uid="{00000000-0006-0000-0100-0000B60C0000}">
      <text/>
    </comment>
    <comment ref="A3372" authorId="1" shapeId="0" xr:uid="{00000000-0006-0000-0100-0000B70C0000}">
      <text>
        <r>
          <rPr>
            <sz val="11"/>
            <color theme="1"/>
            <rFont val="Calibri"/>
            <family val="2"/>
            <scheme val="minor"/>
          </rPr>
          <t>Introduzca un codigo UNSPSC</t>
        </r>
      </text>
    </comment>
    <comment ref="B3372" authorId="1" shapeId="0" xr:uid="{00000000-0006-0000-0100-0000B80C0000}">
      <text>
        <r>
          <rPr>
            <sz val="11"/>
            <color theme="1"/>
            <rFont val="Calibri"/>
            <family val="2"/>
            <scheme val="minor"/>
          </rPr>
          <t>Descripción calculada automáticamente a partir de código del artículo</t>
        </r>
      </text>
    </comment>
    <comment ref="C3372" authorId="1" shapeId="0" xr:uid="{00000000-0006-0000-0100-0000B90C0000}">
      <text>
        <r>
          <rPr>
            <sz val="11"/>
            <color theme="1"/>
            <rFont val="Calibri"/>
            <family val="2"/>
            <scheme val="minor"/>
          </rPr>
          <t>Seleccione un valor de la lista</t>
        </r>
      </text>
    </comment>
    <comment ref="D3372" authorId="1" shapeId="0" xr:uid="{00000000-0006-0000-0100-0000BA0C0000}">
      <text>
        <r>
          <rPr>
            <sz val="11"/>
            <color theme="1"/>
            <rFont val="Calibri"/>
            <family val="2"/>
            <scheme val="minor"/>
          </rPr>
          <t>Introduzca un número con dos decimales como máximo. Debe ser igual o mayor a la "Cantidad Real Consumida"</t>
        </r>
      </text>
    </comment>
    <comment ref="E3372" authorId="1" shapeId="0" xr:uid="{00000000-0006-0000-0100-0000BB0C0000}">
      <text>
        <r>
          <rPr>
            <sz val="11"/>
            <color theme="1"/>
            <rFont val="Calibri"/>
            <family val="2"/>
            <scheme val="minor"/>
          </rPr>
          <t>Introduzca un número con dos decimales como máximo</t>
        </r>
      </text>
    </comment>
    <comment ref="F3372" authorId="1" shapeId="0" xr:uid="{00000000-0006-0000-0100-0000BC0C0000}">
      <text>
        <r>
          <rPr>
            <sz val="11"/>
            <color theme="1"/>
            <rFont val="Calibri"/>
            <family val="2"/>
            <scheme val="minor"/>
          </rPr>
          <t>Monto calculado automáticamente por el sistema</t>
        </r>
      </text>
    </comment>
    <comment ref="A3377" authorId="1" shapeId="0" xr:uid="{00000000-0006-0000-0100-0000BD0C0000}">
      <text>
        <r>
          <rPr>
            <sz val="11"/>
            <color theme="1"/>
            <rFont val="Calibri"/>
            <family val="2"/>
            <scheme val="minor"/>
          </rPr>
          <t>Introducir un texto con el nombre o referencia de la contratación</t>
        </r>
      </text>
    </comment>
    <comment ref="B3377" authorId="1" shapeId="0" xr:uid="{00000000-0006-0000-0100-0000BE0C0000}">
      <text>
        <r>
          <rPr>
            <sz val="11"/>
            <color theme="1"/>
            <rFont val="Calibri"/>
            <family val="2"/>
            <scheme val="minor"/>
          </rPr>
          <t>Introduzca un texto con la finalidad de la contratación</t>
        </r>
      </text>
    </comment>
    <comment ref="C3377" authorId="1" shapeId="0" xr:uid="{00000000-0006-0000-0100-0000BF0C0000}">
      <text>
        <r>
          <rPr>
            <sz val="11"/>
            <color theme="1"/>
            <rFont val="Calibri"/>
            <family val="2"/>
            <scheme val="minor"/>
          </rPr>
          <t>Seleccionar un valor del listado</t>
        </r>
      </text>
    </comment>
    <comment ref="D3377" authorId="1" shapeId="0" xr:uid="{00000000-0006-0000-0100-0000C00C0000}">
      <text>
        <r>
          <rPr>
            <sz val="11"/>
            <color theme="1"/>
            <rFont val="Calibri"/>
            <family val="2"/>
            <scheme val="minor"/>
          </rPr>
          <t>Seleccione el tipo de procedimiento</t>
        </r>
      </text>
    </comment>
    <comment ref="E3377" authorId="1" shapeId="0" xr:uid="{00000000-0006-0000-0100-0000C10C0000}">
      <text>
        <r>
          <rPr>
            <sz val="11"/>
            <color theme="1"/>
            <rFont val="Calibri"/>
            <family val="2"/>
            <scheme val="minor"/>
          </rPr>
          <t>Seleccione un valor de la lista</t>
        </r>
      </text>
    </comment>
    <comment ref="F3377" authorId="1" shapeId="0" xr:uid="{00000000-0006-0000-0100-0000C20C0000}">
      <text>
        <r>
          <rPr>
            <sz val="11"/>
            <color theme="1"/>
            <rFont val="Calibri"/>
            <family val="2"/>
            <scheme val="minor"/>
          </rPr>
          <t>Introduzca el código SNIP</t>
        </r>
      </text>
    </comment>
    <comment ref="C3378" authorId="1" shapeId="0" xr:uid="{00000000-0006-0000-0100-0000C30C0000}">
      <text>
        <r>
          <rPr>
            <sz val="11"/>
            <color theme="1"/>
            <rFont val="Calibri"/>
            <family val="2"/>
            <scheme val="minor"/>
          </rPr>
          <t>Introduzca la fecha de inicio del proceso, en formato dd-mm-aaaa</t>
        </r>
      </text>
    </comment>
    <comment ref="F3378" authorId="1" shapeId="0" xr:uid="{00000000-0006-0000-0100-0000C5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79" authorId="1" shapeId="0" xr:uid="{00000000-0006-0000-0100-0000C60C0000}">
      <text/>
    </comment>
    <comment ref="C3380" authorId="1" shapeId="0" xr:uid="{00000000-0006-0000-0100-0000C40C0000}">
      <text>
        <r>
          <rPr>
            <sz val="11"/>
            <color theme="1"/>
            <rFont val="Calibri"/>
            <family val="2"/>
            <scheme val="minor"/>
          </rPr>
          <t>Introduzca la fecha prevista de adjudicación, en formato dd-mm-aaaa</t>
        </r>
      </text>
    </comment>
    <comment ref="F3380" authorId="1" shapeId="0" xr:uid="{00000000-0006-0000-0100-0000C70C0000}">
      <text/>
    </comment>
    <comment ref="F3381" authorId="1" shapeId="0" xr:uid="{00000000-0006-0000-0100-0000C80C0000}">
      <text/>
    </comment>
    <comment ref="A3383" authorId="1" shapeId="0" xr:uid="{00000000-0006-0000-0100-0000C90C0000}">
      <text>
        <r>
          <rPr>
            <sz val="11"/>
            <color theme="1"/>
            <rFont val="Calibri"/>
            <family val="2"/>
            <scheme val="minor"/>
          </rPr>
          <t>Introduzca un codigo UNSPSC</t>
        </r>
      </text>
    </comment>
    <comment ref="B3383" authorId="1" shapeId="0" xr:uid="{00000000-0006-0000-0100-0000CA0C0000}">
      <text>
        <r>
          <rPr>
            <sz val="11"/>
            <color theme="1"/>
            <rFont val="Calibri"/>
            <family val="2"/>
            <scheme val="minor"/>
          </rPr>
          <t>Descripción calculada automáticamente a partir de código del artículo</t>
        </r>
      </text>
    </comment>
    <comment ref="C3383" authorId="1" shapeId="0" xr:uid="{00000000-0006-0000-0100-0000CB0C0000}">
      <text>
        <r>
          <rPr>
            <sz val="11"/>
            <color theme="1"/>
            <rFont val="Calibri"/>
            <family val="2"/>
            <scheme val="minor"/>
          </rPr>
          <t>Seleccione un valor de la lista</t>
        </r>
      </text>
    </comment>
    <comment ref="D3383" authorId="1" shapeId="0" xr:uid="{00000000-0006-0000-0100-0000CC0C0000}">
      <text>
        <r>
          <rPr>
            <sz val="11"/>
            <color theme="1"/>
            <rFont val="Calibri"/>
            <family val="2"/>
            <scheme val="minor"/>
          </rPr>
          <t>Introduzca un número con dos decimales como máximo. Debe ser igual o mayor a la "Cantidad Real Consumida"</t>
        </r>
      </text>
    </comment>
    <comment ref="E3383" authorId="1" shapeId="0" xr:uid="{00000000-0006-0000-0100-0000CD0C0000}">
      <text>
        <r>
          <rPr>
            <sz val="11"/>
            <color theme="1"/>
            <rFont val="Calibri"/>
            <family val="2"/>
            <scheme val="minor"/>
          </rPr>
          <t>Introduzca un número con dos decimales como máximo</t>
        </r>
      </text>
    </comment>
    <comment ref="F3383" authorId="1" shapeId="0" xr:uid="{00000000-0006-0000-0100-0000CE0C0000}">
      <text>
        <r>
          <rPr>
            <sz val="11"/>
            <color theme="1"/>
            <rFont val="Calibri"/>
            <family val="2"/>
            <scheme val="minor"/>
          </rPr>
          <t>Monto calculado automáticamente por el sistema</t>
        </r>
      </text>
    </comment>
    <comment ref="A3388" authorId="1" shapeId="0" xr:uid="{00000000-0006-0000-0100-0000CF0C0000}">
      <text>
        <r>
          <rPr>
            <sz val="11"/>
            <color theme="1"/>
            <rFont val="Calibri"/>
            <family val="2"/>
            <scheme val="minor"/>
          </rPr>
          <t>Introducir un texto con el nombre o referencia de la contratación</t>
        </r>
      </text>
    </comment>
    <comment ref="B3388" authorId="1" shapeId="0" xr:uid="{00000000-0006-0000-0100-0000D00C0000}">
      <text>
        <r>
          <rPr>
            <sz val="11"/>
            <color theme="1"/>
            <rFont val="Calibri"/>
            <family val="2"/>
            <scheme val="minor"/>
          </rPr>
          <t>Introduzca un texto con la finalidad de la contratación</t>
        </r>
      </text>
    </comment>
    <comment ref="C3388" authorId="1" shapeId="0" xr:uid="{00000000-0006-0000-0100-0000D10C0000}">
      <text>
        <r>
          <rPr>
            <sz val="11"/>
            <color theme="1"/>
            <rFont val="Calibri"/>
            <family val="2"/>
            <scheme val="minor"/>
          </rPr>
          <t>Seleccionar un valor del listado</t>
        </r>
      </text>
    </comment>
    <comment ref="D3388" authorId="1" shapeId="0" xr:uid="{00000000-0006-0000-0100-0000D20C0000}">
      <text>
        <r>
          <rPr>
            <sz val="11"/>
            <color theme="1"/>
            <rFont val="Calibri"/>
            <family val="2"/>
            <scheme val="minor"/>
          </rPr>
          <t>Seleccione el tipo de procedimiento</t>
        </r>
      </text>
    </comment>
    <comment ref="E3388" authorId="1" shapeId="0" xr:uid="{00000000-0006-0000-0100-0000D30C0000}">
      <text>
        <r>
          <rPr>
            <sz val="11"/>
            <color theme="1"/>
            <rFont val="Calibri"/>
            <family val="2"/>
            <scheme val="minor"/>
          </rPr>
          <t>Seleccione un valor de la lista</t>
        </r>
      </text>
    </comment>
    <comment ref="F3388" authorId="1" shapeId="0" xr:uid="{00000000-0006-0000-0100-0000D40C0000}">
      <text>
        <r>
          <rPr>
            <sz val="11"/>
            <color theme="1"/>
            <rFont val="Calibri"/>
            <family val="2"/>
            <scheme val="minor"/>
          </rPr>
          <t>Introduzca el código SNIP</t>
        </r>
      </text>
    </comment>
    <comment ref="C3389" authorId="1" shapeId="0" xr:uid="{00000000-0006-0000-0100-0000D50C0000}">
      <text>
        <r>
          <rPr>
            <sz val="11"/>
            <color theme="1"/>
            <rFont val="Calibri"/>
            <family val="2"/>
            <scheme val="minor"/>
          </rPr>
          <t>Introduzca la fecha de inicio del proceso, en formato dd-mm-aaaa</t>
        </r>
      </text>
    </comment>
    <comment ref="F3389" authorId="1" shapeId="0" xr:uid="{00000000-0006-0000-0100-0000D7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90" authorId="1" shapeId="0" xr:uid="{00000000-0006-0000-0100-0000D80C0000}">
      <text/>
    </comment>
    <comment ref="C3391" authorId="1" shapeId="0" xr:uid="{00000000-0006-0000-0100-0000D60C0000}">
      <text>
        <r>
          <rPr>
            <sz val="11"/>
            <color theme="1"/>
            <rFont val="Calibri"/>
            <family val="2"/>
            <scheme val="minor"/>
          </rPr>
          <t>Introduzca la fecha prevista de adjudicación, en formato dd-mm-aaaa</t>
        </r>
      </text>
    </comment>
    <comment ref="F3391" authorId="1" shapeId="0" xr:uid="{00000000-0006-0000-0100-0000D90C0000}">
      <text/>
    </comment>
    <comment ref="F3392" authorId="1" shapeId="0" xr:uid="{00000000-0006-0000-0100-0000DA0C0000}">
      <text/>
    </comment>
    <comment ref="A3394" authorId="1" shapeId="0" xr:uid="{00000000-0006-0000-0100-0000DB0C0000}">
      <text>
        <r>
          <rPr>
            <sz val="11"/>
            <color theme="1"/>
            <rFont val="Calibri"/>
            <family val="2"/>
            <scheme val="minor"/>
          </rPr>
          <t>Introduzca un codigo UNSPSC</t>
        </r>
      </text>
    </comment>
    <comment ref="B3394" authorId="1" shapeId="0" xr:uid="{00000000-0006-0000-0100-0000DC0C0000}">
      <text>
        <r>
          <rPr>
            <sz val="11"/>
            <color theme="1"/>
            <rFont val="Calibri"/>
            <family val="2"/>
            <scheme val="minor"/>
          </rPr>
          <t>Descripción calculada automáticamente a partir de código del artículo</t>
        </r>
      </text>
    </comment>
    <comment ref="C3394" authorId="1" shapeId="0" xr:uid="{00000000-0006-0000-0100-0000DD0C0000}">
      <text>
        <r>
          <rPr>
            <sz val="11"/>
            <color theme="1"/>
            <rFont val="Calibri"/>
            <family val="2"/>
            <scheme val="minor"/>
          </rPr>
          <t>Seleccione un valor de la lista</t>
        </r>
      </text>
    </comment>
    <comment ref="D3394" authorId="1" shapeId="0" xr:uid="{00000000-0006-0000-0100-0000DE0C0000}">
      <text>
        <r>
          <rPr>
            <sz val="11"/>
            <color theme="1"/>
            <rFont val="Calibri"/>
            <family val="2"/>
            <scheme val="minor"/>
          </rPr>
          <t>Introduzca un número con dos decimales como máximo. Debe ser igual o mayor a la "Cantidad Real Consumida"</t>
        </r>
      </text>
    </comment>
    <comment ref="E3394" authorId="1" shapeId="0" xr:uid="{00000000-0006-0000-0100-0000DF0C0000}">
      <text>
        <r>
          <rPr>
            <sz val="11"/>
            <color theme="1"/>
            <rFont val="Calibri"/>
            <family val="2"/>
            <scheme val="minor"/>
          </rPr>
          <t>Introduzca un número con dos decimales como máximo</t>
        </r>
      </text>
    </comment>
    <comment ref="F3394" authorId="1" shapeId="0" xr:uid="{00000000-0006-0000-0100-0000E00C0000}">
      <text>
        <r>
          <rPr>
            <sz val="11"/>
            <color theme="1"/>
            <rFont val="Calibri"/>
            <family val="2"/>
            <scheme val="minor"/>
          </rPr>
          <t>Monto calculado automáticamente por el sistema</t>
        </r>
      </text>
    </comment>
    <comment ref="A3399" authorId="1" shapeId="0" xr:uid="{00000000-0006-0000-0100-0000E10C0000}">
      <text>
        <r>
          <rPr>
            <sz val="11"/>
            <color theme="1"/>
            <rFont val="Calibri"/>
            <family val="2"/>
            <scheme val="minor"/>
          </rPr>
          <t>Introducir un texto con el nombre o referencia de la contratación</t>
        </r>
      </text>
    </comment>
    <comment ref="B3399" authorId="1" shapeId="0" xr:uid="{00000000-0006-0000-0100-0000E20C0000}">
      <text>
        <r>
          <rPr>
            <sz val="11"/>
            <color theme="1"/>
            <rFont val="Calibri"/>
            <family val="2"/>
            <scheme val="minor"/>
          </rPr>
          <t>Introduzca un texto con la finalidad de la contratación</t>
        </r>
      </text>
    </comment>
    <comment ref="C3399" authorId="1" shapeId="0" xr:uid="{00000000-0006-0000-0100-0000E30C0000}">
      <text>
        <r>
          <rPr>
            <sz val="11"/>
            <color theme="1"/>
            <rFont val="Calibri"/>
            <family val="2"/>
            <scheme val="minor"/>
          </rPr>
          <t>Seleccionar un valor del listado</t>
        </r>
      </text>
    </comment>
    <comment ref="D3399" authorId="1" shapeId="0" xr:uid="{00000000-0006-0000-0100-0000E40C0000}">
      <text>
        <r>
          <rPr>
            <sz val="11"/>
            <color theme="1"/>
            <rFont val="Calibri"/>
            <family val="2"/>
            <scheme val="minor"/>
          </rPr>
          <t>Seleccione el tipo de procedimiento</t>
        </r>
      </text>
    </comment>
    <comment ref="E3399" authorId="1" shapeId="0" xr:uid="{00000000-0006-0000-0100-0000E50C0000}">
      <text>
        <r>
          <rPr>
            <sz val="11"/>
            <color theme="1"/>
            <rFont val="Calibri"/>
            <family val="2"/>
            <scheme val="minor"/>
          </rPr>
          <t>Seleccione un valor de la lista</t>
        </r>
      </text>
    </comment>
    <comment ref="F3399" authorId="1" shapeId="0" xr:uid="{00000000-0006-0000-0100-0000E60C0000}">
      <text>
        <r>
          <rPr>
            <sz val="11"/>
            <color theme="1"/>
            <rFont val="Calibri"/>
            <family val="2"/>
            <scheme val="minor"/>
          </rPr>
          <t>Introduzca el código SNIP</t>
        </r>
      </text>
    </comment>
    <comment ref="C3400" authorId="1" shapeId="0" xr:uid="{00000000-0006-0000-0100-0000E70C0000}">
      <text>
        <r>
          <rPr>
            <sz val="11"/>
            <color theme="1"/>
            <rFont val="Calibri"/>
            <family val="2"/>
            <scheme val="minor"/>
          </rPr>
          <t>Introduzca la fecha de inicio del proceso, en formato dd-mm-aaaa</t>
        </r>
      </text>
    </comment>
    <comment ref="F3400" authorId="1" shapeId="0" xr:uid="{00000000-0006-0000-0100-0000E9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01" authorId="1" shapeId="0" xr:uid="{00000000-0006-0000-0100-0000EA0C0000}">
      <text/>
    </comment>
    <comment ref="C3402" authorId="1" shapeId="0" xr:uid="{00000000-0006-0000-0100-0000E80C0000}">
      <text>
        <r>
          <rPr>
            <sz val="11"/>
            <color theme="1"/>
            <rFont val="Calibri"/>
            <family val="2"/>
            <scheme val="minor"/>
          </rPr>
          <t>Introduzca la fecha prevista de adjudicación, en formato dd-mm-aaaa</t>
        </r>
      </text>
    </comment>
    <comment ref="F3402" authorId="1" shapeId="0" xr:uid="{00000000-0006-0000-0100-0000EB0C0000}">
      <text/>
    </comment>
    <comment ref="F3403" authorId="1" shapeId="0" xr:uid="{00000000-0006-0000-0100-0000EC0C0000}">
      <text/>
    </comment>
    <comment ref="A3405" authorId="1" shapeId="0" xr:uid="{00000000-0006-0000-0100-0000ED0C0000}">
      <text>
        <r>
          <rPr>
            <sz val="11"/>
            <color theme="1"/>
            <rFont val="Calibri"/>
            <family val="2"/>
            <scheme val="minor"/>
          </rPr>
          <t>Introduzca un codigo UNSPSC</t>
        </r>
      </text>
    </comment>
    <comment ref="B3405" authorId="1" shapeId="0" xr:uid="{00000000-0006-0000-0100-0000EE0C0000}">
      <text>
        <r>
          <rPr>
            <sz val="11"/>
            <color theme="1"/>
            <rFont val="Calibri"/>
            <family val="2"/>
            <scheme val="minor"/>
          </rPr>
          <t>Descripción calculada automáticamente a partir de código del artículo</t>
        </r>
      </text>
    </comment>
    <comment ref="C3405" authorId="1" shapeId="0" xr:uid="{00000000-0006-0000-0100-0000EF0C0000}">
      <text>
        <r>
          <rPr>
            <sz val="11"/>
            <color theme="1"/>
            <rFont val="Calibri"/>
            <family val="2"/>
            <scheme val="minor"/>
          </rPr>
          <t>Seleccione un valor de la lista</t>
        </r>
      </text>
    </comment>
    <comment ref="D3405" authorId="1" shapeId="0" xr:uid="{00000000-0006-0000-0100-0000F00C0000}">
      <text>
        <r>
          <rPr>
            <sz val="11"/>
            <color theme="1"/>
            <rFont val="Calibri"/>
            <family val="2"/>
            <scheme val="minor"/>
          </rPr>
          <t>Introduzca un número con dos decimales como máximo. Debe ser igual o mayor a la "Cantidad Real Consumida"</t>
        </r>
      </text>
    </comment>
    <comment ref="E3405" authorId="1" shapeId="0" xr:uid="{00000000-0006-0000-0100-0000F10C0000}">
      <text>
        <r>
          <rPr>
            <sz val="11"/>
            <color theme="1"/>
            <rFont val="Calibri"/>
            <family val="2"/>
            <scheme val="minor"/>
          </rPr>
          <t>Introduzca un número con dos decimales como máximo</t>
        </r>
      </text>
    </comment>
    <comment ref="F3405" authorId="1" shapeId="0" xr:uid="{00000000-0006-0000-0100-0000F20C0000}">
      <text>
        <r>
          <rPr>
            <sz val="11"/>
            <color theme="1"/>
            <rFont val="Calibri"/>
            <family val="2"/>
            <scheme val="minor"/>
          </rPr>
          <t>Monto calculado automáticamente por el sistema</t>
        </r>
      </text>
    </comment>
    <comment ref="A3411" authorId="1" shapeId="0" xr:uid="{00000000-0006-0000-0100-0000F30C0000}">
      <text>
        <r>
          <rPr>
            <sz val="11"/>
            <color theme="1"/>
            <rFont val="Calibri"/>
            <family val="2"/>
            <scheme val="minor"/>
          </rPr>
          <t>Introducir un texto con el nombre o referencia de la contratación</t>
        </r>
      </text>
    </comment>
    <comment ref="B3411" authorId="1" shapeId="0" xr:uid="{00000000-0006-0000-0100-0000F40C0000}">
      <text>
        <r>
          <rPr>
            <sz val="11"/>
            <color theme="1"/>
            <rFont val="Calibri"/>
            <family val="2"/>
            <scheme val="minor"/>
          </rPr>
          <t>Introduzca un texto con la finalidad de la contratación</t>
        </r>
      </text>
    </comment>
    <comment ref="C3411" authorId="1" shapeId="0" xr:uid="{00000000-0006-0000-0100-0000F50C0000}">
      <text>
        <r>
          <rPr>
            <sz val="11"/>
            <color theme="1"/>
            <rFont val="Calibri"/>
            <family val="2"/>
            <scheme val="minor"/>
          </rPr>
          <t>Seleccionar un valor del listado</t>
        </r>
      </text>
    </comment>
    <comment ref="D3411" authorId="1" shapeId="0" xr:uid="{00000000-0006-0000-0100-0000F60C0000}">
      <text>
        <r>
          <rPr>
            <sz val="11"/>
            <color theme="1"/>
            <rFont val="Calibri"/>
            <family val="2"/>
            <scheme val="minor"/>
          </rPr>
          <t>Seleccione el tipo de procedimiento</t>
        </r>
      </text>
    </comment>
    <comment ref="E3411" authorId="1" shapeId="0" xr:uid="{00000000-0006-0000-0100-0000F70C0000}">
      <text>
        <r>
          <rPr>
            <sz val="11"/>
            <color theme="1"/>
            <rFont val="Calibri"/>
            <family val="2"/>
            <scheme val="minor"/>
          </rPr>
          <t>Seleccione un valor de la lista</t>
        </r>
      </text>
    </comment>
    <comment ref="F3411" authorId="1" shapeId="0" xr:uid="{00000000-0006-0000-0100-0000F80C0000}">
      <text>
        <r>
          <rPr>
            <sz val="11"/>
            <color theme="1"/>
            <rFont val="Calibri"/>
            <family val="2"/>
            <scheme val="minor"/>
          </rPr>
          <t>Introduzca el código SNIP</t>
        </r>
      </text>
    </comment>
    <comment ref="C3412" authorId="1" shapeId="0" xr:uid="{00000000-0006-0000-0100-0000F90C0000}">
      <text>
        <r>
          <rPr>
            <sz val="11"/>
            <color theme="1"/>
            <rFont val="Calibri"/>
            <family val="2"/>
            <scheme val="minor"/>
          </rPr>
          <t>Introduzca la fecha de inicio del proceso, en formato dd-mm-aaaa</t>
        </r>
      </text>
    </comment>
    <comment ref="F3412" authorId="1" shapeId="0" xr:uid="{00000000-0006-0000-0100-0000FB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13" authorId="1" shapeId="0" xr:uid="{00000000-0006-0000-0100-0000FC0C0000}">
      <text/>
    </comment>
    <comment ref="C3414" authorId="1" shapeId="0" xr:uid="{00000000-0006-0000-0100-0000FA0C0000}">
      <text>
        <r>
          <rPr>
            <sz val="11"/>
            <color theme="1"/>
            <rFont val="Calibri"/>
            <family val="2"/>
            <scheme val="minor"/>
          </rPr>
          <t>Introduzca la fecha prevista de adjudicación, en formato dd-mm-aaaa</t>
        </r>
      </text>
    </comment>
    <comment ref="F3414" authorId="1" shapeId="0" xr:uid="{00000000-0006-0000-0100-0000FD0C0000}">
      <text/>
    </comment>
    <comment ref="F3415" authorId="1" shapeId="0" xr:uid="{00000000-0006-0000-0100-0000FE0C0000}">
      <text/>
    </comment>
    <comment ref="A3417" authorId="1" shapeId="0" xr:uid="{00000000-0006-0000-0100-0000FF0C0000}">
      <text>
        <r>
          <rPr>
            <sz val="11"/>
            <color theme="1"/>
            <rFont val="Calibri"/>
            <family val="2"/>
            <scheme val="minor"/>
          </rPr>
          <t>Introduzca un codigo UNSPSC</t>
        </r>
      </text>
    </comment>
    <comment ref="B3417" authorId="1" shapeId="0" xr:uid="{00000000-0006-0000-0100-0000000D0000}">
      <text>
        <r>
          <rPr>
            <sz val="11"/>
            <color theme="1"/>
            <rFont val="Calibri"/>
            <family val="2"/>
            <scheme val="minor"/>
          </rPr>
          <t>Descripción calculada automáticamente a partir de código del artículo</t>
        </r>
      </text>
    </comment>
    <comment ref="C3417" authorId="1" shapeId="0" xr:uid="{00000000-0006-0000-0100-0000010D0000}">
      <text>
        <r>
          <rPr>
            <sz val="11"/>
            <color theme="1"/>
            <rFont val="Calibri"/>
            <family val="2"/>
            <scheme val="minor"/>
          </rPr>
          <t>Seleccione un valor de la lista</t>
        </r>
      </text>
    </comment>
    <comment ref="D3417" authorId="1" shapeId="0" xr:uid="{00000000-0006-0000-0100-0000020D0000}">
      <text>
        <r>
          <rPr>
            <sz val="11"/>
            <color theme="1"/>
            <rFont val="Calibri"/>
            <family val="2"/>
            <scheme val="minor"/>
          </rPr>
          <t>Introduzca un número con dos decimales como máximo. Debe ser igual o mayor a la "Cantidad Real Consumida"</t>
        </r>
      </text>
    </comment>
    <comment ref="E3417" authorId="1" shapeId="0" xr:uid="{00000000-0006-0000-0100-0000030D0000}">
      <text>
        <r>
          <rPr>
            <sz val="11"/>
            <color theme="1"/>
            <rFont val="Calibri"/>
            <family val="2"/>
            <scheme val="minor"/>
          </rPr>
          <t>Introduzca un número con dos decimales como máximo</t>
        </r>
      </text>
    </comment>
    <comment ref="F3417" authorId="1" shapeId="0" xr:uid="{00000000-0006-0000-0100-0000040D0000}">
      <text>
        <r>
          <rPr>
            <sz val="11"/>
            <color theme="1"/>
            <rFont val="Calibri"/>
            <family val="2"/>
            <scheme val="minor"/>
          </rPr>
          <t>Monto calculado automáticamente por el sistema</t>
        </r>
      </text>
    </comment>
    <comment ref="A3423" authorId="1" shapeId="0" xr:uid="{00000000-0006-0000-0100-0000050D0000}">
      <text>
        <r>
          <rPr>
            <sz val="11"/>
            <color theme="1"/>
            <rFont val="Calibri"/>
            <family val="2"/>
            <scheme val="minor"/>
          </rPr>
          <t>Introducir un texto con el nombre o referencia de la contratación</t>
        </r>
      </text>
    </comment>
    <comment ref="B3423" authorId="1" shapeId="0" xr:uid="{00000000-0006-0000-0100-0000060D0000}">
      <text>
        <r>
          <rPr>
            <sz val="11"/>
            <color theme="1"/>
            <rFont val="Calibri"/>
            <family val="2"/>
            <scheme val="minor"/>
          </rPr>
          <t>Introduzca un texto con la finalidad de la contratación</t>
        </r>
      </text>
    </comment>
    <comment ref="C3423" authorId="1" shapeId="0" xr:uid="{00000000-0006-0000-0100-0000070D0000}">
      <text>
        <r>
          <rPr>
            <sz val="11"/>
            <color theme="1"/>
            <rFont val="Calibri"/>
            <family val="2"/>
            <scheme val="minor"/>
          </rPr>
          <t>Seleccionar un valor del listado</t>
        </r>
      </text>
    </comment>
    <comment ref="D3423" authorId="1" shapeId="0" xr:uid="{00000000-0006-0000-0100-0000080D0000}">
      <text>
        <r>
          <rPr>
            <sz val="11"/>
            <color theme="1"/>
            <rFont val="Calibri"/>
            <family val="2"/>
            <scheme val="minor"/>
          </rPr>
          <t>Seleccione el tipo de procedimiento</t>
        </r>
      </text>
    </comment>
    <comment ref="E3423" authorId="1" shapeId="0" xr:uid="{00000000-0006-0000-0100-0000090D0000}">
      <text>
        <r>
          <rPr>
            <sz val="11"/>
            <color theme="1"/>
            <rFont val="Calibri"/>
            <family val="2"/>
            <scheme val="minor"/>
          </rPr>
          <t>Seleccione un valor de la lista</t>
        </r>
      </text>
    </comment>
    <comment ref="F3423" authorId="1" shapeId="0" xr:uid="{00000000-0006-0000-0100-00000A0D0000}">
      <text>
        <r>
          <rPr>
            <sz val="11"/>
            <color theme="1"/>
            <rFont val="Calibri"/>
            <family val="2"/>
            <scheme val="minor"/>
          </rPr>
          <t>Introduzca el código SNIP</t>
        </r>
      </text>
    </comment>
    <comment ref="C3424" authorId="1" shapeId="0" xr:uid="{00000000-0006-0000-0100-00000B0D0000}">
      <text>
        <r>
          <rPr>
            <sz val="11"/>
            <color theme="1"/>
            <rFont val="Calibri"/>
            <family val="2"/>
            <scheme val="minor"/>
          </rPr>
          <t>Introduzca la fecha de inicio del proceso, en formato dd-mm-aaaa</t>
        </r>
      </text>
    </comment>
    <comment ref="F3424" authorId="1" shapeId="0" xr:uid="{00000000-0006-0000-0100-00000D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25" authorId="1" shapeId="0" xr:uid="{00000000-0006-0000-0100-00000E0D0000}">
      <text/>
    </comment>
    <comment ref="C3426" authorId="1" shapeId="0" xr:uid="{00000000-0006-0000-0100-00000C0D0000}">
      <text>
        <r>
          <rPr>
            <sz val="11"/>
            <color theme="1"/>
            <rFont val="Calibri"/>
            <family val="2"/>
            <scheme val="minor"/>
          </rPr>
          <t>Introduzca la fecha prevista de adjudicación, en formato dd-mm-aaaa</t>
        </r>
      </text>
    </comment>
    <comment ref="F3426" authorId="1" shapeId="0" xr:uid="{00000000-0006-0000-0100-00000F0D0000}">
      <text/>
    </comment>
    <comment ref="F3427" authorId="1" shapeId="0" xr:uid="{00000000-0006-0000-0100-0000100D0000}">
      <text/>
    </comment>
    <comment ref="A3429" authorId="1" shapeId="0" xr:uid="{00000000-0006-0000-0100-0000110D0000}">
      <text>
        <r>
          <rPr>
            <sz val="11"/>
            <color theme="1"/>
            <rFont val="Calibri"/>
            <family val="2"/>
            <scheme val="minor"/>
          </rPr>
          <t>Introduzca un codigo UNSPSC</t>
        </r>
      </text>
    </comment>
    <comment ref="B3429" authorId="1" shapeId="0" xr:uid="{00000000-0006-0000-0100-0000120D0000}">
      <text>
        <r>
          <rPr>
            <sz val="11"/>
            <color theme="1"/>
            <rFont val="Calibri"/>
            <family val="2"/>
            <scheme val="minor"/>
          </rPr>
          <t>Descripción calculada automáticamente a partir de código del artículo</t>
        </r>
      </text>
    </comment>
    <comment ref="C3429" authorId="1" shapeId="0" xr:uid="{00000000-0006-0000-0100-0000130D0000}">
      <text>
        <r>
          <rPr>
            <sz val="11"/>
            <color theme="1"/>
            <rFont val="Calibri"/>
            <family val="2"/>
            <scheme val="minor"/>
          </rPr>
          <t>Seleccione un valor de la lista</t>
        </r>
      </text>
    </comment>
    <comment ref="D3429" authorId="1" shapeId="0" xr:uid="{00000000-0006-0000-0100-0000140D0000}">
      <text>
        <r>
          <rPr>
            <sz val="11"/>
            <color theme="1"/>
            <rFont val="Calibri"/>
            <family val="2"/>
            <scheme val="minor"/>
          </rPr>
          <t>Introduzca un número con dos decimales como máximo. Debe ser igual o mayor a la "Cantidad Real Consumida"</t>
        </r>
      </text>
    </comment>
    <comment ref="E3429" authorId="1" shapeId="0" xr:uid="{00000000-0006-0000-0100-0000150D0000}">
      <text>
        <r>
          <rPr>
            <sz val="11"/>
            <color theme="1"/>
            <rFont val="Calibri"/>
            <family val="2"/>
            <scheme val="minor"/>
          </rPr>
          <t>Introduzca un número con dos decimales como máximo</t>
        </r>
      </text>
    </comment>
    <comment ref="F3429" authorId="1" shapeId="0" xr:uid="{00000000-0006-0000-0100-0000160D0000}">
      <text>
        <r>
          <rPr>
            <sz val="11"/>
            <color theme="1"/>
            <rFont val="Calibri"/>
            <family val="2"/>
            <scheme val="minor"/>
          </rPr>
          <t>Monto calculado automáticamente por el sistema</t>
        </r>
      </text>
    </comment>
    <comment ref="A3435" authorId="1" shapeId="0" xr:uid="{00000000-0006-0000-0100-0000170D0000}">
      <text>
        <r>
          <rPr>
            <sz val="11"/>
            <color theme="1"/>
            <rFont val="Calibri"/>
            <family val="2"/>
            <scheme val="minor"/>
          </rPr>
          <t>Introducir un texto con el nombre o referencia de la contratación</t>
        </r>
      </text>
    </comment>
    <comment ref="B3435" authorId="1" shapeId="0" xr:uid="{00000000-0006-0000-0100-0000180D0000}">
      <text>
        <r>
          <rPr>
            <sz val="11"/>
            <color theme="1"/>
            <rFont val="Calibri"/>
            <family val="2"/>
            <scheme val="minor"/>
          </rPr>
          <t>Introduzca un texto con la finalidad de la contratación</t>
        </r>
      </text>
    </comment>
    <comment ref="C3435" authorId="1" shapeId="0" xr:uid="{00000000-0006-0000-0100-0000190D0000}">
      <text>
        <r>
          <rPr>
            <sz val="11"/>
            <color theme="1"/>
            <rFont val="Calibri"/>
            <family val="2"/>
            <scheme val="minor"/>
          </rPr>
          <t>Seleccionar un valor del listado</t>
        </r>
      </text>
    </comment>
    <comment ref="D3435" authorId="1" shapeId="0" xr:uid="{00000000-0006-0000-0100-00001A0D0000}">
      <text>
        <r>
          <rPr>
            <sz val="11"/>
            <color theme="1"/>
            <rFont val="Calibri"/>
            <family val="2"/>
            <scheme val="minor"/>
          </rPr>
          <t>Seleccione el tipo de procedimiento</t>
        </r>
      </text>
    </comment>
    <comment ref="E3435" authorId="1" shapeId="0" xr:uid="{00000000-0006-0000-0100-00001B0D0000}">
      <text>
        <r>
          <rPr>
            <sz val="11"/>
            <color theme="1"/>
            <rFont val="Calibri"/>
            <family val="2"/>
            <scheme val="minor"/>
          </rPr>
          <t>Seleccione un valor de la lista</t>
        </r>
      </text>
    </comment>
    <comment ref="F3435" authorId="1" shapeId="0" xr:uid="{00000000-0006-0000-0100-00001C0D0000}">
      <text>
        <r>
          <rPr>
            <sz val="11"/>
            <color theme="1"/>
            <rFont val="Calibri"/>
            <family val="2"/>
            <scheme val="minor"/>
          </rPr>
          <t>Introduzca el código SNIP</t>
        </r>
      </text>
    </comment>
    <comment ref="C3436" authorId="1" shapeId="0" xr:uid="{00000000-0006-0000-0100-00001D0D0000}">
      <text>
        <r>
          <rPr>
            <sz val="11"/>
            <color theme="1"/>
            <rFont val="Calibri"/>
            <family val="2"/>
            <scheme val="minor"/>
          </rPr>
          <t>Introduzca la fecha de inicio del proceso, en formato dd-mm-aaaa</t>
        </r>
      </text>
    </comment>
    <comment ref="F3436" authorId="1" shapeId="0" xr:uid="{00000000-0006-0000-0100-00001F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37" authorId="1" shapeId="0" xr:uid="{00000000-0006-0000-0100-0000200D0000}">
      <text/>
    </comment>
    <comment ref="C3438" authorId="1" shapeId="0" xr:uid="{00000000-0006-0000-0100-00001E0D0000}">
      <text>
        <r>
          <rPr>
            <sz val="11"/>
            <color theme="1"/>
            <rFont val="Calibri"/>
            <family val="2"/>
            <scheme val="minor"/>
          </rPr>
          <t>Introduzca la fecha prevista de adjudicación, en formato dd-mm-aaaa</t>
        </r>
      </text>
    </comment>
    <comment ref="F3438" authorId="1" shapeId="0" xr:uid="{00000000-0006-0000-0100-0000210D0000}">
      <text/>
    </comment>
    <comment ref="F3439" authorId="1" shapeId="0" xr:uid="{00000000-0006-0000-0100-0000220D0000}">
      <text/>
    </comment>
    <comment ref="A3441" authorId="1" shapeId="0" xr:uid="{00000000-0006-0000-0100-0000230D0000}">
      <text>
        <r>
          <rPr>
            <sz val="11"/>
            <color theme="1"/>
            <rFont val="Calibri"/>
            <family val="2"/>
            <scheme val="minor"/>
          </rPr>
          <t>Introduzca un codigo UNSPSC</t>
        </r>
      </text>
    </comment>
    <comment ref="B3441" authorId="1" shapeId="0" xr:uid="{00000000-0006-0000-0100-0000240D0000}">
      <text>
        <r>
          <rPr>
            <sz val="11"/>
            <color theme="1"/>
            <rFont val="Calibri"/>
            <family val="2"/>
            <scheme val="minor"/>
          </rPr>
          <t>Descripción calculada automáticamente a partir de código del artículo</t>
        </r>
      </text>
    </comment>
    <comment ref="C3441" authorId="1" shapeId="0" xr:uid="{00000000-0006-0000-0100-0000250D0000}">
      <text>
        <r>
          <rPr>
            <sz val="11"/>
            <color theme="1"/>
            <rFont val="Calibri"/>
            <family val="2"/>
            <scheme val="minor"/>
          </rPr>
          <t>Seleccione un valor de la lista</t>
        </r>
      </text>
    </comment>
    <comment ref="D3441" authorId="1" shapeId="0" xr:uid="{00000000-0006-0000-0100-0000260D0000}">
      <text>
        <r>
          <rPr>
            <sz val="11"/>
            <color theme="1"/>
            <rFont val="Calibri"/>
            <family val="2"/>
            <scheme val="minor"/>
          </rPr>
          <t>Introduzca un número con dos decimales como máximo. Debe ser igual o mayor a la "Cantidad Real Consumida"</t>
        </r>
      </text>
    </comment>
    <comment ref="E3441" authorId="1" shapeId="0" xr:uid="{00000000-0006-0000-0100-0000270D0000}">
      <text>
        <r>
          <rPr>
            <sz val="11"/>
            <color theme="1"/>
            <rFont val="Calibri"/>
            <family val="2"/>
            <scheme val="minor"/>
          </rPr>
          <t>Introduzca un número con dos decimales como máximo</t>
        </r>
      </text>
    </comment>
    <comment ref="F3441" authorId="1" shapeId="0" xr:uid="{00000000-0006-0000-0100-0000280D0000}">
      <text>
        <r>
          <rPr>
            <sz val="11"/>
            <color theme="1"/>
            <rFont val="Calibri"/>
            <family val="2"/>
            <scheme val="minor"/>
          </rPr>
          <t>Monto calculado automáticamente por el sistema</t>
        </r>
      </text>
    </comment>
    <comment ref="A3446" authorId="1" shapeId="0" xr:uid="{00000000-0006-0000-0100-0000290D0000}">
      <text>
        <r>
          <rPr>
            <sz val="11"/>
            <color theme="1"/>
            <rFont val="Calibri"/>
            <family val="2"/>
            <scheme val="minor"/>
          </rPr>
          <t>Introducir un texto con el nombre o referencia de la contratación</t>
        </r>
      </text>
    </comment>
    <comment ref="B3446" authorId="1" shapeId="0" xr:uid="{00000000-0006-0000-0100-00002A0D0000}">
      <text>
        <r>
          <rPr>
            <sz val="11"/>
            <color theme="1"/>
            <rFont val="Calibri"/>
            <family val="2"/>
            <scheme val="minor"/>
          </rPr>
          <t>Introduzca un texto con la finalidad de la contratación</t>
        </r>
      </text>
    </comment>
    <comment ref="C3446" authorId="1" shapeId="0" xr:uid="{00000000-0006-0000-0100-00002B0D0000}">
      <text>
        <r>
          <rPr>
            <sz val="11"/>
            <color theme="1"/>
            <rFont val="Calibri"/>
            <family val="2"/>
            <scheme val="minor"/>
          </rPr>
          <t>Seleccionar un valor del listado</t>
        </r>
      </text>
    </comment>
    <comment ref="D3446" authorId="1" shapeId="0" xr:uid="{00000000-0006-0000-0100-00002C0D0000}">
      <text>
        <r>
          <rPr>
            <sz val="11"/>
            <color theme="1"/>
            <rFont val="Calibri"/>
            <family val="2"/>
            <scheme val="minor"/>
          </rPr>
          <t>Seleccione el tipo de procedimiento</t>
        </r>
      </text>
    </comment>
    <comment ref="E3446" authorId="1" shapeId="0" xr:uid="{00000000-0006-0000-0100-00002D0D0000}">
      <text>
        <r>
          <rPr>
            <sz val="11"/>
            <color theme="1"/>
            <rFont val="Calibri"/>
            <family val="2"/>
            <scheme val="minor"/>
          </rPr>
          <t>Seleccione un valor de la lista</t>
        </r>
      </text>
    </comment>
    <comment ref="F3446" authorId="1" shapeId="0" xr:uid="{00000000-0006-0000-0100-00002E0D0000}">
      <text>
        <r>
          <rPr>
            <sz val="11"/>
            <color theme="1"/>
            <rFont val="Calibri"/>
            <family val="2"/>
            <scheme val="minor"/>
          </rPr>
          <t>Introduzca el código SNIP</t>
        </r>
      </text>
    </comment>
    <comment ref="C3447" authorId="1" shapeId="0" xr:uid="{00000000-0006-0000-0100-00002F0D0000}">
      <text>
        <r>
          <rPr>
            <sz val="11"/>
            <color theme="1"/>
            <rFont val="Calibri"/>
            <family val="2"/>
            <scheme val="minor"/>
          </rPr>
          <t>Introduzca la fecha de inicio del proceso, en formato dd-mm-aaaa</t>
        </r>
      </text>
    </comment>
    <comment ref="F3447" authorId="1" shapeId="0" xr:uid="{00000000-0006-0000-0100-000031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48" authorId="1" shapeId="0" xr:uid="{00000000-0006-0000-0100-0000320D0000}">
      <text/>
    </comment>
    <comment ref="C3449" authorId="1" shapeId="0" xr:uid="{00000000-0006-0000-0100-0000300D0000}">
      <text>
        <r>
          <rPr>
            <sz val="11"/>
            <color theme="1"/>
            <rFont val="Calibri"/>
            <family val="2"/>
            <scheme val="minor"/>
          </rPr>
          <t>Introduzca la fecha prevista de adjudicación, en formato dd-mm-aaaa</t>
        </r>
      </text>
    </comment>
    <comment ref="F3449" authorId="1" shapeId="0" xr:uid="{00000000-0006-0000-0100-0000330D0000}">
      <text/>
    </comment>
    <comment ref="F3450" authorId="1" shapeId="0" xr:uid="{00000000-0006-0000-0100-0000340D0000}">
      <text/>
    </comment>
    <comment ref="A3452" authorId="1" shapeId="0" xr:uid="{00000000-0006-0000-0100-0000350D0000}">
      <text>
        <r>
          <rPr>
            <sz val="11"/>
            <color theme="1"/>
            <rFont val="Calibri"/>
            <family val="2"/>
            <scheme val="minor"/>
          </rPr>
          <t>Introduzca un codigo UNSPSC</t>
        </r>
      </text>
    </comment>
    <comment ref="B3452" authorId="1" shapeId="0" xr:uid="{00000000-0006-0000-0100-0000360D0000}">
      <text>
        <r>
          <rPr>
            <sz val="11"/>
            <color theme="1"/>
            <rFont val="Calibri"/>
            <family val="2"/>
            <scheme val="minor"/>
          </rPr>
          <t>Descripción calculada automáticamente a partir de código del artículo</t>
        </r>
      </text>
    </comment>
    <comment ref="C3452" authorId="1" shapeId="0" xr:uid="{00000000-0006-0000-0100-0000370D0000}">
      <text>
        <r>
          <rPr>
            <sz val="11"/>
            <color theme="1"/>
            <rFont val="Calibri"/>
            <family val="2"/>
            <scheme val="minor"/>
          </rPr>
          <t>Seleccione un valor de la lista</t>
        </r>
      </text>
    </comment>
    <comment ref="D3452" authorId="1" shapeId="0" xr:uid="{00000000-0006-0000-0100-0000380D0000}">
      <text>
        <r>
          <rPr>
            <sz val="11"/>
            <color theme="1"/>
            <rFont val="Calibri"/>
            <family val="2"/>
            <scheme val="minor"/>
          </rPr>
          <t>Introduzca un número con dos decimales como máximo. Debe ser igual o mayor a la "Cantidad Real Consumida"</t>
        </r>
      </text>
    </comment>
    <comment ref="E3452" authorId="1" shapeId="0" xr:uid="{00000000-0006-0000-0100-0000390D0000}">
      <text>
        <r>
          <rPr>
            <sz val="11"/>
            <color theme="1"/>
            <rFont val="Calibri"/>
            <family val="2"/>
            <scheme val="minor"/>
          </rPr>
          <t>Introduzca un número con dos decimales como máximo</t>
        </r>
      </text>
    </comment>
    <comment ref="F3452" authorId="1" shapeId="0" xr:uid="{00000000-0006-0000-0100-00003A0D0000}">
      <text>
        <r>
          <rPr>
            <sz val="11"/>
            <color theme="1"/>
            <rFont val="Calibri"/>
            <family val="2"/>
            <scheme val="minor"/>
          </rPr>
          <t>Monto calculado automáticamente por el sistema</t>
        </r>
      </text>
    </comment>
    <comment ref="A3458" authorId="1" shapeId="0" xr:uid="{00000000-0006-0000-0100-00003B0D0000}">
      <text>
        <r>
          <rPr>
            <sz val="11"/>
            <color theme="1"/>
            <rFont val="Calibri"/>
            <family val="2"/>
            <scheme val="minor"/>
          </rPr>
          <t>Introducir un texto con el nombre o referencia de la contratación</t>
        </r>
      </text>
    </comment>
    <comment ref="B3458" authorId="1" shapeId="0" xr:uid="{00000000-0006-0000-0100-00003C0D0000}">
      <text>
        <r>
          <rPr>
            <sz val="11"/>
            <color theme="1"/>
            <rFont val="Calibri"/>
            <family val="2"/>
            <scheme val="minor"/>
          </rPr>
          <t>Introduzca un texto con la finalidad de la contratación</t>
        </r>
      </text>
    </comment>
    <comment ref="C3458" authorId="1" shapeId="0" xr:uid="{00000000-0006-0000-0100-00003D0D0000}">
      <text>
        <r>
          <rPr>
            <sz val="11"/>
            <color theme="1"/>
            <rFont val="Calibri"/>
            <family val="2"/>
            <scheme val="minor"/>
          </rPr>
          <t>Seleccionar un valor del listado</t>
        </r>
      </text>
    </comment>
    <comment ref="D3458" authorId="1" shapeId="0" xr:uid="{00000000-0006-0000-0100-00003E0D0000}">
      <text>
        <r>
          <rPr>
            <sz val="11"/>
            <color theme="1"/>
            <rFont val="Calibri"/>
            <family val="2"/>
            <scheme val="minor"/>
          </rPr>
          <t>Seleccione el tipo de procedimiento</t>
        </r>
      </text>
    </comment>
    <comment ref="E3458" authorId="1" shapeId="0" xr:uid="{00000000-0006-0000-0100-00003F0D0000}">
      <text>
        <r>
          <rPr>
            <sz val="11"/>
            <color theme="1"/>
            <rFont val="Calibri"/>
            <family val="2"/>
            <scheme val="minor"/>
          </rPr>
          <t>Seleccione un valor de la lista</t>
        </r>
      </text>
    </comment>
    <comment ref="F3458" authorId="1" shapeId="0" xr:uid="{00000000-0006-0000-0100-0000400D0000}">
      <text>
        <r>
          <rPr>
            <sz val="11"/>
            <color theme="1"/>
            <rFont val="Calibri"/>
            <family val="2"/>
            <scheme val="minor"/>
          </rPr>
          <t>Introduzca el código SNIP</t>
        </r>
      </text>
    </comment>
    <comment ref="C3459" authorId="1" shapeId="0" xr:uid="{00000000-0006-0000-0100-0000410D0000}">
      <text>
        <r>
          <rPr>
            <sz val="11"/>
            <color theme="1"/>
            <rFont val="Calibri"/>
            <family val="2"/>
            <scheme val="minor"/>
          </rPr>
          <t>Introduzca la fecha de inicio del proceso, en formato dd-mm-aaaa</t>
        </r>
      </text>
    </comment>
    <comment ref="F3459" authorId="1" shapeId="0" xr:uid="{00000000-0006-0000-0100-000043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60" authorId="1" shapeId="0" xr:uid="{00000000-0006-0000-0100-0000440D0000}">
      <text/>
    </comment>
    <comment ref="C3461" authorId="1" shapeId="0" xr:uid="{00000000-0006-0000-0100-0000420D0000}">
      <text>
        <r>
          <rPr>
            <sz val="11"/>
            <color theme="1"/>
            <rFont val="Calibri"/>
            <family val="2"/>
            <scheme val="minor"/>
          </rPr>
          <t>Introduzca la fecha prevista de adjudicación, en formato dd-mm-aaaa</t>
        </r>
      </text>
    </comment>
    <comment ref="F3461" authorId="1" shapeId="0" xr:uid="{00000000-0006-0000-0100-0000450D0000}">
      <text/>
    </comment>
    <comment ref="F3462" authorId="1" shapeId="0" xr:uid="{00000000-0006-0000-0100-0000460D0000}">
      <text/>
    </comment>
    <comment ref="A3464" authorId="1" shapeId="0" xr:uid="{00000000-0006-0000-0100-0000470D0000}">
      <text>
        <r>
          <rPr>
            <sz val="11"/>
            <color theme="1"/>
            <rFont val="Calibri"/>
            <family val="2"/>
            <scheme val="minor"/>
          </rPr>
          <t>Introduzca un codigo UNSPSC</t>
        </r>
      </text>
    </comment>
    <comment ref="B3464" authorId="1" shapeId="0" xr:uid="{00000000-0006-0000-0100-0000480D0000}">
      <text>
        <r>
          <rPr>
            <sz val="11"/>
            <color theme="1"/>
            <rFont val="Calibri"/>
            <family val="2"/>
            <scheme val="minor"/>
          </rPr>
          <t>Descripción calculada automáticamente a partir de código del artículo</t>
        </r>
      </text>
    </comment>
    <comment ref="C3464" authorId="1" shapeId="0" xr:uid="{00000000-0006-0000-0100-0000490D0000}">
      <text>
        <r>
          <rPr>
            <sz val="11"/>
            <color theme="1"/>
            <rFont val="Calibri"/>
            <family val="2"/>
            <scheme val="minor"/>
          </rPr>
          <t>Seleccione un valor de la lista</t>
        </r>
      </text>
    </comment>
    <comment ref="D3464" authorId="1" shapeId="0" xr:uid="{00000000-0006-0000-0100-00004A0D0000}">
      <text>
        <r>
          <rPr>
            <sz val="11"/>
            <color theme="1"/>
            <rFont val="Calibri"/>
            <family val="2"/>
            <scheme val="minor"/>
          </rPr>
          <t>Introduzca un número con dos decimales como máximo. Debe ser igual o mayor a la "Cantidad Real Consumida"</t>
        </r>
      </text>
    </comment>
    <comment ref="E3464" authorId="1" shapeId="0" xr:uid="{00000000-0006-0000-0100-00004B0D0000}">
      <text>
        <r>
          <rPr>
            <sz val="11"/>
            <color theme="1"/>
            <rFont val="Calibri"/>
            <family val="2"/>
            <scheme val="minor"/>
          </rPr>
          <t>Introduzca un número con dos decimales como máximo</t>
        </r>
      </text>
    </comment>
    <comment ref="F3464" authorId="1" shapeId="0" xr:uid="{00000000-0006-0000-0100-00004C0D0000}">
      <text>
        <r>
          <rPr>
            <sz val="11"/>
            <color theme="1"/>
            <rFont val="Calibri"/>
            <family val="2"/>
            <scheme val="minor"/>
          </rPr>
          <t>Monto calculado automáticamente por el sistema</t>
        </r>
      </text>
    </comment>
    <comment ref="A3470" authorId="1" shapeId="0" xr:uid="{00000000-0006-0000-0100-00004D0D0000}">
      <text>
        <r>
          <rPr>
            <sz val="11"/>
            <color theme="1"/>
            <rFont val="Calibri"/>
            <family val="2"/>
            <scheme val="minor"/>
          </rPr>
          <t>Introducir un texto con el nombre o referencia de la contratación</t>
        </r>
      </text>
    </comment>
    <comment ref="B3470" authorId="1" shapeId="0" xr:uid="{00000000-0006-0000-0100-00004E0D0000}">
      <text>
        <r>
          <rPr>
            <sz val="11"/>
            <color theme="1"/>
            <rFont val="Calibri"/>
            <family val="2"/>
            <scheme val="minor"/>
          </rPr>
          <t>Introduzca un texto con la finalidad de la contratación</t>
        </r>
      </text>
    </comment>
    <comment ref="C3470" authorId="1" shapeId="0" xr:uid="{00000000-0006-0000-0100-00004F0D0000}">
      <text>
        <r>
          <rPr>
            <sz val="11"/>
            <color theme="1"/>
            <rFont val="Calibri"/>
            <family val="2"/>
            <scheme val="minor"/>
          </rPr>
          <t>Seleccionar un valor del listado</t>
        </r>
      </text>
    </comment>
    <comment ref="D3470" authorId="1" shapeId="0" xr:uid="{00000000-0006-0000-0100-0000500D0000}">
      <text>
        <r>
          <rPr>
            <sz val="11"/>
            <color theme="1"/>
            <rFont val="Calibri"/>
            <family val="2"/>
            <scheme val="minor"/>
          </rPr>
          <t>Seleccione el tipo de procedimiento</t>
        </r>
      </text>
    </comment>
    <comment ref="E3470" authorId="1" shapeId="0" xr:uid="{00000000-0006-0000-0100-0000510D0000}">
      <text>
        <r>
          <rPr>
            <sz val="11"/>
            <color theme="1"/>
            <rFont val="Calibri"/>
            <family val="2"/>
            <scheme val="minor"/>
          </rPr>
          <t>Seleccione un valor de la lista</t>
        </r>
      </text>
    </comment>
    <comment ref="F3470" authorId="1" shapeId="0" xr:uid="{00000000-0006-0000-0100-0000520D0000}">
      <text>
        <r>
          <rPr>
            <sz val="11"/>
            <color theme="1"/>
            <rFont val="Calibri"/>
            <family val="2"/>
            <scheme val="minor"/>
          </rPr>
          <t>Introduzca el código SNIP</t>
        </r>
      </text>
    </comment>
    <comment ref="C3471" authorId="1" shapeId="0" xr:uid="{00000000-0006-0000-0100-0000530D0000}">
      <text>
        <r>
          <rPr>
            <sz val="11"/>
            <color theme="1"/>
            <rFont val="Calibri"/>
            <family val="2"/>
            <scheme val="minor"/>
          </rPr>
          <t>Introduzca la fecha de inicio del proceso, en formato dd-mm-aaaa</t>
        </r>
      </text>
    </comment>
    <comment ref="F3471" authorId="1" shapeId="0" xr:uid="{00000000-0006-0000-0100-000055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72" authorId="1" shapeId="0" xr:uid="{00000000-0006-0000-0100-0000560D0000}">
      <text/>
    </comment>
    <comment ref="C3473" authorId="1" shapeId="0" xr:uid="{00000000-0006-0000-0100-0000540D0000}">
      <text>
        <r>
          <rPr>
            <sz val="11"/>
            <color theme="1"/>
            <rFont val="Calibri"/>
            <family val="2"/>
            <scheme val="minor"/>
          </rPr>
          <t>Introduzca la fecha prevista de adjudicación, en formato dd-mm-aaaa</t>
        </r>
      </text>
    </comment>
    <comment ref="F3473" authorId="1" shapeId="0" xr:uid="{00000000-0006-0000-0100-0000570D0000}">
      <text/>
    </comment>
    <comment ref="F3474" authorId="1" shapeId="0" xr:uid="{00000000-0006-0000-0100-0000580D0000}">
      <text/>
    </comment>
    <comment ref="A3476" authorId="1" shapeId="0" xr:uid="{00000000-0006-0000-0100-0000590D0000}">
      <text>
        <r>
          <rPr>
            <sz val="11"/>
            <color theme="1"/>
            <rFont val="Calibri"/>
            <family val="2"/>
            <scheme val="minor"/>
          </rPr>
          <t>Introduzca un codigo UNSPSC</t>
        </r>
      </text>
    </comment>
    <comment ref="B3476" authorId="1" shapeId="0" xr:uid="{00000000-0006-0000-0100-00005A0D0000}">
      <text>
        <r>
          <rPr>
            <sz val="11"/>
            <color theme="1"/>
            <rFont val="Calibri"/>
            <family val="2"/>
            <scheme val="minor"/>
          </rPr>
          <t>Descripción calculada automáticamente a partir de código del artículo</t>
        </r>
      </text>
    </comment>
    <comment ref="C3476" authorId="1" shapeId="0" xr:uid="{00000000-0006-0000-0100-00005B0D0000}">
      <text>
        <r>
          <rPr>
            <sz val="11"/>
            <color theme="1"/>
            <rFont val="Calibri"/>
            <family val="2"/>
            <scheme val="minor"/>
          </rPr>
          <t>Seleccione un valor de la lista</t>
        </r>
      </text>
    </comment>
    <comment ref="D3476" authorId="1" shapeId="0" xr:uid="{00000000-0006-0000-0100-00005C0D0000}">
      <text>
        <r>
          <rPr>
            <sz val="11"/>
            <color theme="1"/>
            <rFont val="Calibri"/>
            <family val="2"/>
            <scheme val="minor"/>
          </rPr>
          <t>Introduzca un número con dos decimales como máximo. Debe ser igual o mayor a la "Cantidad Real Consumida"</t>
        </r>
      </text>
    </comment>
    <comment ref="E3476" authorId="1" shapeId="0" xr:uid="{00000000-0006-0000-0100-00005D0D0000}">
      <text>
        <r>
          <rPr>
            <sz val="11"/>
            <color theme="1"/>
            <rFont val="Calibri"/>
            <family val="2"/>
            <scheme val="minor"/>
          </rPr>
          <t>Introduzca un número con dos decimales como máximo</t>
        </r>
      </text>
    </comment>
    <comment ref="F3476" authorId="1" shapeId="0" xr:uid="{00000000-0006-0000-0100-00005E0D0000}">
      <text>
        <r>
          <rPr>
            <sz val="11"/>
            <color theme="1"/>
            <rFont val="Calibri"/>
            <family val="2"/>
            <scheme val="minor"/>
          </rPr>
          <t>Monto calculado automáticamente por el sistema</t>
        </r>
      </text>
    </comment>
    <comment ref="A3481" authorId="1" shapeId="0" xr:uid="{00000000-0006-0000-0100-00005F0D0000}">
      <text>
        <r>
          <rPr>
            <sz val="11"/>
            <color theme="1"/>
            <rFont val="Calibri"/>
            <family val="2"/>
            <scheme val="minor"/>
          </rPr>
          <t>Introducir un texto con el nombre o referencia de la contratación</t>
        </r>
      </text>
    </comment>
    <comment ref="B3481" authorId="1" shapeId="0" xr:uid="{00000000-0006-0000-0100-0000600D0000}">
      <text>
        <r>
          <rPr>
            <sz val="11"/>
            <color theme="1"/>
            <rFont val="Calibri"/>
            <family val="2"/>
            <scheme val="minor"/>
          </rPr>
          <t>Introduzca un texto con la finalidad de la contratación</t>
        </r>
      </text>
    </comment>
    <comment ref="C3481" authorId="1" shapeId="0" xr:uid="{00000000-0006-0000-0100-0000610D0000}">
      <text>
        <r>
          <rPr>
            <sz val="11"/>
            <color theme="1"/>
            <rFont val="Calibri"/>
            <family val="2"/>
            <scheme val="minor"/>
          </rPr>
          <t>Seleccionar un valor del listado</t>
        </r>
      </text>
    </comment>
    <comment ref="D3481" authorId="1" shapeId="0" xr:uid="{00000000-0006-0000-0100-0000620D0000}">
      <text>
        <r>
          <rPr>
            <sz val="11"/>
            <color theme="1"/>
            <rFont val="Calibri"/>
            <family val="2"/>
            <scheme val="minor"/>
          </rPr>
          <t>Seleccione el tipo de procedimiento</t>
        </r>
      </text>
    </comment>
    <comment ref="E3481" authorId="1" shapeId="0" xr:uid="{00000000-0006-0000-0100-0000630D0000}">
      <text>
        <r>
          <rPr>
            <sz val="11"/>
            <color theme="1"/>
            <rFont val="Calibri"/>
            <family val="2"/>
            <scheme val="minor"/>
          </rPr>
          <t>Seleccione un valor de la lista</t>
        </r>
      </text>
    </comment>
    <comment ref="F3481" authorId="1" shapeId="0" xr:uid="{00000000-0006-0000-0100-0000640D0000}">
      <text>
        <r>
          <rPr>
            <sz val="11"/>
            <color theme="1"/>
            <rFont val="Calibri"/>
            <family val="2"/>
            <scheme val="minor"/>
          </rPr>
          <t>Introduzca el código SNIP</t>
        </r>
      </text>
    </comment>
    <comment ref="C3482" authorId="1" shapeId="0" xr:uid="{00000000-0006-0000-0100-0000650D0000}">
      <text>
        <r>
          <rPr>
            <sz val="11"/>
            <color theme="1"/>
            <rFont val="Calibri"/>
            <family val="2"/>
            <scheme val="minor"/>
          </rPr>
          <t>Introduzca la fecha de inicio del proceso, en formato dd-mm-aaaa</t>
        </r>
      </text>
    </comment>
    <comment ref="F3482" authorId="1" shapeId="0" xr:uid="{00000000-0006-0000-0100-000067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83" authorId="1" shapeId="0" xr:uid="{00000000-0006-0000-0100-0000680D0000}">
      <text/>
    </comment>
    <comment ref="C3484" authorId="1" shapeId="0" xr:uid="{00000000-0006-0000-0100-0000660D0000}">
      <text>
        <r>
          <rPr>
            <sz val="11"/>
            <color theme="1"/>
            <rFont val="Calibri"/>
            <family val="2"/>
            <scheme val="minor"/>
          </rPr>
          <t>Introduzca la fecha prevista de adjudicación, en formato dd-mm-aaaa</t>
        </r>
      </text>
    </comment>
    <comment ref="F3484" authorId="1" shapeId="0" xr:uid="{00000000-0006-0000-0100-0000690D0000}">
      <text/>
    </comment>
    <comment ref="F3485" authorId="1" shapeId="0" xr:uid="{00000000-0006-0000-0100-00006A0D0000}">
      <text/>
    </comment>
    <comment ref="A3487" authorId="1" shapeId="0" xr:uid="{00000000-0006-0000-0100-00006B0D0000}">
      <text>
        <r>
          <rPr>
            <sz val="11"/>
            <color theme="1"/>
            <rFont val="Calibri"/>
            <family val="2"/>
            <scheme val="minor"/>
          </rPr>
          <t>Introduzca un codigo UNSPSC</t>
        </r>
      </text>
    </comment>
    <comment ref="B3487" authorId="1" shapeId="0" xr:uid="{00000000-0006-0000-0100-00006C0D0000}">
      <text>
        <r>
          <rPr>
            <sz val="11"/>
            <color theme="1"/>
            <rFont val="Calibri"/>
            <family val="2"/>
            <scheme val="minor"/>
          </rPr>
          <t>Descripción calculada automáticamente a partir de código del artículo</t>
        </r>
      </text>
    </comment>
    <comment ref="C3487" authorId="1" shapeId="0" xr:uid="{00000000-0006-0000-0100-00006D0D0000}">
      <text>
        <r>
          <rPr>
            <sz val="11"/>
            <color theme="1"/>
            <rFont val="Calibri"/>
            <family val="2"/>
            <scheme val="minor"/>
          </rPr>
          <t>Seleccione un valor de la lista</t>
        </r>
      </text>
    </comment>
    <comment ref="D3487" authorId="1" shapeId="0" xr:uid="{00000000-0006-0000-0100-00006E0D0000}">
      <text>
        <r>
          <rPr>
            <sz val="11"/>
            <color theme="1"/>
            <rFont val="Calibri"/>
            <family val="2"/>
            <scheme val="minor"/>
          </rPr>
          <t>Introduzca un número con dos decimales como máximo. Debe ser igual o mayor a la "Cantidad Real Consumida"</t>
        </r>
      </text>
    </comment>
    <comment ref="E3487" authorId="1" shapeId="0" xr:uid="{00000000-0006-0000-0100-00006F0D0000}">
      <text>
        <r>
          <rPr>
            <sz val="11"/>
            <color theme="1"/>
            <rFont val="Calibri"/>
            <family val="2"/>
            <scheme val="minor"/>
          </rPr>
          <t>Introduzca un número con dos decimales como máximo</t>
        </r>
      </text>
    </comment>
    <comment ref="F3487" authorId="1" shapeId="0" xr:uid="{00000000-0006-0000-0100-0000700D0000}">
      <text>
        <r>
          <rPr>
            <sz val="11"/>
            <color theme="1"/>
            <rFont val="Calibri"/>
            <family val="2"/>
            <scheme val="minor"/>
          </rPr>
          <t>Monto calculado automáticamente por el sistema</t>
        </r>
      </text>
    </comment>
    <comment ref="A3492" authorId="1" shapeId="0" xr:uid="{00000000-0006-0000-0100-0000710D0000}">
      <text>
        <r>
          <rPr>
            <sz val="11"/>
            <color theme="1"/>
            <rFont val="Calibri"/>
            <family val="2"/>
            <scheme val="minor"/>
          </rPr>
          <t>Introducir un texto con el nombre o referencia de la contratación</t>
        </r>
      </text>
    </comment>
    <comment ref="B3492" authorId="1" shapeId="0" xr:uid="{00000000-0006-0000-0100-0000720D0000}">
      <text>
        <r>
          <rPr>
            <sz val="11"/>
            <color theme="1"/>
            <rFont val="Calibri"/>
            <family val="2"/>
            <scheme val="minor"/>
          </rPr>
          <t>Introduzca un texto con la finalidad de la contratación</t>
        </r>
      </text>
    </comment>
    <comment ref="C3492" authorId="1" shapeId="0" xr:uid="{00000000-0006-0000-0100-0000730D0000}">
      <text>
        <r>
          <rPr>
            <sz val="11"/>
            <color theme="1"/>
            <rFont val="Calibri"/>
            <family val="2"/>
            <scheme val="minor"/>
          </rPr>
          <t>Seleccionar un valor del listado</t>
        </r>
      </text>
    </comment>
    <comment ref="D3492" authorId="1" shapeId="0" xr:uid="{00000000-0006-0000-0100-0000740D0000}">
      <text>
        <r>
          <rPr>
            <sz val="11"/>
            <color theme="1"/>
            <rFont val="Calibri"/>
            <family val="2"/>
            <scheme val="minor"/>
          </rPr>
          <t>Seleccione el tipo de procedimiento</t>
        </r>
      </text>
    </comment>
    <comment ref="E3492" authorId="1" shapeId="0" xr:uid="{00000000-0006-0000-0100-0000750D0000}">
      <text>
        <r>
          <rPr>
            <sz val="11"/>
            <color theme="1"/>
            <rFont val="Calibri"/>
            <family val="2"/>
            <scheme val="minor"/>
          </rPr>
          <t>Seleccione un valor de la lista</t>
        </r>
      </text>
    </comment>
    <comment ref="F3492" authorId="1" shapeId="0" xr:uid="{00000000-0006-0000-0100-0000760D0000}">
      <text>
        <r>
          <rPr>
            <sz val="11"/>
            <color theme="1"/>
            <rFont val="Calibri"/>
            <family val="2"/>
            <scheme val="minor"/>
          </rPr>
          <t>Introduzca el código SNIP</t>
        </r>
      </text>
    </comment>
    <comment ref="C3493" authorId="1" shapeId="0" xr:uid="{00000000-0006-0000-0100-0000770D0000}">
      <text>
        <r>
          <rPr>
            <sz val="11"/>
            <color theme="1"/>
            <rFont val="Calibri"/>
            <family val="2"/>
            <scheme val="minor"/>
          </rPr>
          <t>Introduzca la fecha de inicio del proceso, en formato dd-mm-aaaa</t>
        </r>
      </text>
    </comment>
    <comment ref="F3493" authorId="1" shapeId="0" xr:uid="{00000000-0006-0000-0100-000079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94" authorId="1" shapeId="0" xr:uid="{00000000-0006-0000-0100-00007A0D0000}">
      <text/>
    </comment>
    <comment ref="C3495" authorId="1" shapeId="0" xr:uid="{00000000-0006-0000-0100-0000780D0000}">
      <text>
        <r>
          <rPr>
            <sz val="11"/>
            <color theme="1"/>
            <rFont val="Calibri"/>
            <family val="2"/>
            <scheme val="minor"/>
          </rPr>
          <t>Introduzca la fecha prevista de adjudicación, en formato dd-mm-aaaa</t>
        </r>
      </text>
    </comment>
    <comment ref="F3495" authorId="1" shapeId="0" xr:uid="{00000000-0006-0000-0100-00007B0D0000}">
      <text/>
    </comment>
    <comment ref="F3496" authorId="1" shapeId="0" xr:uid="{00000000-0006-0000-0100-00007C0D0000}">
      <text/>
    </comment>
    <comment ref="A3498" authorId="1" shapeId="0" xr:uid="{00000000-0006-0000-0100-00007D0D0000}">
      <text>
        <r>
          <rPr>
            <sz val="11"/>
            <color theme="1"/>
            <rFont val="Calibri"/>
            <family val="2"/>
            <scheme val="minor"/>
          </rPr>
          <t>Introduzca un codigo UNSPSC</t>
        </r>
      </text>
    </comment>
    <comment ref="B3498" authorId="1" shapeId="0" xr:uid="{00000000-0006-0000-0100-00007E0D0000}">
      <text>
        <r>
          <rPr>
            <sz val="11"/>
            <color theme="1"/>
            <rFont val="Calibri"/>
            <family val="2"/>
            <scheme val="minor"/>
          </rPr>
          <t>Descripción calculada automáticamente a partir de código del artículo</t>
        </r>
      </text>
    </comment>
    <comment ref="C3498" authorId="1" shapeId="0" xr:uid="{00000000-0006-0000-0100-00007F0D0000}">
      <text>
        <r>
          <rPr>
            <sz val="11"/>
            <color theme="1"/>
            <rFont val="Calibri"/>
            <family val="2"/>
            <scheme val="minor"/>
          </rPr>
          <t>Seleccione un valor de la lista</t>
        </r>
      </text>
    </comment>
    <comment ref="D3498" authorId="1" shapeId="0" xr:uid="{00000000-0006-0000-0100-0000800D0000}">
      <text>
        <r>
          <rPr>
            <sz val="11"/>
            <color theme="1"/>
            <rFont val="Calibri"/>
            <family val="2"/>
            <scheme val="minor"/>
          </rPr>
          <t>Introduzca un número con dos decimales como máximo. Debe ser igual o mayor a la "Cantidad Real Consumida"</t>
        </r>
      </text>
    </comment>
    <comment ref="E3498" authorId="1" shapeId="0" xr:uid="{00000000-0006-0000-0100-0000810D0000}">
      <text>
        <r>
          <rPr>
            <sz val="11"/>
            <color theme="1"/>
            <rFont val="Calibri"/>
            <family val="2"/>
            <scheme val="minor"/>
          </rPr>
          <t>Introduzca un número con dos decimales como máximo</t>
        </r>
      </text>
    </comment>
    <comment ref="F3498" authorId="1" shapeId="0" xr:uid="{00000000-0006-0000-0100-0000820D0000}">
      <text>
        <r>
          <rPr>
            <sz val="11"/>
            <color theme="1"/>
            <rFont val="Calibri"/>
            <family val="2"/>
            <scheme val="minor"/>
          </rPr>
          <t>Monto calculado automáticamente por el sistema</t>
        </r>
      </text>
    </comment>
    <comment ref="A3503" authorId="1" shapeId="0" xr:uid="{00000000-0006-0000-0100-0000830D0000}">
      <text>
        <r>
          <rPr>
            <sz val="11"/>
            <color theme="1"/>
            <rFont val="Calibri"/>
            <family val="2"/>
            <scheme val="minor"/>
          </rPr>
          <t>Introducir un texto con el nombre o referencia de la contratación</t>
        </r>
      </text>
    </comment>
    <comment ref="B3503" authorId="1" shapeId="0" xr:uid="{00000000-0006-0000-0100-0000840D0000}">
      <text>
        <r>
          <rPr>
            <sz val="11"/>
            <color theme="1"/>
            <rFont val="Calibri"/>
            <family val="2"/>
            <scheme val="minor"/>
          </rPr>
          <t>Introduzca un texto con la finalidad de la contratación</t>
        </r>
      </text>
    </comment>
    <comment ref="C3503" authorId="1" shapeId="0" xr:uid="{00000000-0006-0000-0100-0000850D0000}">
      <text>
        <r>
          <rPr>
            <sz val="11"/>
            <color theme="1"/>
            <rFont val="Calibri"/>
            <family val="2"/>
            <scheme val="minor"/>
          </rPr>
          <t>Seleccionar un valor del listado</t>
        </r>
      </text>
    </comment>
    <comment ref="D3503" authorId="1" shapeId="0" xr:uid="{00000000-0006-0000-0100-0000860D0000}">
      <text>
        <r>
          <rPr>
            <sz val="11"/>
            <color theme="1"/>
            <rFont val="Calibri"/>
            <family val="2"/>
            <scheme val="minor"/>
          </rPr>
          <t>Seleccione el tipo de procedimiento</t>
        </r>
      </text>
    </comment>
    <comment ref="E3503" authorId="1" shapeId="0" xr:uid="{00000000-0006-0000-0100-0000870D0000}">
      <text>
        <r>
          <rPr>
            <sz val="11"/>
            <color theme="1"/>
            <rFont val="Calibri"/>
            <family val="2"/>
            <scheme val="minor"/>
          </rPr>
          <t>Seleccione un valor de la lista</t>
        </r>
      </text>
    </comment>
    <comment ref="F3503" authorId="1" shapeId="0" xr:uid="{00000000-0006-0000-0100-0000880D0000}">
      <text>
        <r>
          <rPr>
            <sz val="11"/>
            <color theme="1"/>
            <rFont val="Calibri"/>
            <family val="2"/>
            <scheme val="minor"/>
          </rPr>
          <t>Introduzca el código SNIP</t>
        </r>
      </text>
    </comment>
    <comment ref="C3504" authorId="1" shapeId="0" xr:uid="{00000000-0006-0000-0100-0000890D0000}">
      <text>
        <r>
          <rPr>
            <sz val="11"/>
            <color theme="1"/>
            <rFont val="Calibri"/>
            <family val="2"/>
            <scheme val="minor"/>
          </rPr>
          <t>Introduzca la fecha de inicio del proceso, en formato dd-mm-aaaa</t>
        </r>
      </text>
    </comment>
    <comment ref="F3504" authorId="1" shapeId="0" xr:uid="{00000000-0006-0000-0100-00008B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05" authorId="1" shapeId="0" xr:uid="{00000000-0006-0000-0100-00008C0D0000}">
      <text/>
    </comment>
    <comment ref="C3506" authorId="1" shapeId="0" xr:uid="{00000000-0006-0000-0100-00008A0D0000}">
      <text>
        <r>
          <rPr>
            <sz val="11"/>
            <color theme="1"/>
            <rFont val="Calibri"/>
            <family val="2"/>
            <scheme val="minor"/>
          </rPr>
          <t>Introduzca la fecha prevista de adjudicación, en formato dd-mm-aaaa</t>
        </r>
      </text>
    </comment>
    <comment ref="F3506" authorId="1" shapeId="0" xr:uid="{00000000-0006-0000-0100-00008D0D0000}">
      <text/>
    </comment>
    <comment ref="F3507" authorId="1" shapeId="0" xr:uid="{00000000-0006-0000-0100-00008E0D0000}">
      <text/>
    </comment>
    <comment ref="A3509" authorId="1" shapeId="0" xr:uid="{00000000-0006-0000-0100-00008F0D0000}">
      <text>
        <r>
          <rPr>
            <sz val="11"/>
            <color theme="1"/>
            <rFont val="Calibri"/>
            <family val="2"/>
            <scheme val="minor"/>
          </rPr>
          <t>Introduzca un codigo UNSPSC</t>
        </r>
      </text>
    </comment>
    <comment ref="B3509" authorId="1" shapeId="0" xr:uid="{00000000-0006-0000-0100-0000900D0000}">
      <text>
        <r>
          <rPr>
            <sz val="11"/>
            <color theme="1"/>
            <rFont val="Calibri"/>
            <family val="2"/>
            <scheme val="minor"/>
          </rPr>
          <t>Descripción calculada automáticamente a partir de código del artículo</t>
        </r>
      </text>
    </comment>
    <comment ref="C3509" authorId="1" shapeId="0" xr:uid="{00000000-0006-0000-0100-0000910D0000}">
      <text>
        <r>
          <rPr>
            <sz val="11"/>
            <color theme="1"/>
            <rFont val="Calibri"/>
            <family val="2"/>
            <scheme val="minor"/>
          </rPr>
          <t>Seleccione un valor de la lista</t>
        </r>
      </text>
    </comment>
    <comment ref="D3509" authorId="1" shapeId="0" xr:uid="{00000000-0006-0000-0100-0000920D0000}">
      <text>
        <r>
          <rPr>
            <sz val="11"/>
            <color theme="1"/>
            <rFont val="Calibri"/>
            <family val="2"/>
            <scheme val="minor"/>
          </rPr>
          <t>Introduzca un número con dos decimales como máximo. Debe ser igual o mayor a la "Cantidad Real Consumida"</t>
        </r>
      </text>
    </comment>
    <comment ref="E3509" authorId="1" shapeId="0" xr:uid="{00000000-0006-0000-0100-0000930D0000}">
      <text>
        <r>
          <rPr>
            <sz val="11"/>
            <color theme="1"/>
            <rFont val="Calibri"/>
            <family val="2"/>
            <scheme val="minor"/>
          </rPr>
          <t>Introduzca un número con dos decimales como máximo</t>
        </r>
      </text>
    </comment>
    <comment ref="F3509" authorId="1" shapeId="0" xr:uid="{00000000-0006-0000-0100-0000940D0000}">
      <text>
        <r>
          <rPr>
            <sz val="11"/>
            <color theme="1"/>
            <rFont val="Calibri"/>
            <family val="2"/>
            <scheme val="minor"/>
          </rPr>
          <t>Monto calculado automáticamente por el sistema</t>
        </r>
      </text>
    </comment>
    <comment ref="A3514" authorId="1" shapeId="0" xr:uid="{00000000-0006-0000-0100-0000950D0000}">
      <text>
        <r>
          <rPr>
            <sz val="11"/>
            <color theme="1"/>
            <rFont val="Calibri"/>
            <family val="2"/>
            <scheme val="minor"/>
          </rPr>
          <t>Introducir un texto con el nombre o referencia de la contratación</t>
        </r>
      </text>
    </comment>
    <comment ref="B3514" authorId="1" shapeId="0" xr:uid="{00000000-0006-0000-0100-0000960D0000}">
      <text>
        <r>
          <rPr>
            <sz val="11"/>
            <color theme="1"/>
            <rFont val="Calibri"/>
            <family val="2"/>
            <scheme val="minor"/>
          </rPr>
          <t>Introduzca un texto con la finalidad de la contratación</t>
        </r>
      </text>
    </comment>
    <comment ref="C3514" authorId="1" shapeId="0" xr:uid="{00000000-0006-0000-0100-0000970D0000}">
      <text>
        <r>
          <rPr>
            <sz val="11"/>
            <color theme="1"/>
            <rFont val="Calibri"/>
            <family val="2"/>
            <scheme val="minor"/>
          </rPr>
          <t>Seleccionar un valor del listado</t>
        </r>
      </text>
    </comment>
    <comment ref="D3514" authorId="1" shapeId="0" xr:uid="{00000000-0006-0000-0100-0000980D0000}">
      <text>
        <r>
          <rPr>
            <sz val="11"/>
            <color theme="1"/>
            <rFont val="Calibri"/>
            <family val="2"/>
            <scheme val="minor"/>
          </rPr>
          <t>Seleccione el tipo de procedimiento</t>
        </r>
      </text>
    </comment>
    <comment ref="E3514" authorId="1" shapeId="0" xr:uid="{00000000-0006-0000-0100-0000990D0000}">
      <text>
        <r>
          <rPr>
            <sz val="11"/>
            <color theme="1"/>
            <rFont val="Calibri"/>
            <family val="2"/>
            <scheme val="minor"/>
          </rPr>
          <t>Seleccione un valor de la lista</t>
        </r>
      </text>
    </comment>
    <comment ref="F3514" authorId="1" shapeId="0" xr:uid="{00000000-0006-0000-0100-00009A0D0000}">
      <text>
        <r>
          <rPr>
            <sz val="11"/>
            <color theme="1"/>
            <rFont val="Calibri"/>
            <family val="2"/>
            <scheme val="minor"/>
          </rPr>
          <t>Introduzca el código SNIP</t>
        </r>
      </text>
    </comment>
    <comment ref="C3515" authorId="1" shapeId="0" xr:uid="{00000000-0006-0000-0100-00009B0D0000}">
      <text>
        <r>
          <rPr>
            <sz val="11"/>
            <color theme="1"/>
            <rFont val="Calibri"/>
            <family val="2"/>
            <scheme val="minor"/>
          </rPr>
          <t>Introduzca la fecha de inicio del proceso, en formato dd-mm-aaaa</t>
        </r>
      </text>
    </comment>
    <comment ref="F3515" authorId="1" shapeId="0" xr:uid="{00000000-0006-0000-0100-00009D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16" authorId="1" shapeId="0" xr:uid="{00000000-0006-0000-0100-00009E0D0000}">
      <text/>
    </comment>
    <comment ref="C3517" authorId="1" shapeId="0" xr:uid="{00000000-0006-0000-0100-00009C0D0000}">
      <text>
        <r>
          <rPr>
            <sz val="11"/>
            <color theme="1"/>
            <rFont val="Calibri"/>
            <family val="2"/>
            <scheme val="minor"/>
          </rPr>
          <t>Introduzca la fecha prevista de adjudicación, en formato dd-mm-aaaa</t>
        </r>
      </text>
    </comment>
    <comment ref="F3517" authorId="1" shapeId="0" xr:uid="{00000000-0006-0000-0100-00009F0D0000}">
      <text/>
    </comment>
    <comment ref="F3518" authorId="1" shapeId="0" xr:uid="{00000000-0006-0000-0100-0000A00D0000}">
      <text/>
    </comment>
    <comment ref="A3520" authorId="1" shapeId="0" xr:uid="{00000000-0006-0000-0100-0000A10D0000}">
      <text>
        <r>
          <rPr>
            <sz val="11"/>
            <color theme="1"/>
            <rFont val="Calibri"/>
            <family val="2"/>
            <scheme val="minor"/>
          </rPr>
          <t>Introduzca un codigo UNSPSC</t>
        </r>
      </text>
    </comment>
    <comment ref="B3520" authorId="1" shapeId="0" xr:uid="{00000000-0006-0000-0100-0000A20D0000}">
      <text>
        <r>
          <rPr>
            <sz val="11"/>
            <color theme="1"/>
            <rFont val="Calibri"/>
            <family val="2"/>
            <scheme val="minor"/>
          </rPr>
          <t>Descripción calculada automáticamente a partir de código del artículo</t>
        </r>
      </text>
    </comment>
    <comment ref="C3520" authorId="1" shapeId="0" xr:uid="{00000000-0006-0000-0100-0000A30D0000}">
      <text>
        <r>
          <rPr>
            <sz val="11"/>
            <color theme="1"/>
            <rFont val="Calibri"/>
            <family val="2"/>
            <scheme val="minor"/>
          </rPr>
          <t>Seleccione un valor de la lista</t>
        </r>
      </text>
    </comment>
    <comment ref="D3520" authorId="1" shapeId="0" xr:uid="{00000000-0006-0000-0100-0000A40D0000}">
      <text>
        <r>
          <rPr>
            <sz val="11"/>
            <color theme="1"/>
            <rFont val="Calibri"/>
            <family val="2"/>
            <scheme val="minor"/>
          </rPr>
          <t>Introduzca un número con dos decimales como máximo. Debe ser igual o mayor a la "Cantidad Real Consumida"</t>
        </r>
      </text>
    </comment>
    <comment ref="E3520" authorId="1" shapeId="0" xr:uid="{00000000-0006-0000-0100-0000A50D0000}">
      <text>
        <r>
          <rPr>
            <sz val="11"/>
            <color theme="1"/>
            <rFont val="Calibri"/>
            <family val="2"/>
            <scheme val="minor"/>
          </rPr>
          <t>Introduzca un número con dos decimales como máximo</t>
        </r>
      </text>
    </comment>
    <comment ref="F3520" authorId="1" shapeId="0" xr:uid="{00000000-0006-0000-0100-0000A60D0000}">
      <text>
        <r>
          <rPr>
            <sz val="11"/>
            <color theme="1"/>
            <rFont val="Calibri"/>
            <family val="2"/>
            <scheme val="minor"/>
          </rPr>
          <t>Monto calculado automáticamente por el sistema</t>
        </r>
      </text>
    </comment>
    <comment ref="A3525" authorId="1" shapeId="0" xr:uid="{00000000-0006-0000-0100-0000A70D0000}">
      <text>
        <r>
          <rPr>
            <sz val="11"/>
            <color theme="1"/>
            <rFont val="Calibri"/>
            <family val="2"/>
            <scheme val="minor"/>
          </rPr>
          <t>Introducir un texto con el nombre o referencia de la contratación</t>
        </r>
      </text>
    </comment>
    <comment ref="B3525" authorId="1" shapeId="0" xr:uid="{00000000-0006-0000-0100-0000A80D0000}">
      <text>
        <r>
          <rPr>
            <sz val="11"/>
            <color theme="1"/>
            <rFont val="Calibri"/>
            <family val="2"/>
            <scheme val="minor"/>
          </rPr>
          <t>Introduzca un texto con la finalidad de la contratación</t>
        </r>
      </text>
    </comment>
    <comment ref="C3525" authorId="1" shapeId="0" xr:uid="{00000000-0006-0000-0100-0000A90D0000}">
      <text>
        <r>
          <rPr>
            <sz val="11"/>
            <color theme="1"/>
            <rFont val="Calibri"/>
            <family val="2"/>
            <scheme val="minor"/>
          </rPr>
          <t>Seleccionar un valor del listado</t>
        </r>
      </text>
    </comment>
    <comment ref="D3525" authorId="1" shapeId="0" xr:uid="{00000000-0006-0000-0100-0000AA0D0000}">
      <text>
        <r>
          <rPr>
            <sz val="11"/>
            <color theme="1"/>
            <rFont val="Calibri"/>
            <family val="2"/>
            <scheme val="minor"/>
          </rPr>
          <t>Seleccione el tipo de procedimiento</t>
        </r>
      </text>
    </comment>
    <comment ref="E3525" authorId="1" shapeId="0" xr:uid="{00000000-0006-0000-0100-0000AB0D0000}">
      <text>
        <r>
          <rPr>
            <sz val="11"/>
            <color theme="1"/>
            <rFont val="Calibri"/>
            <family val="2"/>
            <scheme val="minor"/>
          </rPr>
          <t>Seleccione un valor de la lista</t>
        </r>
      </text>
    </comment>
    <comment ref="F3525" authorId="1" shapeId="0" xr:uid="{00000000-0006-0000-0100-0000AC0D0000}">
      <text>
        <r>
          <rPr>
            <sz val="11"/>
            <color theme="1"/>
            <rFont val="Calibri"/>
            <family val="2"/>
            <scheme val="minor"/>
          </rPr>
          <t>Introduzca el código SNIP</t>
        </r>
      </text>
    </comment>
    <comment ref="C3526" authorId="1" shapeId="0" xr:uid="{00000000-0006-0000-0100-0000AD0D0000}">
      <text>
        <r>
          <rPr>
            <sz val="11"/>
            <color theme="1"/>
            <rFont val="Calibri"/>
            <family val="2"/>
            <scheme val="minor"/>
          </rPr>
          <t>Introduzca la fecha de inicio del proceso, en formato dd-mm-aaaa</t>
        </r>
      </text>
    </comment>
    <comment ref="F3526" authorId="1" shapeId="0" xr:uid="{00000000-0006-0000-0100-0000AF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27" authorId="1" shapeId="0" xr:uid="{00000000-0006-0000-0100-0000B00D0000}">
      <text/>
    </comment>
    <comment ref="C3528" authorId="1" shapeId="0" xr:uid="{00000000-0006-0000-0100-0000AE0D0000}">
      <text>
        <r>
          <rPr>
            <sz val="11"/>
            <color theme="1"/>
            <rFont val="Calibri"/>
            <family val="2"/>
            <scheme val="minor"/>
          </rPr>
          <t>Introduzca la fecha prevista de adjudicación, en formato dd-mm-aaaa</t>
        </r>
      </text>
    </comment>
    <comment ref="F3528" authorId="1" shapeId="0" xr:uid="{00000000-0006-0000-0100-0000B10D0000}">
      <text/>
    </comment>
    <comment ref="F3529" authorId="1" shapeId="0" xr:uid="{00000000-0006-0000-0100-0000B20D0000}">
      <text/>
    </comment>
    <comment ref="A3531" authorId="1" shapeId="0" xr:uid="{00000000-0006-0000-0100-0000B30D0000}">
      <text>
        <r>
          <rPr>
            <sz val="11"/>
            <color theme="1"/>
            <rFont val="Calibri"/>
            <family val="2"/>
            <scheme val="minor"/>
          </rPr>
          <t>Introduzca un codigo UNSPSC</t>
        </r>
      </text>
    </comment>
    <comment ref="B3531" authorId="1" shapeId="0" xr:uid="{00000000-0006-0000-0100-0000B40D0000}">
      <text>
        <r>
          <rPr>
            <sz val="11"/>
            <color theme="1"/>
            <rFont val="Calibri"/>
            <family val="2"/>
            <scheme val="minor"/>
          </rPr>
          <t>Descripción calculada automáticamente a partir de código del artículo</t>
        </r>
      </text>
    </comment>
    <comment ref="C3531" authorId="1" shapeId="0" xr:uid="{00000000-0006-0000-0100-0000B50D0000}">
      <text>
        <r>
          <rPr>
            <sz val="11"/>
            <color theme="1"/>
            <rFont val="Calibri"/>
            <family val="2"/>
            <scheme val="minor"/>
          </rPr>
          <t>Seleccione un valor de la lista</t>
        </r>
      </text>
    </comment>
    <comment ref="D3531" authorId="1" shapeId="0" xr:uid="{00000000-0006-0000-0100-0000B60D0000}">
      <text>
        <r>
          <rPr>
            <sz val="11"/>
            <color theme="1"/>
            <rFont val="Calibri"/>
            <family val="2"/>
            <scheme val="minor"/>
          </rPr>
          <t>Introduzca un número con dos decimales como máximo. Debe ser igual o mayor a la "Cantidad Real Consumida"</t>
        </r>
      </text>
    </comment>
    <comment ref="E3531" authorId="1" shapeId="0" xr:uid="{00000000-0006-0000-0100-0000B70D0000}">
      <text>
        <r>
          <rPr>
            <sz val="11"/>
            <color theme="1"/>
            <rFont val="Calibri"/>
            <family val="2"/>
            <scheme val="minor"/>
          </rPr>
          <t>Introduzca un número con dos decimales como máximo</t>
        </r>
      </text>
    </comment>
    <comment ref="F3531" authorId="1" shapeId="0" xr:uid="{00000000-0006-0000-0100-0000B80D0000}">
      <text>
        <r>
          <rPr>
            <sz val="11"/>
            <color theme="1"/>
            <rFont val="Calibri"/>
            <family val="2"/>
            <scheme val="minor"/>
          </rPr>
          <t>Monto calculado automáticamente por el sistema</t>
        </r>
      </text>
    </comment>
    <comment ref="A3537" authorId="1" shapeId="0" xr:uid="{00000000-0006-0000-0100-0000B90D0000}">
      <text>
        <r>
          <rPr>
            <sz val="11"/>
            <color theme="1"/>
            <rFont val="Calibri"/>
            <family val="2"/>
            <scheme val="minor"/>
          </rPr>
          <t>Introducir un texto con el nombre o referencia de la contratación</t>
        </r>
      </text>
    </comment>
    <comment ref="B3537" authorId="1" shapeId="0" xr:uid="{00000000-0006-0000-0100-0000BA0D0000}">
      <text>
        <r>
          <rPr>
            <sz val="11"/>
            <color theme="1"/>
            <rFont val="Calibri"/>
            <family val="2"/>
            <scheme val="minor"/>
          </rPr>
          <t>Introduzca un texto con la finalidad de la contratación</t>
        </r>
      </text>
    </comment>
    <comment ref="C3537" authorId="1" shapeId="0" xr:uid="{00000000-0006-0000-0100-0000BB0D0000}">
      <text>
        <r>
          <rPr>
            <sz val="11"/>
            <color theme="1"/>
            <rFont val="Calibri"/>
            <family val="2"/>
            <scheme val="minor"/>
          </rPr>
          <t>Seleccionar un valor del listado</t>
        </r>
      </text>
    </comment>
    <comment ref="D3537" authorId="1" shapeId="0" xr:uid="{00000000-0006-0000-0100-0000BC0D0000}">
      <text>
        <r>
          <rPr>
            <sz val="11"/>
            <color theme="1"/>
            <rFont val="Calibri"/>
            <family val="2"/>
            <scheme val="minor"/>
          </rPr>
          <t>Seleccione el tipo de procedimiento</t>
        </r>
      </text>
    </comment>
    <comment ref="E3537" authorId="1" shapeId="0" xr:uid="{00000000-0006-0000-0100-0000BD0D0000}">
      <text>
        <r>
          <rPr>
            <sz val="11"/>
            <color theme="1"/>
            <rFont val="Calibri"/>
            <family val="2"/>
            <scheme val="minor"/>
          </rPr>
          <t>Seleccione un valor de la lista</t>
        </r>
      </text>
    </comment>
    <comment ref="F3537" authorId="1" shapeId="0" xr:uid="{00000000-0006-0000-0100-0000BE0D0000}">
      <text>
        <r>
          <rPr>
            <sz val="11"/>
            <color theme="1"/>
            <rFont val="Calibri"/>
            <family val="2"/>
            <scheme val="minor"/>
          </rPr>
          <t>Introduzca el código SNIP</t>
        </r>
      </text>
    </comment>
    <comment ref="C3538" authorId="1" shapeId="0" xr:uid="{00000000-0006-0000-0100-0000BF0D0000}">
      <text>
        <r>
          <rPr>
            <sz val="11"/>
            <color theme="1"/>
            <rFont val="Calibri"/>
            <family val="2"/>
            <scheme val="minor"/>
          </rPr>
          <t>Introduzca la fecha de inicio del proceso, en formato dd-mm-aaaa</t>
        </r>
      </text>
    </comment>
    <comment ref="F3538" authorId="1" shapeId="0" xr:uid="{00000000-0006-0000-0100-0000C1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39" authorId="1" shapeId="0" xr:uid="{00000000-0006-0000-0100-0000C20D0000}">
      <text/>
    </comment>
    <comment ref="C3540" authorId="1" shapeId="0" xr:uid="{00000000-0006-0000-0100-0000C00D0000}">
      <text>
        <r>
          <rPr>
            <sz val="11"/>
            <color theme="1"/>
            <rFont val="Calibri"/>
            <family val="2"/>
            <scheme val="minor"/>
          </rPr>
          <t>Introduzca la fecha prevista de adjudicación, en formato dd-mm-aaaa</t>
        </r>
      </text>
    </comment>
    <comment ref="F3540" authorId="1" shapeId="0" xr:uid="{00000000-0006-0000-0100-0000C30D0000}">
      <text/>
    </comment>
    <comment ref="F3541" authorId="1" shapeId="0" xr:uid="{00000000-0006-0000-0100-0000C40D0000}">
      <text/>
    </comment>
    <comment ref="A3543" authorId="1" shapeId="0" xr:uid="{00000000-0006-0000-0100-0000C50D0000}">
      <text>
        <r>
          <rPr>
            <sz val="11"/>
            <color theme="1"/>
            <rFont val="Calibri"/>
            <family val="2"/>
            <scheme val="minor"/>
          </rPr>
          <t>Introduzca un codigo UNSPSC</t>
        </r>
      </text>
    </comment>
    <comment ref="B3543" authorId="1" shapeId="0" xr:uid="{00000000-0006-0000-0100-0000C60D0000}">
      <text>
        <r>
          <rPr>
            <sz val="11"/>
            <color theme="1"/>
            <rFont val="Calibri"/>
            <family val="2"/>
            <scheme val="minor"/>
          </rPr>
          <t>Descripción calculada automáticamente a partir de código del artículo</t>
        </r>
      </text>
    </comment>
    <comment ref="C3543" authorId="1" shapeId="0" xr:uid="{00000000-0006-0000-0100-0000C70D0000}">
      <text>
        <r>
          <rPr>
            <sz val="11"/>
            <color theme="1"/>
            <rFont val="Calibri"/>
            <family val="2"/>
            <scheme val="minor"/>
          </rPr>
          <t>Seleccione un valor de la lista</t>
        </r>
      </text>
    </comment>
    <comment ref="D3543" authorId="1" shapeId="0" xr:uid="{00000000-0006-0000-0100-0000C80D0000}">
      <text>
        <r>
          <rPr>
            <sz val="11"/>
            <color theme="1"/>
            <rFont val="Calibri"/>
            <family val="2"/>
            <scheme val="minor"/>
          </rPr>
          <t>Introduzca un número con dos decimales como máximo. Debe ser igual o mayor a la "Cantidad Real Consumida"</t>
        </r>
      </text>
    </comment>
    <comment ref="E3543" authorId="1" shapeId="0" xr:uid="{00000000-0006-0000-0100-0000C90D0000}">
      <text>
        <r>
          <rPr>
            <sz val="11"/>
            <color theme="1"/>
            <rFont val="Calibri"/>
            <family val="2"/>
            <scheme val="minor"/>
          </rPr>
          <t>Introduzca un número con dos decimales como máximo</t>
        </r>
      </text>
    </comment>
    <comment ref="F3543" authorId="1" shapeId="0" xr:uid="{00000000-0006-0000-0100-0000CA0D0000}">
      <text>
        <r>
          <rPr>
            <sz val="11"/>
            <color theme="1"/>
            <rFont val="Calibri"/>
            <family val="2"/>
            <scheme val="minor"/>
          </rPr>
          <t>Monto calculado automáticamente por el sistema</t>
        </r>
      </text>
    </comment>
    <comment ref="A3548" authorId="1" shapeId="0" xr:uid="{00000000-0006-0000-0100-0000CB0D0000}">
      <text>
        <r>
          <rPr>
            <sz val="11"/>
            <color theme="1"/>
            <rFont val="Calibri"/>
            <family val="2"/>
            <scheme val="minor"/>
          </rPr>
          <t>Introducir un texto con el nombre o referencia de la contratación</t>
        </r>
      </text>
    </comment>
    <comment ref="B3548" authorId="1" shapeId="0" xr:uid="{00000000-0006-0000-0100-0000CC0D0000}">
      <text>
        <r>
          <rPr>
            <sz val="11"/>
            <color theme="1"/>
            <rFont val="Calibri"/>
            <family val="2"/>
            <scheme val="minor"/>
          </rPr>
          <t>Introduzca un texto con la finalidad de la contratación</t>
        </r>
      </text>
    </comment>
    <comment ref="C3548" authorId="1" shapeId="0" xr:uid="{00000000-0006-0000-0100-0000CD0D0000}">
      <text>
        <r>
          <rPr>
            <sz val="11"/>
            <color theme="1"/>
            <rFont val="Calibri"/>
            <family val="2"/>
            <scheme val="minor"/>
          </rPr>
          <t>Seleccionar un valor del listado</t>
        </r>
      </text>
    </comment>
    <comment ref="D3548" authorId="1" shapeId="0" xr:uid="{00000000-0006-0000-0100-0000CE0D0000}">
      <text>
        <r>
          <rPr>
            <sz val="11"/>
            <color theme="1"/>
            <rFont val="Calibri"/>
            <family val="2"/>
            <scheme val="minor"/>
          </rPr>
          <t>Seleccione el tipo de procedimiento</t>
        </r>
      </text>
    </comment>
    <comment ref="E3548" authorId="1" shapeId="0" xr:uid="{00000000-0006-0000-0100-0000CF0D0000}">
      <text>
        <r>
          <rPr>
            <sz val="11"/>
            <color theme="1"/>
            <rFont val="Calibri"/>
            <family val="2"/>
            <scheme val="minor"/>
          </rPr>
          <t>Seleccione un valor de la lista</t>
        </r>
      </text>
    </comment>
    <comment ref="F3548" authorId="1" shapeId="0" xr:uid="{00000000-0006-0000-0100-0000D00D0000}">
      <text>
        <r>
          <rPr>
            <sz val="11"/>
            <color theme="1"/>
            <rFont val="Calibri"/>
            <family val="2"/>
            <scheme val="minor"/>
          </rPr>
          <t>Introduzca el código SNIP</t>
        </r>
      </text>
    </comment>
    <comment ref="C3549" authorId="1" shapeId="0" xr:uid="{00000000-0006-0000-0100-0000D10D0000}">
      <text>
        <r>
          <rPr>
            <sz val="11"/>
            <color theme="1"/>
            <rFont val="Calibri"/>
            <family val="2"/>
            <scheme val="minor"/>
          </rPr>
          <t>Introduzca la fecha de inicio del proceso, en formato dd-mm-aaaa</t>
        </r>
      </text>
    </comment>
    <comment ref="F3549" authorId="1" shapeId="0" xr:uid="{00000000-0006-0000-0100-0000D3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50" authorId="1" shapeId="0" xr:uid="{00000000-0006-0000-0100-0000D40D0000}">
      <text/>
    </comment>
    <comment ref="C3551" authorId="1" shapeId="0" xr:uid="{00000000-0006-0000-0100-0000D20D0000}">
      <text>
        <r>
          <rPr>
            <sz val="11"/>
            <color theme="1"/>
            <rFont val="Calibri"/>
            <family val="2"/>
            <scheme val="minor"/>
          </rPr>
          <t>Introduzca la fecha prevista de adjudicación, en formato dd-mm-aaaa</t>
        </r>
      </text>
    </comment>
    <comment ref="F3551" authorId="1" shapeId="0" xr:uid="{00000000-0006-0000-0100-0000D50D0000}">
      <text/>
    </comment>
    <comment ref="F3552" authorId="1" shapeId="0" xr:uid="{00000000-0006-0000-0100-0000D60D0000}">
      <text/>
    </comment>
    <comment ref="A3554" authorId="1" shapeId="0" xr:uid="{00000000-0006-0000-0100-0000D70D0000}">
      <text>
        <r>
          <rPr>
            <sz val="11"/>
            <color theme="1"/>
            <rFont val="Calibri"/>
            <family val="2"/>
            <scheme val="minor"/>
          </rPr>
          <t>Introduzca un codigo UNSPSC</t>
        </r>
      </text>
    </comment>
    <comment ref="B3554" authorId="1" shapeId="0" xr:uid="{00000000-0006-0000-0100-0000D80D0000}">
      <text>
        <r>
          <rPr>
            <sz val="11"/>
            <color theme="1"/>
            <rFont val="Calibri"/>
            <family val="2"/>
            <scheme val="minor"/>
          </rPr>
          <t>Descripción calculada automáticamente a partir de código del artículo</t>
        </r>
      </text>
    </comment>
    <comment ref="C3554" authorId="1" shapeId="0" xr:uid="{00000000-0006-0000-0100-0000D90D0000}">
      <text>
        <r>
          <rPr>
            <sz val="11"/>
            <color theme="1"/>
            <rFont val="Calibri"/>
            <family val="2"/>
            <scheme val="minor"/>
          </rPr>
          <t>Seleccione un valor de la lista</t>
        </r>
      </text>
    </comment>
    <comment ref="D3554" authorId="1" shapeId="0" xr:uid="{00000000-0006-0000-0100-0000DA0D0000}">
      <text>
        <r>
          <rPr>
            <sz val="11"/>
            <color theme="1"/>
            <rFont val="Calibri"/>
            <family val="2"/>
            <scheme val="minor"/>
          </rPr>
          <t>Introduzca un número con dos decimales como máximo. Debe ser igual o mayor a la "Cantidad Real Consumida"</t>
        </r>
      </text>
    </comment>
    <comment ref="E3554" authorId="1" shapeId="0" xr:uid="{00000000-0006-0000-0100-0000DB0D0000}">
      <text>
        <r>
          <rPr>
            <sz val="11"/>
            <color theme="1"/>
            <rFont val="Calibri"/>
            <family val="2"/>
            <scheme val="minor"/>
          </rPr>
          <t>Introduzca un número con dos decimales como máximo</t>
        </r>
      </text>
    </comment>
    <comment ref="F3554" authorId="1" shapeId="0" xr:uid="{00000000-0006-0000-0100-0000DC0D0000}">
      <text>
        <r>
          <rPr>
            <sz val="11"/>
            <color theme="1"/>
            <rFont val="Calibri"/>
            <family val="2"/>
            <scheme val="minor"/>
          </rPr>
          <t>Monto calculado automáticamente por el sistema</t>
        </r>
      </text>
    </comment>
    <comment ref="A3559" authorId="1" shapeId="0" xr:uid="{00000000-0006-0000-0100-0000DD0D0000}">
      <text>
        <r>
          <rPr>
            <sz val="11"/>
            <color theme="1"/>
            <rFont val="Calibri"/>
            <family val="2"/>
            <scheme val="minor"/>
          </rPr>
          <t>Introducir un texto con el nombre o referencia de la contratación</t>
        </r>
      </text>
    </comment>
    <comment ref="B3559" authorId="1" shapeId="0" xr:uid="{00000000-0006-0000-0100-0000DE0D0000}">
      <text>
        <r>
          <rPr>
            <sz val="11"/>
            <color theme="1"/>
            <rFont val="Calibri"/>
            <family val="2"/>
            <scheme val="minor"/>
          </rPr>
          <t>Introduzca un texto con la finalidad de la contratación</t>
        </r>
      </text>
    </comment>
    <comment ref="C3559" authorId="1" shapeId="0" xr:uid="{00000000-0006-0000-0100-0000DF0D0000}">
      <text>
        <r>
          <rPr>
            <sz val="11"/>
            <color theme="1"/>
            <rFont val="Calibri"/>
            <family val="2"/>
            <scheme val="minor"/>
          </rPr>
          <t>Seleccionar un valor del listado</t>
        </r>
      </text>
    </comment>
    <comment ref="D3559" authorId="1" shapeId="0" xr:uid="{00000000-0006-0000-0100-0000E00D0000}">
      <text>
        <r>
          <rPr>
            <sz val="11"/>
            <color theme="1"/>
            <rFont val="Calibri"/>
            <family val="2"/>
            <scheme val="minor"/>
          </rPr>
          <t>Seleccione el tipo de procedimiento</t>
        </r>
      </text>
    </comment>
    <comment ref="E3559" authorId="1" shapeId="0" xr:uid="{00000000-0006-0000-0100-0000E10D0000}">
      <text>
        <r>
          <rPr>
            <sz val="11"/>
            <color theme="1"/>
            <rFont val="Calibri"/>
            <family val="2"/>
            <scheme val="minor"/>
          </rPr>
          <t>Seleccione un valor de la lista</t>
        </r>
      </text>
    </comment>
    <comment ref="F3559" authorId="1" shapeId="0" xr:uid="{00000000-0006-0000-0100-0000E20D0000}">
      <text>
        <r>
          <rPr>
            <sz val="11"/>
            <color theme="1"/>
            <rFont val="Calibri"/>
            <family val="2"/>
            <scheme val="minor"/>
          </rPr>
          <t>Introduzca el código SNIP</t>
        </r>
      </text>
    </comment>
    <comment ref="C3560" authorId="1" shapeId="0" xr:uid="{00000000-0006-0000-0100-0000E30D0000}">
      <text>
        <r>
          <rPr>
            <sz val="11"/>
            <color theme="1"/>
            <rFont val="Calibri"/>
            <family val="2"/>
            <scheme val="minor"/>
          </rPr>
          <t>Introduzca la fecha de inicio del proceso, en formato dd-mm-aaaa</t>
        </r>
      </text>
    </comment>
    <comment ref="F3560" authorId="1" shapeId="0" xr:uid="{00000000-0006-0000-0100-0000E5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61" authorId="1" shapeId="0" xr:uid="{00000000-0006-0000-0100-0000E60D0000}">
      <text/>
    </comment>
    <comment ref="C3562" authorId="1" shapeId="0" xr:uid="{00000000-0006-0000-0100-0000E40D0000}">
      <text>
        <r>
          <rPr>
            <sz val="11"/>
            <color theme="1"/>
            <rFont val="Calibri"/>
            <family val="2"/>
            <scheme val="minor"/>
          </rPr>
          <t>Introduzca la fecha prevista de adjudicación, en formato dd-mm-aaaa</t>
        </r>
      </text>
    </comment>
    <comment ref="F3562" authorId="1" shapeId="0" xr:uid="{00000000-0006-0000-0100-0000E70D0000}">
      <text/>
    </comment>
    <comment ref="F3563" authorId="1" shapeId="0" xr:uid="{00000000-0006-0000-0100-0000E80D0000}">
      <text/>
    </comment>
    <comment ref="A3565" authorId="1" shapeId="0" xr:uid="{00000000-0006-0000-0100-0000E90D0000}">
      <text>
        <r>
          <rPr>
            <sz val="11"/>
            <color theme="1"/>
            <rFont val="Calibri"/>
            <family val="2"/>
            <scheme val="minor"/>
          </rPr>
          <t>Introduzca un codigo UNSPSC</t>
        </r>
      </text>
    </comment>
    <comment ref="B3565" authorId="1" shapeId="0" xr:uid="{00000000-0006-0000-0100-0000EA0D0000}">
      <text>
        <r>
          <rPr>
            <sz val="11"/>
            <color theme="1"/>
            <rFont val="Calibri"/>
            <family val="2"/>
            <scheme val="minor"/>
          </rPr>
          <t>Descripción calculada automáticamente a partir de código del artículo</t>
        </r>
      </text>
    </comment>
    <comment ref="C3565" authorId="1" shapeId="0" xr:uid="{00000000-0006-0000-0100-0000EB0D0000}">
      <text>
        <r>
          <rPr>
            <sz val="11"/>
            <color theme="1"/>
            <rFont val="Calibri"/>
            <family val="2"/>
            <scheme val="minor"/>
          </rPr>
          <t>Seleccione un valor de la lista</t>
        </r>
      </text>
    </comment>
    <comment ref="D3565" authorId="1" shapeId="0" xr:uid="{00000000-0006-0000-0100-0000EC0D0000}">
      <text>
        <r>
          <rPr>
            <sz val="11"/>
            <color theme="1"/>
            <rFont val="Calibri"/>
            <family val="2"/>
            <scheme val="minor"/>
          </rPr>
          <t>Introduzca un número con dos decimales como máximo. Debe ser igual o mayor a la "Cantidad Real Consumida"</t>
        </r>
      </text>
    </comment>
    <comment ref="E3565" authorId="1" shapeId="0" xr:uid="{00000000-0006-0000-0100-0000ED0D0000}">
      <text>
        <r>
          <rPr>
            <sz val="11"/>
            <color theme="1"/>
            <rFont val="Calibri"/>
            <family val="2"/>
            <scheme val="minor"/>
          </rPr>
          <t>Introduzca un número con dos decimales como máximo</t>
        </r>
      </text>
    </comment>
    <comment ref="F3565" authorId="1" shapeId="0" xr:uid="{00000000-0006-0000-0100-0000EE0D0000}">
      <text>
        <r>
          <rPr>
            <sz val="11"/>
            <color theme="1"/>
            <rFont val="Calibri"/>
            <family val="2"/>
            <scheme val="minor"/>
          </rPr>
          <t>Monto calculado automáticamente por el sistema</t>
        </r>
      </text>
    </comment>
    <comment ref="A3685" authorId="1" shapeId="0" xr:uid="{00000000-0006-0000-0100-0000EF0D0000}">
      <text>
        <r>
          <rPr>
            <sz val="11"/>
            <color theme="1"/>
            <rFont val="Calibri"/>
            <family val="2"/>
            <scheme val="minor"/>
          </rPr>
          <t>Introducir un texto con el nombre o referencia de la contratación</t>
        </r>
      </text>
    </comment>
    <comment ref="B3685" authorId="1" shapeId="0" xr:uid="{00000000-0006-0000-0100-0000F00D0000}">
      <text>
        <r>
          <rPr>
            <sz val="11"/>
            <color theme="1"/>
            <rFont val="Calibri"/>
            <family val="2"/>
            <scheme val="minor"/>
          </rPr>
          <t>Introduzca un texto con la finalidad de la contratación</t>
        </r>
      </text>
    </comment>
    <comment ref="C3685" authorId="1" shapeId="0" xr:uid="{00000000-0006-0000-0100-0000F10D0000}">
      <text>
        <r>
          <rPr>
            <sz val="11"/>
            <color theme="1"/>
            <rFont val="Calibri"/>
            <family val="2"/>
            <scheme val="minor"/>
          </rPr>
          <t>Seleccionar un valor del listado</t>
        </r>
      </text>
    </comment>
    <comment ref="D3685" authorId="1" shapeId="0" xr:uid="{00000000-0006-0000-0100-0000F20D0000}">
      <text>
        <r>
          <rPr>
            <sz val="11"/>
            <color theme="1"/>
            <rFont val="Calibri"/>
            <family val="2"/>
            <scheme val="minor"/>
          </rPr>
          <t>Seleccione el tipo de procedimiento</t>
        </r>
      </text>
    </comment>
    <comment ref="E3685" authorId="1" shapeId="0" xr:uid="{00000000-0006-0000-0100-0000F30D0000}">
      <text>
        <r>
          <rPr>
            <sz val="11"/>
            <color theme="1"/>
            <rFont val="Calibri"/>
            <family val="2"/>
            <scheme val="minor"/>
          </rPr>
          <t>Seleccione un valor de la lista</t>
        </r>
      </text>
    </comment>
    <comment ref="F3685" authorId="1" shapeId="0" xr:uid="{00000000-0006-0000-0100-0000F40D0000}">
      <text>
        <r>
          <rPr>
            <sz val="11"/>
            <color theme="1"/>
            <rFont val="Calibri"/>
            <family val="2"/>
            <scheme val="minor"/>
          </rPr>
          <t>Introduzca el código SNIP</t>
        </r>
      </text>
    </comment>
    <comment ref="C3686" authorId="1" shapeId="0" xr:uid="{00000000-0006-0000-0100-0000F50D0000}">
      <text>
        <r>
          <rPr>
            <sz val="11"/>
            <color theme="1"/>
            <rFont val="Calibri"/>
            <family val="2"/>
            <scheme val="minor"/>
          </rPr>
          <t>Introduzca la fecha de inicio del proceso, en formato dd-mm-aaaa</t>
        </r>
      </text>
    </comment>
    <comment ref="F3686" authorId="1" shapeId="0" xr:uid="{00000000-0006-0000-0100-0000F7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87" authorId="1" shapeId="0" xr:uid="{00000000-0006-0000-0100-0000F80D0000}">
      <text/>
    </comment>
    <comment ref="C3688" authorId="1" shapeId="0" xr:uid="{00000000-0006-0000-0100-0000F60D0000}">
      <text>
        <r>
          <rPr>
            <sz val="11"/>
            <color theme="1"/>
            <rFont val="Calibri"/>
            <family val="2"/>
            <scheme val="minor"/>
          </rPr>
          <t>Introduzca la fecha prevista de adjudicación, en formato dd-mm-aaaa</t>
        </r>
      </text>
    </comment>
    <comment ref="F3688" authorId="1" shapeId="0" xr:uid="{00000000-0006-0000-0100-0000F90D0000}">
      <text/>
    </comment>
    <comment ref="F3689" authorId="1" shapeId="0" xr:uid="{00000000-0006-0000-0100-0000FA0D0000}">
      <text/>
    </comment>
    <comment ref="A3691" authorId="1" shapeId="0" xr:uid="{00000000-0006-0000-0100-0000FB0D0000}">
      <text>
        <r>
          <rPr>
            <sz val="11"/>
            <color theme="1"/>
            <rFont val="Calibri"/>
            <family val="2"/>
            <scheme val="minor"/>
          </rPr>
          <t>Introduzca un codigo UNSPSC</t>
        </r>
      </text>
    </comment>
    <comment ref="B3691" authorId="1" shapeId="0" xr:uid="{00000000-0006-0000-0100-0000FC0D0000}">
      <text>
        <r>
          <rPr>
            <sz val="11"/>
            <color theme="1"/>
            <rFont val="Calibri"/>
            <family val="2"/>
            <scheme val="minor"/>
          </rPr>
          <t>Descripción calculada automáticamente a partir de código del artículo</t>
        </r>
      </text>
    </comment>
    <comment ref="C3691" authorId="1" shapeId="0" xr:uid="{00000000-0006-0000-0100-0000FD0D0000}">
      <text>
        <r>
          <rPr>
            <sz val="11"/>
            <color theme="1"/>
            <rFont val="Calibri"/>
            <family val="2"/>
            <scheme val="minor"/>
          </rPr>
          <t>Seleccione un valor de la lista</t>
        </r>
      </text>
    </comment>
    <comment ref="D3691" authorId="1" shapeId="0" xr:uid="{00000000-0006-0000-0100-0000FE0D0000}">
      <text>
        <r>
          <rPr>
            <sz val="11"/>
            <color theme="1"/>
            <rFont val="Calibri"/>
            <family val="2"/>
            <scheme val="minor"/>
          </rPr>
          <t>Introduzca un número con dos decimales como máximo. Debe ser igual o mayor a la "Cantidad Real Consumida"</t>
        </r>
      </text>
    </comment>
    <comment ref="E3691" authorId="1" shapeId="0" xr:uid="{00000000-0006-0000-0100-0000FF0D0000}">
      <text>
        <r>
          <rPr>
            <sz val="11"/>
            <color theme="1"/>
            <rFont val="Calibri"/>
            <family val="2"/>
            <scheme val="minor"/>
          </rPr>
          <t>Introduzca un número con dos decimales como máximo</t>
        </r>
      </text>
    </comment>
    <comment ref="F3691" authorId="1" shapeId="0" xr:uid="{00000000-0006-0000-0100-0000000E0000}">
      <text>
        <r>
          <rPr>
            <sz val="11"/>
            <color theme="1"/>
            <rFont val="Calibri"/>
            <family val="2"/>
            <scheme val="minor"/>
          </rPr>
          <t>Monto calculado automáticamente por el sistema</t>
        </r>
      </text>
    </comment>
    <comment ref="A3697" authorId="1" shapeId="0" xr:uid="{00000000-0006-0000-0100-0000010E0000}">
      <text>
        <r>
          <rPr>
            <sz val="11"/>
            <color theme="1"/>
            <rFont val="Calibri"/>
            <family val="2"/>
            <scheme val="minor"/>
          </rPr>
          <t>Introducir un texto con el nombre o referencia de la contratación</t>
        </r>
      </text>
    </comment>
    <comment ref="B3697" authorId="1" shapeId="0" xr:uid="{00000000-0006-0000-0100-0000020E0000}">
      <text>
        <r>
          <rPr>
            <sz val="11"/>
            <color theme="1"/>
            <rFont val="Calibri"/>
            <family val="2"/>
            <scheme val="minor"/>
          </rPr>
          <t>Introduzca un texto con la finalidad de la contratación</t>
        </r>
      </text>
    </comment>
    <comment ref="C3697" authorId="1" shapeId="0" xr:uid="{00000000-0006-0000-0100-0000030E0000}">
      <text>
        <r>
          <rPr>
            <sz val="11"/>
            <color theme="1"/>
            <rFont val="Calibri"/>
            <family val="2"/>
            <scheme val="minor"/>
          </rPr>
          <t>Seleccionar un valor del listado</t>
        </r>
      </text>
    </comment>
    <comment ref="D3697" authorId="1" shapeId="0" xr:uid="{00000000-0006-0000-0100-0000040E0000}">
      <text>
        <r>
          <rPr>
            <sz val="11"/>
            <color theme="1"/>
            <rFont val="Calibri"/>
            <family val="2"/>
            <scheme val="minor"/>
          </rPr>
          <t>Seleccione el tipo de procedimiento</t>
        </r>
      </text>
    </comment>
    <comment ref="E3697" authorId="1" shapeId="0" xr:uid="{00000000-0006-0000-0100-0000050E0000}">
      <text>
        <r>
          <rPr>
            <sz val="11"/>
            <color theme="1"/>
            <rFont val="Calibri"/>
            <family val="2"/>
            <scheme val="minor"/>
          </rPr>
          <t>Seleccione un valor de la lista</t>
        </r>
      </text>
    </comment>
    <comment ref="F3697" authorId="1" shapeId="0" xr:uid="{00000000-0006-0000-0100-0000060E0000}">
      <text>
        <r>
          <rPr>
            <sz val="11"/>
            <color theme="1"/>
            <rFont val="Calibri"/>
            <family val="2"/>
            <scheme val="minor"/>
          </rPr>
          <t>Introduzca el código SNIP</t>
        </r>
      </text>
    </comment>
    <comment ref="C3698" authorId="1" shapeId="0" xr:uid="{00000000-0006-0000-0100-0000070E0000}">
      <text>
        <r>
          <rPr>
            <sz val="11"/>
            <color theme="1"/>
            <rFont val="Calibri"/>
            <family val="2"/>
            <scheme val="minor"/>
          </rPr>
          <t>Introduzca la fecha de inicio del proceso, en formato dd-mm-aaaa</t>
        </r>
      </text>
    </comment>
    <comment ref="F3698" authorId="1" shapeId="0" xr:uid="{00000000-0006-0000-0100-0000090E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99" authorId="1" shapeId="0" xr:uid="{00000000-0006-0000-0100-00000A0E0000}">
      <text/>
    </comment>
    <comment ref="C3700" authorId="1" shapeId="0" xr:uid="{00000000-0006-0000-0100-0000080E0000}">
      <text>
        <r>
          <rPr>
            <sz val="11"/>
            <color theme="1"/>
            <rFont val="Calibri"/>
            <family val="2"/>
            <scheme val="minor"/>
          </rPr>
          <t>Introduzca la fecha prevista de adjudicación, en formato dd-mm-aaaa</t>
        </r>
      </text>
    </comment>
    <comment ref="F3700" authorId="1" shapeId="0" xr:uid="{00000000-0006-0000-0100-00000B0E0000}">
      <text/>
    </comment>
    <comment ref="F3701" authorId="1" shapeId="0" xr:uid="{00000000-0006-0000-0100-00000C0E0000}">
      <text/>
    </comment>
    <comment ref="A3703" authorId="1" shapeId="0" xr:uid="{00000000-0006-0000-0100-00000D0E0000}">
      <text>
        <r>
          <rPr>
            <sz val="11"/>
            <color theme="1"/>
            <rFont val="Calibri"/>
            <family val="2"/>
            <scheme val="minor"/>
          </rPr>
          <t>Introduzca un codigo UNSPSC</t>
        </r>
      </text>
    </comment>
    <comment ref="B3703" authorId="1" shapeId="0" xr:uid="{00000000-0006-0000-0100-00000E0E0000}">
      <text>
        <r>
          <rPr>
            <sz val="11"/>
            <color theme="1"/>
            <rFont val="Calibri"/>
            <family val="2"/>
            <scheme val="minor"/>
          </rPr>
          <t>Descripción calculada automáticamente a partir de código del artículo</t>
        </r>
      </text>
    </comment>
    <comment ref="C3703" authorId="1" shapeId="0" xr:uid="{00000000-0006-0000-0100-00000F0E0000}">
      <text>
        <r>
          <rPr>
            <sz val="11"/>
            <color theme="1"/>
            <rFont val="Calibri"/>
            <family val="2"/>
            <scheme val="minor"/>
          </rPr>
          <t>Seleccione un valor de la lista</t>
        </r>
      </text>
    </comment>
    <comment ref="D3703" authorId="1" shapeId="0" xr:uid="{00000000-0006-0000-0100-0000100E0000}">
      <text>
        <r>
          <rPr>
            <sz val="11"/>
            <color theme="1"/>
            <rFont val="Calibri"/>
            <family val="2"/>
            <scheme val="minor"/>
          </rPr>
          <t>Introduzca un número con dos decimales como máximo. Debe ser igual o mayor a la "Cantidad Real Consumida"</t>
        </r>
      </text>
    </comment>
    <comment ref="E3703" authorId="1" shapeId="0" xr:uid="{00000000-0006-0000-0100-0000110E0000}">
      <text>
        <r>
          <rPr>
            <sz val="11"/>
            <color theme="1"/>
            <rFont val="Calibri"/>
            <family val="2"/>
            <scheme val="minor"/>
          </rPr>
          <t>Introduzca un número con dos decimales como máximo</t>
        </r>
      </text>
    </comment>
    <comment ref="F3703" authorId="1" shapeId="0" xr:uid="{00000000-0006-0000-0100-0000120E0000}">
      <text>
        <r>
          <rPr>
            <sz val="11"/>
            <color theme="1"/>
            <rFont val="Calibri"/>
            <family val="2"/>
            <scheme val="minor"/>
          </rPr>
          <t>Monto calculado automáticamente por el sistema</t>
        </r>
      </text>
    </comment>
    <comment ref="A3711" authorId="1" shapeId="0" xr:uid="{00000000-0006-0000-0100-0000130E0000}">
      <text>
        <r>
          <rPr>
            <sz val="11"/>
            <color theme="1"/>
            <rFont val="Calibri"/>
            <family val="2"/>
            <scheme val="minor"/>
          </rPr>
          <t>Introducir un texto con el nombre o referencia de la contratación</t>
        </r>
      </text>
    </comment>
    <comment ref="B3711" authorId="1" shapeId="0" xr:uid="{00000000-0006-0000-0100-0000140E0000}">
      <text>
        <r>
          <rPr>
            <sz val="11"/>
            <color theme="1"/>
            <rFont val="Calibri"/>
            <family val="2"/>
            <scheme val="minor"/>
          </rPr>
          <t>Introduzca un texto con la finalidad de la contratación</t>
        </r>
      </text>
    </comment>
    <comment ref="C3711" authorId="1" shapeId="0" xr:uid="{00000000-0006-0000-0100-0000150E0000}">
      <text>
        <r>
          <rPr>
            <sz val="11"/>
            <color theme="1"/>
            <rFont val="Calibri"/>
            <family val="2"/>
            <scheme val="minor"/>
          </rPr>
          <t>Seleccionar un valor del listado</t>
        </r>
      </text>
    </comment>
    <comment ref="D3711" authorId="1" shapeId="0" xr:uid="{00000000-0006-0000-0100-0000160E0000}">
      <text>
        <r>
          <rPr>
            <sz val="11"/>
            <color theme="1"/>
            <rFont val="Calibri"/>
            <family val="2"/>
            <scheme val="minor"/>
          </rPr>
          <t>Seleccione el tipo de procedimiento</t>
        </r>
      </text>
    </comment>
    <comment ref="E3711" authorId="1" shapeId="0" xr:uid="{00000000-0006-0000-0100-0000170E0000}">
      <text>
        <r>
          <rPr>
            <sz val="11"/>
            <color theme="1"/>
            <rFont val="Calibri"/>
            <family val="2"/>
            <scheme val="minor"/>
          </rPr>
          <t>Seleccione un valor de la lista</t>
        </r>
      </text>
    </comment>
    <comment ref="F3711" authorId="1" shapeId="0" xr:uid="{00000000-0006-0000-0100-0000180E0000}">
      <text>
        <r>
          <rPr>
            <sz val="11"/>
            <color theme="1"/>
            <rFont val="Calibri"/>
            <family val="2"/>
            <scheme val="minor"/>
          </rPr>
          <t>Introduzca el código SNIP</t>
        </r>
      </text>
    </comment>
    <comment ref="C3712" authorId="1" shapeId="0" xr:uid="{00000000-0006-0000-0100-0000190E0000}">
      <text>
        <r>
          <rPr>
            <sz val="11"/>
            <color theme="1"/>
            <rFont val="Calibri"/>
            <family val="2"/>
            <scheme val="minor"/>
          </rPr>
          <t>Introduzca la fecha de inicio del proceso, en formato dd-mm-aaaa</t>
        </r>
      </text>
    </comment>
    <comment ref="F3712" authorId="1" shapeId="0" xr:uid="{00000000-0006-0000-0100-00001B0E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13" authorId="1" shapeId="0" xr:uid="{00000000-0006-0000-0100-00001C0E0000}">
      <text/>
    </comment>
    <comment ref="C3714" authorId="1" shapeId="0" xr:uid="{00000000-0006-0000-0100-00001A0E0000}">
      <text>
        <r>
          <rPr>
            <sz val="11"/>
            <color theme="1"/>
            <rFont val="Calibri"/>
            <family val="2"/>
            <scheme val="minor"/>
          </rPr>
          <t>Introduzca la fecha prevista de adjudicación, en formato dd-mm-aaaa</t>
        </r>
      </text>
    </comment>
    <comment ref="F3714" authorId="1" shapeId="0" xr:uid="{00000000-0006-0000-0100-00001D0E0000}">
      <text/>
    </comment>
    <comment ref="F3715" authorId="1" shapeId="0" xr:uid="{00000000-0006-0000-0100-00001E0E0000}">
      <text/>
    </comment>
    <comment ref="A3717" authorId="1" shapeId="0" xr:uid="{00000000-0006-0000-0100-00001F0E0000}">
      <text>
        <r>
          <rPr>
            <sz val="11"/>
            <color theme="1"/>
            <rFont val="Calibri"/>
            <family val="2"/>
            <scheme val="minor"/>
          </rPr>
          <t>Introduzca un codigo UNSPSC</t>
        </r>
      </text>
    </comment>
    <comment ref="B3717" authorId="1" shapeId="0" xr:uid="{00000000-0006-0000-0100-0000200E0000}">
      <text>
        <r>
          <rPr>
            <sz val="11"/>
            <color theme="1"/>
            <rFont val="Calibri"/>
            <family val="2"/>
            <scheme val="minor"/>
          </rPr>
          <t>Descripción calculada automáticamente a partir de código del artículo</t>
        </r>
      </text>
    </comment>
    <comment ref="C3717" authorId="1" shapeId="0" xr:uid="{00000000-0006-0000-0100-0000210E0000}">
      <text>
        <r>
          <rPr>
            <sz val="11"/>
            <color theme="1"/>
            <rFont val="Calibri"/>
            <family val="2"/>
            <scheme val="minor"/>
          </rPr>
          <t>Seleccione un valor de la lista</t>
        </r>
      </text>
    </comment>
    <comment ref="D3717" authorId="1" shapeId="0" xr:uid="{00000000-0006-0000-0100-0000220E0000}">
      <text>
        <r>
          <rPr>
            <sz val="11"/>
            <color theme="1"/>
            <rFont val="Calibri"/>
            <family val="2"/>
            <scheme val="minor"/>
          </rPr>
          <t>Introduzca un número con dos decimales como máximo. Debe ser igual o mayor a la "Cantidad Real Consumida"</t>
        </r>
      </text>
    </comment>
    <comment ref="E3717" authorId="1" shapeId="0" xr:uid="{00000000-0006-0000-0100-0000230E0000}">
      <text>
        <r>
          <rPr>
            <sz val="11"/>
            <color theme="1"/>
            <rFont val="Calibri"/>
            <family val="2"/>
            <scheme val="minor"/>
          </rPr>
          <t>Introduzca un número con dos decimales como máximo</t>
        </r>
      </text>
    </comment>
    <comment ref="F3717" authorId="1" shapeId="0" xr:uid="{00000000-0006-0000-0100-0000240E0000}">
      <text>
        <r>
          <rPr>
            <sz val="11"/>
            <color theme="1"/>
            <rFont val="Calibri"/>
            <family val="2"/>
            <scheme val="minor"/>
          </rPr>
          <t>Monto calculado automáticamente por el sistema</t>
        </r>
      </text>
    </comment>
    <comment ref="A3764" authorId="1" shapeId="0" xr:uid="{00000000-0006-0000-0100-0000250E0000}">
      <text>
        <r>
          <rPr>
            <sz val="11"/>
            <color theme="1"/>
            <rFont val="Calibri"/>
            <family val="2"/>
            <scheme val="minor"/>
          </rPr>
          <t>Introducir un texto con el nombre o referencia de la contratación</t>
        </r>
      </text>
    </comment>
    <comment ref="B3764" authorId="1" shapeId="0" xr:uid="{00000000-0006-0000-0100-0000260E0000}">
      <text>
        <r>
          <rPr>
            <sz val="11"/>
            <color theme="1"/>
            <rFont val="Calibri"/>
            <family val="2"/>
            <scheme val="minor"/>
          </rPr>
          <t>Introduzca un texto con la finalidad de la contratación</t>
        </r>
      </text>
    </comment>
    <comment ref="C3764" authorId="1" shapeId="0" xr:uid="{00000000-0006-0000-0100-0000270E0000}">
      <text>
        <r>
          <rPr>
            <sz val="11"/>
            <color theme="1"/>
            <rFont val="Calibri"/>
            <family val="2"/>
            <scheme val="minor"/>
          </rPr>
          <t>Seleccionar un valor del listado</t>
        </r>
      </text>
    </comment>
    <comment ref="D3764" authorId="1" shapeId="0" xr:uid="{00000000-0006-0000-0100-0000280E0000}">
      <text>
        <r>
          <rPr>
            <sz val="11"/>
            <color theme="1"/>
            <rFont val="Calibri"/>
            <family val="2"/>
            <scheme val="minor"/>
          </rPr>
          <t>Seleccione el tipo de procedimiento</t>
        </r>
      </text>
    </comment>
    <comment ref="E3764" authorId="1" shapeId="0" xr:uid="{00000000-0006-0000-0100-0000290E0000}">
      <text>
        <r>
          <rPr>
            <sz val="11"/>
            <color theme="1"/>
            <rFont val="Calibri"/>
            <family val="2"/>
            <scheme val="minor"/>
          </rPr>
          <t>Seleccione un valor de la lista</t>
        </r>
      </text>
    </comment>
    <comment ref="F3764" authorId="1" shapeId="0" xr:uid="{00000000-0006-0000-0100-00002A0E0000}">
      <text>
        <r>
          <rPr>
            <sz val="11"/>
            <color theme="1"/>
            <rFont val="Calibri"/>
            <family val="2"/>
            <scheme val="minor"/>
          </rPr>
          <t>Introduzca el código SNIP</t>
        </r>
      </text>
    </comment>
    <comment ref="C3765" authorId="1" shapeId="0" xr:uid="{00000000-0006-0000-0100-00002B0E0000}">
      <text>
        <r>
          <rPr>
            <sz val="11"/>
            <color theme="1"/>
            <rFont val="Calibri"/>
            <family val="2"/>
            <scheme val="minor"/>
          </rPr>
          <t>Introduzca la fecha de inicio del proceso, en formato dd-mm-aaaa</t>
        </r>
      </text>
    </comment>
    <comment ref="F3765" authorId="1" shapeId="0" xr:uid="{00000000-0006-0000-0100-00002D0E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66" authorId="1" shapeId="0" xr:uid="{00000000-0006-0000-0100-00002E0E0000}">
      <text/>
    </comment>
    <comment ref="C3767" authorId="1" shapeId="0" xr:uid="{00000000-0006-0000-0100-00002C0E0000}">
      <text>
        <r>
          <rPr>
            <sz val="11"/>
            <color theme="1"/>
            <rFont val="Calibri"/>
            <family val="2"/>
            <scheme val="minor"/>
          </rPr>
          <t>Introduzca la fecha prevista de adjudicación, en formato dd-mm-aaaa</t>
        </r>
      </text>
    </comment>
    <comment ref="F3767" authorId="1" shapeId="0" xr:uid="{00000000-0006-0000-0100-00002F0E0000}">
      <text/>
    </comment>
    <comment ref="F3768" authorId="1" shapeId="0" xr:uid="{00000000-0006-0000-0100-0000300E0000}">
      <text/>
    </comment>
    <comment ref="A3770" authorId="1" shapeId="0" xr:uid="{00000000-0006-0000-0100-0000310E0000}">
      <text>
        <r>
          <rPr>
            <sz val="11"/>
            <color theme="1"/>
            <rFont val="Calibri"/>
            <family val="2"/>
            <scheme val="minor"/>
          </rPr>
          <t>Introduzca un codigo UNSPSC</t>
        </r>
      </text>
    </comment>
    <comment ref="B3770" authorId="1" shapeId="0" xr:uid="{00000000-0006-0000-0100-0000320E0000}">
      <text>
        <r>
          <rPr>
            <sz val="11"/>
            <color theme="1"/>
            <rFont val="Calibri"/>
            <family val="2"/>
            <scheme val="minor"/>
          </rPr>
          <t>Descripción calculada automáticamente a partir de código del artículo</t>
        </r>
      </text>
    </comment>
    <comment ref="C3770" authorId="1" shapeId="0" xr:uid="{00000000-0006-0000-0100-0000330E0000}">
      <text>
        <r>
          <rPr>
            <sz val="11"/>
            <color theme="1"/>
            <rFont val="Calibri"/>
            <family val="2"/>
            <scheme val="minor"/>
          </rPr>
          <t>Seleccione un valor de la lista</t>
        </r>
      </text>
    </comment>
    <comment ref="D3770" authorId="1" shapeId="0" xr:uid="{00000000-0006-0000-0100-0000340E0000}">
      <text>
        <r>
          <rPr>
            <sz val="11"/>
            <color theme="1"/>
            <rFont val="Calibri"/>
            <family val="2"/>
            <scheme val="minor"/>
          </rPr>
          <t>Introduzca un número con dos decimales como máximo. Debe ser igual o mayor a la "Cantidad Real Consumida"</t>
        </r>
      </text>
    </comment>
    <comment ref="E3770" authorId="1" shapeId="0" xr:uid="{00000000-0006-0000-0100-0000350E0000}">
      <text>
        <r>
          <rPr>
            <sz val="11"/>
            <color theme="1"/>
            <rFont val="Calibri"/>
            <family val="2"/>
            <scheme val="minor"/>
          </rPr>
          <t>Introduzca un número con dos decimales como máximo</t>
        </r>
      </text>
    </comment>
    <comment ref="F3770" authorId="1" shapeId="0" xr:uid="{00000000-0006-0000-0100-0000360E0000}">
      <text>
        <r>
          <rPr>
            <sz val="11"/>
            <color theme="1"/>
            <rFont val="Calibri"/>
            <family val="2"/>
            <scheme val="minor"/>
          </rPr>
          <t>Monto calculado automáticamente por el sistema</t>
        </r>
      </text>
    </comment>
    <comment ref="A3776" authorId="1" shapeId="0" xr:uid="{00000000-0006-0000-0100-0000370E0000}">
      <text>
        <r>
          <rPr>
            <sz val="11"/>
            <color theme="1"/>
            <rFont val="Calibri"/>
            <family val="2"/>
            <scheme val="minor"/>
          </rPr>
          <t>Introducir un texto con el nombre o referencia de la contratación</t>
        </r>
      </text>
    </comment>
    <comment ref="B3776" authorId="1" shapeId="0" xr:uid="{00000000-0006-0000-0100-0000380E0000}">
      <text>
        <r>
          <rPr>
            <sz val="11"/>
            <color theme="1"/>
            <rFont val="Calibri"/>
            <family val="2"/>
            <scheme val="minor"/>
          </rPr>
          <t>Introduzca un texto con la finalidad de la contratación</t>
        </r>
      </text>
    </comment>
    <comment ref="C3776" authorId="1" shapeId="0" xr:uid="{00000000-0006-0000-0100-0000390E0000}">
      <text>
        <r>
          <rPr>
            <sz val="11"/>
            <color theme="1"/>
            <rFont val="Calibri"/>
            <family val="2"/>
            <scheme val="minor"/>
          </rPr>
          <t>Seleccionar un valor del listado</t>
        </r>
      </text>
    </comment>
    <comment ref="D3776" authorId="1" shapeId="0" xr:uid="{00000000-0006-0000-0100-00003A0E0000}">
      <text>
        <r>
          <rPr>
            <sz val="11"/>
            <color theme="1"/>
            <rFont val="Calibri"/>
            <family val="2"/>
            <scheme val="minor"/>
          </rPr>
          <t>Seleccione el tipo de procedimiento</t>
        </r>
      </text>
    </comment>
    <comment ref="E3776" authorId="1" shapeId="0" xr:uid="{00000000-0006-0000-0100-00003B0E0000}">
      <text>
        <r>
          <rPr>
            <sz val="11"/>
            <color theme="1"/>
            <rFont val="Calibri"/>
            <family val="2"/>
            <scheme val="minor"/>
          </rPr>
          <t>Seleccione un valor de la lista</t>
        </r>
      </text>
    </comment>
    <comment ref="F3776" authorId="1" shapeId="0" xr:uid="{00000000-0006-0000-0100-00003C0E0000}">
      <text>
        <r>
          <rPr>
            <sz val="11"/>
            <color theme="1"/>
            <rFont val="Calibri"/>
            <family val="2"/>
            <scheme val="minor"/>
          </rPr>
          <t>Introduzca el código SNIP</t>
        </r>
      </text>
    </comment>
    <comment ref="C3777" authorId="1" shapeId="0" xr:uid="{00000000-0006-0000-0100-00003D0E0000}">
      <text>
        <r>
          <rPr>
            <sz val="11"/>
            <color theme="1"/>
            <rFont val="Calibri"/>
            <family val="2"/>
            <scheme val="minor"/>
          </rPr>
          <t>Introduzca la fecha de inicio del proceso, en formato dd-mm-aaaa</t>
        </r>
      </text>
    </comment>
    <comment ref="F3777" authorId="1" shapeId="0" xr:uid="{00000000-0006-0000-0100-00003F0E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78" authorId="1" shapeId="0" xr:uid="{00000000-0006-0000-0100-0000400E0000}">
      <text/>
    </comment>
    <comment ref="C3779" authorId="1" shapeId="0" xr:uid="{00000000-0006-0000-0100-00003E0E0000}">
      <text>
        <r>
          <rPr>
            <sz val="11"/>
            <color theme="1"/>
            <rFont val="Calibri"/>
            <family val="2"/>
            <scheme val="minor"/>
          </rPr>
          <t>Introduzca la fecha prevista de adjudicación, en formato dd-mm-aaaa</t>
        </r>
      </text>
    </comment>
    <comment ref="F3779" authorId="1" shapeId="0" xr:uid="{00000000-0006-0000-0100-0000410E0000}">
      <text/>
    </comment>
    <comment ref="F3780" authorId="1" shapeId="0" xr:uid="{00000000-0006-0000-0100-0000420E0000}">
      <text/>
    </comment>
    <comment ref="A3782" authorId="1" shapeId="0" xr:uid="{00000000-0006-0000-0100-0000430E0000}">
      <text>
        <r>
          <rPr>
            <sz val="11"/>
            <color theme="1"/>
            <rFont val="Calibri"/>
            <family val="2"/>
            <scheme val="minor"/>
          </rPr>
          <t>Introduzca un codigo UNSPSC</t>
        </r>
      </text>
    </comment>
    <comment ref="B3782" authorId="1" shapeId="0" xr:uid="{00000000-0006-0000-0100-0000440E0000}">
      <text>
        <r>
          <rPr>
            <sz val="11"/>
            <color theme="1"/>
            <rFont val="Calibri"/>
            <family val="2"/>
            <scheme val="minor"/>
          </rPr>
          <t>Descripción calculada automáticamente a partir de código del artículo</t>
        </r>
      </text>
    </comment>
    <comment ref="C3782" authorId="1" shapeId="0" xr:uid="{00000000-0006-0000-0100-0000450E0000}">
      <text>
        <r>
          <rPr>
            <sz val="11"/>
            <color theme="1"/>
            <rFont val="Calibri"/>
            <family val="2"/>
            <scheme val="minor"/>
          </rPr>
          <t>Seleccione un valor de la lista</t>
        </r>
      </text>
    </comment>
    <comment ref="D3782" authorId="1" shapeId="0" xr:uid="{00000000-0006-0000-0100-0000460E0000}">
      <text>
        <r>
          <rPr>
            <sz val="11"/>
            <color theme="1"/>
            <rFont val="Calibri"/>
            <family val="2"/>
            <scheme val="minor"/>
          </rPr>
          <t>Introduzca un número con dos decimales como máximo. Debe ser igual o mayor a la "Cantidad Real Consumida"</t>
        </r>
      </text>
    </comment>
    <comment ref="E3782" authorId="1" shapeId="0" xr:uid="{00000000-0006-0000-0100-0000470E0000}">
      <text>
        <r>
          <rPr>
            <sz val="11"/>
            <color theme="1"/>
            <rFont val="Calibri"/>
            <family val="2"/>
            <scheme val="minor"/>
          </rPr>
          <t>Introduzca un número con dos decimales como máximo</t>
        </r>
      </text>
    </comment>
    <comment ref="F3782" authorId="1" shapeId="0" xr:uid="{00000000-0006-0000-0100-0000480E0000}">
      <text>
        <r>
          <rPr>
            <sz val="11"/>
            <color theme="1"/>
            <rFont val="Calibri"/>
            <family val="2"/>
            <scheme val="minor"/>
          </rPr>
          <t>Monto calculado automáticamente por el sistema</t>
        </r>
      </text>
    </comment>
    <comment ref="A3787" authorId="1" shapeId="0" xr:uid="{00000000-0006-0000-0100-0000490E0000}">
      <text>
        <r>
          <rPr>
            <sz val="11"/>
            <color theme="1"/>
            <rFont val="Calibri"/>
            <family val="2"/>
            <scheme val="minor"/>
          </rPr>
          <t>Introducir un texto con el nombre o referencia de la contratación</t>
        </r>
      </text>
    </comment>
    <comment ref="B3787" authorId="1" shapeId="0" xr:uid="{00000000-0006-0000-0100-00004A0E0000}">
      <text>
        <r>
          <rPr>
            <sz val="11"/>
            <color theme="1"/>
            <rFont val="Calibri"/>
            <family val="2"/>
            <scheme val="minor"/>
          </rPr>
          <t>Introduzca un texto con la finalidad de la contratación</t>
        </r>
      </text>
    </comment>
    <comment ref="C3787" authorId="1" shapeId="0" xr:uid="{00000000-0006-0000-0100-00004B0E0000}">
      <text>
        <r>
          <rPr>
            <sz val="11"/>
            <color theme="1"/>
            <rFont val="Calibri"/>
            <family val="2"/>
            <scheme val="minor"/>
          </rPr>
          <t>Seleccionar un valor del listado</t>
        </r>
      </text>
    </comment>
    <comment ref="D3787" authorId="1" shapeId="0" xr:uid="{00000000-0006-0000-0100-00004C0E0000}">
      <text>
        <r>
          <rPr>
            <sz val="11"/>
            <color theme="1"/>
            <rFont val="Calibri"/>
            <family val="2"/>
            <scheme val="minor"/>
          </rPr>
          <t>Seleccione el tipo de procedimiento</t>
        </r>
      </text>
    </comment>
    <comment ref="E3787" authorId="1" shapeId="0" xr:uid="{00000000-0006-0000-0100-00004D0E0000}">
      <text>
        <r>
          <rPr>
            <sz val="11"/>
            <color theme="1"/>
            <rFont val="Calibri"/>
            <family val="2"/>
            <scheme val="minor"/>
          </rPr>
          <t>Seleccione un valor de la lista</t>
        </r>
      </text>
    </comment>
    <comment ref="F3787" authorId="1" shapeId="0" xr:uid="{00000000-0006-0000-0100-00004E0E0000}">
      <text>
        <r>
          <rPr>
            <sz val="11"/>
            <color theme="1"/>
            <rFont val="Calibri"/>
            <family val="2"/>
            <scheme val="minor"/>
          </rPr>
          <t>Introduzca el código SNIP</t>
        </r>
      </text>
    </comment>
    <comment ref="C3788" authorId="1" shapeId="0" xr:uid="{00000000-0006-0000-0100-00004F0E0000}">
      <text>
        <r>
          <rPr>
            <sz val="11"/>
            <color theme="1"/>
            <rFont val="Calibri"/>
            <family val="2"/>
            <scheme val="minor"/>
          </rPr>
          <t>Introduzca la fecha de inicio del proceso, en formato dd-mm-aaaa</t>
        </r>
      </text>
    </comment>
    <comment ref="F3788" authorId="1" shapeId="0" xr:uid="{00000000-0006-0000-0100-0000510E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89" authorId="1" shapeId="0" xr:uid="{00000000-0006-0000-0100-0000520E0000}">
      <text/>
    </comment>
    <comment ref="C3790" authorId="1" shapeId="0" xr:uid="{00000000-0006-0000-0100-0000500E0000}">
      <text>
        <r>
          <rPr>
            <sz val="11"/>
            <color theme="1"/>
            <rFont val="Calibri"/>
            <family val="2"/>
            <scheme val="minor"/>
          </rPr>
          <t>Introduzca la fecha prevista de adjudicación, en formato dd-mm-aaaa</t>
        </r>
      </text>
    </comment>
    <comment ref="F3790" authorId="1" shapeId="0" xr:uid="{00000000-0006-0000-0100-0000530E0000}">
      <text/>
    </comment>
    <comment ref="F3791" authorId="1" shapeId="0" xr:uid="{00000000-0006-0000-0100-0000540E0000}">
      <text/>
    </comment>
    <comment ref="A3793" authorId="1" shapeId="0" xr:uid="{00000000-0006-0000-0100-0000550E0000}">
      <text>
        <r>
          <rPr>
            <sz val="11"/>
            <color theme="1"/>
            <rFont val="Calibri"/>
            <family val="2"/>
            <scheme val="minor"/>
          </rPr>
          <t>Introduzca un codigo UNSPSC</t>
        </r>
      </text>
    </comment>
    <comment ref="B3793" authorId="1" shapeId="0" xr:uid="{00000000-0006-0000-0100-0000560E0000}">
      <text>
        <r>
          <rPr>
            <sz val="11"/>
            <color theme="1"/>
            <rFont val="Calibri"/>
            <family val="2"/>
            <scheme val="minor"/>
          </rPr>
          <t>Descripción calculada automáticamente a partir de código del artículo</t>
        </r>
      </text>
    </comment>
    <comment ref="C3793" authorId="1" shapeId="0" xr:uid="{00000000-0006-0000-0100-0000570E0000}">
      <text>
        <r>
          <rPr>
            <sz val="11"/>
            <color theme="1"/>
            <rFont val="Calibri"/>
            <family val="2"/>
            <scheme val="minor"/>
          </rPr>
          <t>Seleccione un valor de la lista</t>
        </r>
      </text>
    </comment>
    <comment ref="D3793" authorId="1" shapeId="0" xr:uid="{00000000-0006-0000-0100-0000580E0000}">
      <text>
        <r>
          <rPr>
            <sz val="11"/>
            <color theme="1"/>
            <rFont val="Calibri"/>
            <family val="2"/>
            <scheme val="minor"/>
          </rPr>
          <t>Introduzca un número con dos decimales como máximo. Debe ser igual o mayor a la "Cantidad Real Consumida"</t>
        </r>
      </text>
    </comment>
    <comment ref="E3793" authorId="1" shapeId="0" xr:uid="{00000000-0006-0000-0100-0000590E0000}">
      <text>
        <r>
          <rPr>
            <sz val="11"/>
            <color theme="1"/>
            <rFont val="Calibri"/>
            <family val="2"/>
            <scheme val="minor"/>
          </rPr>
          <t>Introduzca un número con dos decimales como máximo</t>
        </r>
      </text>
    </comment>
    <comment ref="F3793" authorId="1" shapeId="0" xr:uid="{00000000-0006-0000-0100-00005A0E0000}">
      <text>
        <r>
          <rPr>
            <sz val="11"/>
            <color theme="1"/>
            <rFont val="Calibri"/>
            <family val="2"/>
            <scheme val="minor"/>
          </rPr>
          <t>Monto calculado automáticamente por el sistema</t>
        </r>
      </text>
    </comment>
    <comment ref="A3798" authorId="1" shapeId="0" xr:uid="{00000000-0006-0000-0100-00005B0E0000}">
      <text>
        <r>
          <rPr>
            <sz val="11"/>
            <color theme="1"/>
            <rFont val="Calibri"/>
            <family val="2"/>
            <scheme val="minor"/>
          </rPr>
          <t>Introducir un texto con el nombre o referencia de la contratación</t>
        </r>
      </text>
    </comment>
    <comment ref="B3798" authorId="1" shapeId="0" xr:uid="{00000000-0006-0000-0100-00005C0E0000}">
      <text>
        <r>
          <rPr>
            <sz val="11"/>
            <color theme="1"/>
            <rFont val="Calibri"/>
            <family val="2"/>
            <scheme val="minor"/>
          </rPr>
          <t>Introduzca un texto con la finalidad de la contratación</t>
        </r>
      </text>
    </comment>
    <comment ref="C3798" authorId="1" shapeId="0" xr:uid="{00000000-0006-0000-0100-00005D0E0000}">
      <text>
        <r>
          <rPr>
            <sz val="11"/>
            <color theme="1"/>
            <rFont val="Calibri"/>
            <family val="2"/>
            <scheme val="minor"/>
          </rPr>
          <t>Seleccionar un valor del listado</t>
        </r>
      </text>
    </comment>
    <comment ref="D3798" authorId="1" shapeId="0" xr:uid="{00000000-0006-0000-0100-00005E0E0000}">
      <text>
        <r>
          <rPr>
            <sz val="11"/>
            <color theme="1"/>
            <rFont val="Calibri"/>
            <family val="2"/>
            <scheme val="minor"/>
          </rPr>
          <t>Seleccione el tipo de procedimiento</t>
        </r>
      </text>
    </comment>
    <comment ref="E3798" authorId="1" shapeId="0" xr:uid="{00000000-0006-0000-0100-00005F0E0000}">
      <text>
        <r>
          <rPr>
            <sz val="11"/>
            <color theme="1"/>
            <rFont val="Calibri"/>
            <family val="2"/>
            <scheme val="minor"/>
          </rPr>
          <t>Seleccione un valor de la lista</t>
        </r>
      </text>
    </comment>
    <comment ref="F3798" authorId="1" shapeId="0" xr:uid="{00000000-0006-0000-0100-0000600E0000}">
      <text>
        <r>
          <rPr>
            <sz val="11"/>
            <color theme="1"/>
            <rFont val="Calibri"/>
            <family val="2"/>
            <scheme val="minor"/>
          </rPr>
          <t>Introduzca el código SNIP</t>
        </r>
      </text>
    </comment>
    <comment ref="C3799" authorId="1" shapeId="0" xr:uid="{00000000-0006-0000-0100-0000610E0000}">
      <text>
        <r>
          <rPr>
            <sz val="11"/>
            <color theme="1"/>
            <rFont val="Calibri"/>
            <family val="2"/>
            <scheme val="minor"/>
          </rPr>
          <t>Introduzca la fecha de inicio del proceso, en formato dd-mm-aaaa</t>
        </r>
      </text>
    </comment>
    <comment ref="F3799" authorId="1" shapeId="0" xr:uid="{00000000-0006-0000-0100-0000630E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00" authorId="1" shapeId="0" xr:uid="{00000000-0006-0000-0100-0000640E0000}">
      <text/>
    </comment>
    <comment ref="C3801" authorId="1" shapeId="0" xr:uid="{00000000-0006-0000-0100-0000620E0000}">
      <text>
        <r>
          <rPr>
            <sz val="11"/>
            <color theme="1"/>
            <rFont val="Calibri"/>
            <family val="2"/>
            <scheme val="minor"/>
          </rPr>
          <t>Introduzca la fecha prevista de adjudicación, en formato dd-mm-aaaa</t>
        </r>
      </text>
    </comment>
    <comment ref="F3801" authorId="1" shapeId="0" xr:uid="{00000000-0006-0000-0100-0000650E0000}">
      <text/>
    </comment>
    <comment ref="F3802" authorId="1" shapeId="0" xr:uid="{00000000-0006-0000-0100-0000660E0000}">
      <text/>
    </comment>
    <comment ref="A3804" authorId="1" shapeId="0" xr:uid="{00000000-0006-0000-0100-0000670E0000}">
      <text>
        <r>
          <rPr>
            <sz val="11"/>
            <color theme="1"/>
            <rFont val="Calibri"/>
            <family val="2"/>
            <scheme val="minor"/>
          </rPr>
          <t>Introduzca un codigo UNSPSC</t>
        </r>
      </text>
    </comment>
    <comment ref="B3804" authorId="1" shapeId="0" xr:uid="{00000000-0006-0000-0100-0000680E0000}">
      <text>
        <r>
          <rPr>
            <sz val="11"/>
            <color theme="1"/>
            <rFont val="Calibri"/>
            <family val="2"/>
            <scheme val="minor"/>
          </rPr>
          <t>Descripción calculada automáticamente a partir de código del artículo</t>
        </r>
      </text>
    </comment>
    <comment ref="C3804" authorId="1" shapeId="0" xr:uid="{00000000-0006-0000-0100-0000690E0000}">
      <text>
        <r>
          <rPr>
            <sz val="11"/>
            <color theme="1"/>
            <rFont val="Calibri"/>
            <family val="2"/>
            <scheme val="minor"/>
          </rPr>
          <t>Seleccione un valor de la lista</t>
        </r>
      </text>
    </comment>
    <comment ref="D3804" authorId="1" shapeId="0" xr:uid="{00000000-0006-0000-0100-00006A0E0000}">
      <text>
        <r>
          <rPr>
            <sz val="11"/>
            <color theme="1"/>
            <rFont val="Calibri"/>
            <family val="2"/>
            <scheme val="minor"/>
          </rPr>
          <t>Introduzca un número con dos decimales como máximo. Debe ser igual o mayor a la "Cantidad Real Consumida"</t>
        </r>
      </text>
    </comment>
    <comment ref="E3804" authorId="1" shapeId="0" xr:uid="{00000000-0006-0000-0100-00006B0E0000}">
      <text>
        <r>
          <rPr>
            <sz val="11"/>
            <color theme="1"/>
            <rFont val="Calibri"/>
            <family val="2"/>
            <scheme val="minor"/>
          </rPr>
          <t>Introduzca un número con dos decimales como máximo</t>
        </r>
      </text>
    </comment>
    <comment ref="F3804" authorId="1" shapeId="0" xr:uid="{00000000-0006-0000-0100-00006C0E0000}">
      <text>
        <r>
          <rPr>
            <sz val="11"/>
            <color theme="1"/>
            <rFont val="Calibri"/>
            <family val="2"/>
            <scheme val="minor"/>
          </rPr>
          <t>Monto calculado automáticamente por el sistema</t>
        </r>
      </text>
    </comment>
    <comment ref="A3810" authorId="1" shapeId="0" xr:uid="{00000000-0006-0000-0100-00006D0E0000}">
      <text>
        <r>
          <rPr>
            <sz val="11"/>
            <color theme="1"/>
            <rFont val="Calibri"/>
            <family val="2"/>
            <scheme val="minor"/>
          </rPr>
          <t>Introducir un texto con el nombre o referencia de la contratación</t>
        </r>
      </text>
    </comment>
    <comment ref="B3810" authorId="1" shapeId="0" xr:uid="{00000000-0006-0000-0100-00006E0E0000}">
      <text>
        <r>
          <rPr>
            <sz val="11"/>
            <color theme="1"/>
            <rFont val="Calibri"/>
            <family val="2"/>
            <scheme val="minor"/>
          </rPr>
          <t>Introduzca un texto con la finalidad de la contratación</t>
        </r>
      </text>
    </comment>
    <comment ref="C3810" authorId="1" shapeId="0" xr:uid="{00000000-0006-0000-0100-00006F0E0000}">
      <text>
        <r>
          <rPr>
            <sz val="11"/>
            <color theme="1"/>
            <rFont val="Calibri"/>
            <family val="2"/>
            <scheme val="minor"/>
          </rPr>
          <t>Seleccionar un valor del listado</t>
        </r>
      </text>
    </comment>
    <comment ref="D3810" authorId="1" shapeId="0" xr:uid="{00000000-0006-0000-0100-0000700E0000}">
      <text>
        <r>
          <rPr>
            <sz val="11"/>
            <color theme="1"/>
            <rFont val="Calibri"/>
            <family val="2"/>
            <scheme val="minor"/>
          </rPr>
          <t>Seleccione el tipo de procedimiento</t>
        </r>
      </text>
    </comment>
    <comment ref="E3810" authorId="1" shapeId="0" xr:uid="{00000000-0006-0000-0100-0000710E0000}">
      <text>
        <r>
          <rPr>
            <sz val="11"/>
            <color theme="1"/>
            <rFont val="Calibri"/>
            <family val="2"/>
            <scheme val="minor"/>
          </rPr>
          <t>Seleccione un valor de la lista</t>
        </r>
      </text>
    </comment>
    <comment ref="F3810" authorId="1" shapeId="0" xr:uid="{00000000-0006-0000-0100-0000720E0000}">
      <text>
        <r>
          <rPr>
            <sz val="11"/>
            <color theme="1"/>
            <rFont val="Calibri"/>
            <family val="2"/>
            <scheme val="minor"/>
          </rPr>
          <t>Introduzca el código SNIP</t>
        </r>
      </text>
    </comment>
    <comment ref="C3811" authorId="1" shapeId="0" xr:uid="{00000000-0006-0000-0100-0000730E0000}">
      <text>
        <r>
          <rPr>
            <sz val="11"/>
            <color theme="1"/>
            <rFont val="Calibri"/>
            <family val="2"/>
            <scheme val="minor"/>
          </rPr>
          <t>Introduzca la fecha de inicio del proceso, en formato dd-mm-aaaa</t>
        </r>
      </text>
    </comment>
    <comment ref="F3811" authorId="1" shapeId="0" xr:uid="{00000000-0006-0000-0100-0000750E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12" authorId="1" shapeId="0" xr:uid="{00000000-0006-0000-0100-0000760E0000}">
      <text/>
    </comment>
    <comment ref="C3813" authorId="1" shapeId="0" xr:uid="{00000000-0006-0000-0100-0000740E0000}">
      <text>
        <r>
          <rPr>
            <sz val="11"/>
            <color theme="1"/>
            <rFont val="Calibri"/>
            <family val="2"/>
            <scheme val="minor"/>
          </rPr>
          <t>Introduzca la fecha prevista de adjudicación, en formato dd-mm-aaaa</t>
        </r>
      </text>
    </comment>
    <comment ref="F3813" authorId="1" shapeId="0" xr:uid="{00000000-0006-0000-0100-0000770E0000}">
      <text/>
    </comment>
    <comment ref="F3814" authorId="1" shapeId="0" xr:uid="{00000000-0006-0000-0100-0000780E0000}">
      <text/>
    </comment>
    <comment ref="A3816" authorId="1" shapeId="0" xr:uid="{00000000-0006-0000-0100-0000790E0000}">
      <text>
        <r>
          <rPr>
            <sz val="11"/>
            <color theme="1"/>
            <rFont val="Calibri"/>
            <family val="2"/>
            <scheme val="minor"/>
          </rPr>
          <t>Introduzca un codigo UNSPSC</t>
        </r>
      </text>
    </comment>
    <comment ref="B3816" authorId="1" shapeId="0" xr:uid="{00000000-0006-0000-0100-00007A0E0000}">
      <text>
        <r>
          <rPr>
            <sz val="11"/>
            <color theme="1"/>
            <rFont val="Calibri"/>
            <family val="2"/>
            <scheme val="minor"/>
          </rPr>
          <t>Descripción calculada automáticamente a partir de código del artículo</t>
        </r>
      </text>
    </comment>
    <comment ref="C3816" authorId="1" shapeId="0" xr:uid="{00000000-0006-0000-0100-00007B0E0000}">
      <text>
        <r>
          <rPr>
            <sz val="11"/>
            <color theme="1"/>
            <rFont val="Calibri"/>
            <family val="2"/>
            <scheme val="minor"/>
          </rPr>
          <t>Seleccione un valor de la lista</t>
        </r>
      </text>
    </comment>
    <comment ref="D3816" authorId="1" shapeId="0" xr:uid="{00000000-0006-0000-0100-00007C0E0000}">
      <text>
        <r>
          <rPr>
            <sz val="11"/>
            <color theme="1"/>
            <rFont val="Calibri"/>
            <family val="2"/>
            <scheme val="minor"/>
          </rPr>
          <t>Introduzca un número con dos decimales como máximo. Debe ser igual o mayor a la "Cantidad Real Consumida"</t>
        </r>
      </text>
    </comment>
    <comment ref="E3816" authorId="1" shapeId="0" xr:uid="{00000000-0006-0000-0100-00007D0E0000}">
      <text>
        <r>
          <rPr>
            <sz val="11"/>
            <color theme="1"/>
            <rFont val="Calibri"/>
            <family val="2"/>
            <scheme val="minor"/>
          </rPr>
          <t>Introduzca un número con dos decimales como máximo</t>
        </r>
      </text>
    </comment>
    <comment ref="F3816" authorId="1" shapeId="0" xr:uid="{00000000-0006-0000-0100-00007E0E0000}">
      <text>
        <r>
          <rPr>
            <sz val="11"/>
            <color theme="1"/>
            <rFont val="Calibri"/>
            <family val="2"/>
            <scheme val="minor"/>
          </rPr>
          <t>Monto calculado automáticamente por el sistema</t>
        </r>
      </text>
    </comment>
    <comment ref="A3821" authorId="1" shapeId="0" xr:uid="{00000000-0006-0000-0100-00007F0E0000}">
      <text>
        <r>
          <rPr>
            <sz val="11"/>
            <color theme="1"/>
            <rFont val="Calibri"/>
            <family val="2"/>
            <scheme val="minor"/>
          </rPr>
          <t>Introducir un texto con el nombre o referencia de la contratación</t>
        </r>
      </text>
    </comment>
    <comment ref="B3821" authorId="1" shapeId="0" xr:uid="{00000000-0006-0000-0100-0000800E0000}">
      <text>
        <r>
          <rPr>
            <sz val="11"/>
            <color theme="1"/>
            <rFont val="Calibri"/>
            <family val="2"/>
            <scheme val="minor"/>
          </rPr>
          <t>Introduzca un texto con la finalidad de la contratación</t>
        </r>
      </text>
    </comment>
    <comment ref="C3821" authorId="1" shapeId="0" xr:uid="{00000000-0006-0000-0100-0000810E0000}">
      <text>
        <r>
          <rPr>
            <sz val="11"/>
            <color theme="1"/>
            <rFont val="Calibri"/>
            <family val="2"/>
            <scheme val="minor"/>
          </rPr>
          <t>Seleccionar un valor del listado</t>
        </r>
      </text>
    </comment>
    <comment ref="D3821" authorId="1" shapeId="0" xr:uid="{00000000-0006-0000-0100-0000820E0000}">
      <text>
        <r>
          <rPr>
            <sz val="11"/>
            <color theme="1"/>
            <rFont val="Calibri"/>
            <family val="2"/>
            <scheme val="minor"/>
          </rPr>
          <t>Seleccione el tipo de procedimiento</t>
        </r>
      </text>
    </comment>
    <comment ref="E3821" authorId="1" shapeId="0" xr:uid="{00000000-0006-0000-0100-0000830E0000}">
      <text>
        <r>
          <rPr>
            <sz val="11"/>
            <color theme="1"/>
            <rFont val="Calibri"/>
            <family val="2"/>
            <scheme val="minor"/>
          </rPr>
          <t>Seleccione un valor de la lista</t>
        </r>
      </text>
    </comment>
    <comment ref="F3821" authorId="1" shapeId="0" xr:uid="{00000000-0006-0000-0100-0000840E0000}">
      <text>
        <r>
          <rPr>
            <sz val="11"/>
            <color theme="1"/>
            <rFont val="Calibri"/>
            <family val="2"/>
            <scheme val="minor"/>
          </rPr>
          <t>Introduzca el código SNIP</t>
        </r>
      </text>
    </comment>
    <comment ref="C3822" authorId="1" shapeId="0" xr:uid="{00000000-0006-0000-0100-0000850E0000}">
      <text>
        <r>
          <rPr>
            <sz val="11"/>
            <color theme="1"/>
            <rFont val="Calibri"/>
            <family val="2"/>
            <scheme val="minor"/>
          </rPr>
          <t>Introduzca la fecha de inicio del proceso, en formato dd-mm-aaaa</t>
        </r>
      </text>
    </comment>
    <comment ref="F3822" authorId="1" shapeId="0" xr:uid="{00000000-0006-0000-0100-0000870E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23" authorId="1" shapeId="0" xr:uid="{00000000-0006-0000-0100-0000880E0000}">
      <text/>
    </comment>
    <comment ref="C3824" authorId="1" shapeId="0" xr:uid="{00000000-0006-0000-0100-0000860E0000}">
      <text>
        <r>
          <rPr>
            <sz val="11"/>
            <color theme="1"/>
            <rFont val="Calibri"/>
            <family val="2"/>
            <scheme val="minor"/>
          </rPr>
          <t>Introduzca la fecha prevista de adjudicación, en formato dd-mm-aaaa</t>
        </r>
      </text>
    </comment>
    <comment ref="F3824" authorId="1" shapeId="0" xr:uid="{00000000-0006-0000-0100-0000890E0000}">
      <text/>
    </comment>
    <comment ref="F3825" authorId="1" shapeId="0" xr:uid="{00000000-0006-0000-0100-00008A0E0000}">
      <text/>
    </comment>
    <comment ref="A3827" authorId="1" shapeId="0" xr:uid="{00000000-0006-0000-0100-00008B0E0000}">
      <text>
        <r>
          <rPr>
            <sz val="11"/>
            <color theme="1"/>
            <rFont val="Calibri"/>
            <family val="2"/>
            <scheme val="minor"/>
          </rPr>
          <t>Introduzca un codigo UNSPSC</t>
        </r>
      </text>
    </comment>
    <comment ref="B3827" authorId="1" shapeId="0" xr:uid="{00000000-0006-0000-0100-00008C0E0000}">
      <text>
        <r>
          <rPr>
            <sz val="11"/>
            <color theme="1"/>
            <rFont val="Calibri"/>
            <family val="2"/>
            <scheme val="minor"/>
          </rPr>
          <t>Descripción calculada automáticamente a partir de código del artículo</t>
        </r>
      </text>
    </comment>
    <comment ref="C3827" authorId="1" shapeId="0" xr:uid="{00000000-0006-0000-0100-00008D0E0000}">
      <text>
        <r>
          <rPr>
            <sz val="11"/>
            <color theme="1"/>
            <rFont val="Calibri"/>
            <family val="2"/>
            <scheme val="minor"/>
          </rPr>
          <t>Seleccione un valor de la lista</t>
        </r>
      </text>
    </comment>
    <comment ref="D3827" authorId="1" shapeId="0" xr:uid="{00000000-0006-0000-0100-00008E0E0000}">
      <text>
        <r>
          <rPr>
            <sz val="11"/>
            <color theme="1"/>
            <rFont val="Calibri"/>
            <family val="2"/>
            <scheme val="minor"/>
          </rPr>
          <t>Introduzca un número con dos decimales como máximo. Debe ser igual o mayor a la "Cantidad Real Consumida"</t>
        </r>
      </text>
    </comment>
    <comment ref="E3827" authorId="1" shapeId="0" xr:uid="{00000000-0006-0000-0100-00008F0E0000}">
      <text>
        <r>
          <rPr>
            <sz val="11"/>
            <color theme="1"/>
            <rFont val="Calibri"/>
            <family val="2"/>
            <scheme val="minor"/>
          </rPr>
          <t>Introduzca un número con dos decimales como máximo</t>
        </r>
      </text>
    </comment>
    <comment ref="F3827" authorId="1" shapeId="0" xr:uid="{00000000-0006-0000-0100-0000900E0000}">
      <text>
        <r>
          <rPr>
            <sz val="11"/>
            <color theme="1"/>
            <rFont val="Calibri"/>
            <family val="2"/>
            <scheme val="minor"/>
          </rPr>
          <t>Monto calculado automáticamente por el sistema</t>
        </r>
      </text>
    </comment>
    <comment ref="A3851" authorId="1" shapeId="0" xr:uid="{00000000-0006-0000-0100-0000910E0000}">
      <text>
        <r>
          <rPr>
            <sz val="11"/>
            <color theme="1"/>
            <rFont val="Calibri"/>
            <family val="2"/>
            <scheme val="minor"/>
          </rPr>
          <t>Introducir un texto con el nombre o referencia de la contratación</t>
        </r>
      </text>
    </comment>
    <comment ref="B3851" authorId="1" shapeId="0" xr:uid="{00000000-0006-0000-0100-0000920E0000}">
      <text>
        <r>
          <rPr>
            <sz val="11"/>
            <color theme="1"/>
            <rFont val="Calibri"/>
            <family val="2"/>
            <scheme val="minor"/>
          </rPr>
          <t>Introduzca un texto con la finalidad de la contratación</t>
        </r>
      </text>
    </comment>
    <comment ref="C3851" authorId="1" shapeId="0" xr:uid="{00000000-0006-0000-0100-0000930E0000}">
      <text>
        <r>
          <rPr>
            <sz val="11"/>
            <color theme="1"/>
            <rFont val="Calibri"/>
            <family val="2"/>
            <scheme val="minor"/>
          </rPr>
          <t>Seleccionar un valor del listado</t>
        </r>
      </text>
    </comment>
    <comment ref="D3851" authorId="1" shapeId="0" xr:uid="{00000000-0006-0000-0100-0000940E0000}">
      <text>
        <r>
          <rPr>
            <sz val="11"/>
            <color theme="1"/>
            <rFont val="Calibri"/>
            <family val="2"/>
            <scheme val="minor"/>
          </rPr>
          <t>Seleccione el tipo de procedimiento</t>
        </r>
      </text>
    </comment>
    <comment ref="E3851" authorId="1" shapeId="0" xr:uid="{00000000-0006-0000-0100-0000950E0000}">
      <text>
        <r>
          <rPr>
            <sz val="11"/>
            <color theme="1"/>
            <rFont val="Calibri"/>
            <family val="2"/>
            <scheme val="minor"/>
          </rPr>
          <t>Seleccione un valor de la lista</t>
        </r>
      </text>
    </comment>
    <comment ref="F3851" authorId="1" shapeId="0" xr:uid="{00000000-0006-0000-0100-0000960E0000}">
      <text>
        <r>
          <rPr>
            <sz val="11"/>
            <color theme="1"/>
            <rFont val="Calibri"/>
            <family val="2"/>
            <scheme val="minor"/>
          </rPr>
          <t>Introduzca el código SNIP</t>
        </r>
      </text>
    </comment>
    <comment ref="C3852" authorId="1" shapeId="0" xr:uid="{00000000-0006-0000-0100-0000970E0000}">
      <text>
        <r>
          <rPr>
            <sz val="11"/>
            <color theme="1"/>
            <rFont val="Calibri"/>
            <family val="2"/>
            <scheme val="minor"/>
          </rPr>
          <t>Introduzca la fecha de inicio del proceso, en formato dd-mm-aaaa</t>
        </r>
      </text>
    </comment>
    <comment ref="F3852" authorId="1" shapeId="0" xr:uid="{00000000-0006-0000-0100-0000990E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53" authorId="1" shapeId="0" xr:uid="{00000000-0006-0000-0100-00009A0E0000}">
      <text/>
    </comment>
    <comment ref="C3854" authorId="1" shapeId="0" xr:uid="{00000000-0006-0000-0100-0000980E0000}">
      <text>
        <r>
          <rPr>
            <sz val="11"/>
            <color theme="1"/>
            <rFont val="Calibri"/>
            <family val="2"/>
            <scheme val="minor"/>
          </rPr>
          <t>Introduzca la fecha prevista de adjudicación, en formato dd-mm-aaaa</t>
        </r>
      </text>
    </comment>
    <comment ref="F3854" authorId="1" shapeId="0" xr:uid="{00000000-0006-0000-0100-00009B0E0000}">
      <text/>
    </comment>
    <comment ref="F3855" authorId="1" shapeId="0" xr:uid="{00000000-0006-0000-0100-00009C0E0000}">
      <text/>
    </comment>
    <comment ref="A3857" authorId="1" shapeId="0" xr:uid="{00000000-0006-0000-0100-00009D0E0000}">
      <text>
        <r>
          <rPr>
            <sz val="11"/>
            <color theme="1"/>
            <rFont val="Calibri"/>
            <family val="2"/>
            <scheme val="minor"/>
          </rPr>
          <t>Introduzca un codigo UNSPSC</t>
        </r>
      </text>
    </comment>
    <comment ref="B3857" authorId="1" shapeId="0" xr:uid="{00000000-0006-0000-0100-00009E0E0000}">
      <text>
        <r>
          <rPr>
            <sz val="11"/>
            <color theme="1"/>
            <rFont val="Calibri"/>
            <family val="2"/>
            <scheme val="minor"/>
          </rPr>
          <t>Descripción calculada automáticamente a partir de código del artículo</t>
        </r>
      </text>
    </comment>
    <comment ref="C3857" authorId="1" shapeId="0" xr:uid="{00000000-0006-0000-0100-00009F0E0000}">
      <text>
        <r>
          <rPr>
            <sz val="11"/>
            <color theme="1"/>
            <rFont val="Calibri"/>
            <family val="2"/>
            <scheme val="minor"/>
          </rPr>
          <t>Seleccione un valor de la lista</t>
        </r>
      </text>
    </comment>
    <comment ref="D3857" authorId="1" shapeId="0" xr:uid="{00000000-0006-0000-0100-0000A00E0000}">
      <text>
        <r>
          <rPr>
            <sz val="11"/>
            <color theme="1"/>
            <rFont val="Calibri"/>
            <family val="2"/>
            <scheme val="minor"/>
          </rPr>
          <t>Introduzca un número con dos decimales como máximo. Debe ser igual o mayor a la "Cantidad Real Consumida"</t>
        </r>
      </text>
    </comment>
    <comment ref="E3857" authorId="1" shapeId="0" xr:uid="{00000000-0006-0000-0100-0000A10E0000}">
      <text>
        <r>
          <rPr>
            <sz val="11"/>
            <color theme="1"/>
            <rFont val="Calibri"/>
            <family val="2"/>
            <scheme val="minor"/>
          </rPr>
          <t>Introduzca un número con dos decimales como máximo</t>
        </r>
      </text>
    </comment>
    <comment ref="F3857" authorId="1" shapeId="0" xr:uid="{00000000-0006-0000-0100-0000A20E0000}">
      <text>
        <r>
          <rPr>
            <sz val="11"/>
            <color theme="1"/>
            <rFont val="Calibri"/>
            <family val="2"/>
            <scheme val="minor"/>
          </rPr>
          <t>Monto calculado automáticamente por el sistema</t>
        </r>
      </text>
    </comment>
    <comment ref="A3862" authorId="1" shapeId="0" xr:uid="{00000000-0006-0000-0100-0000A30E0000}">
      <text>
        <r>
          <rPr>
            <sz val="11"/>
            <color theme="1"/>
            <rFont val="Calibri"/>
            <family val="2"/>
            <scheme val="minor"/>
          </rPr>
          <t>Introducir un texto con el nombre o referencia de la contratación</t>
        </r>
      </text>
    </comment>
    <comment ref="B3862" authorId="1" shapeId="0" xr:uid="{00000000-0006-0000-0100-0000A40E0000}">
      <text>
        <r>
          <rPr>
            <sz val="11"/>
            <color theme="1"/>
            <rFont val="Calibri"/>
            <family val="2"/>
            <scheme val="minor"/>
          </rPr>
          <t>Introduzca un texto con la finalidad de la contratación</t>
        </r>
      </text>
    </comment>
    <comment ref="C3862" authorId="1" shapeId="0" xr:uid="{00000000-0006-0000-0100-0000A50E0000}">
      <text>
        <r>
          <rPr>
            <sz val="11"/>
            <color theme="1"/>
            <rFont val="Calibri"/>
            <family val="2"/>
            <scheme val="minor"/>
          </rPr>
          <t>Seleccionar un valor del listado</t>
        </r>
      </text>
    </comment>
    <comment ref="D3862" authorId="1" shapeId="0" xr:uid="{00000000-0006-0000-0100-0000A60E0000}">
      <text>
        <r>
          <rPr>
            <sz val="11"/>
            <color theme="1"/>
            <rFont val="Calibri"/>
            <family val="2"/>
            <scheme val="minor"/>
          </rPr>
          <t>Seleccione el tipo de procedimiento</t>
        </r>
      </text>
    </comment>
    <comment ref="E3862" authorId="1" shapeId="0" xr:uid="{00000000-0006-0000-0100-0000A70E0000}">
      <text>
        <r>
          <rPr>
            <sz val="11"/>
            <color theme="1"/>
            <rFont val="Calibri"/>
            <family val="2"/>
            <scheme val="minor"/>
          </rPr>
          <t>Seleccione un valor de la lista</t>
        </r>
      </text>
    </comment>
    <comment ref="F3862" authorId="1" shapeId="0" xr:uid="{00000000-0006-0000-0100-0000A80E0000}">
      <text>
        <r>
          <rPr>
            <sz val="11"/>
            <color theme="1"/>
            <rFont val="Calibri"/>
            <family val="2"/>
            <scheme val="minor"/>
          </rPr>
          <t>Introduzca el código SNIP</t>
        </r>
      </text>
    </comment>
    <comment ref="C3863" authorId="1" shapeId="0" xr:uid="{00000000-0006-0000-0100-0000A90E0000}">
      <text>
        <r>
          <rPr>
            <sz val="11"/>
            <color theme="1"/>
            <rFont val="Calibri"/>
            <family val="2"/>
            <scheme val="minor"/>
          </rPr>
          <t>Introduzca la fecha de inicio del proceso, en formato dd-mm-aaaa</t>
        </r>
      </text>
    </comment>
    <comment ref="F3863" authorId="1" shapeId="0" xr:uid="{00000000-0006-0000-0100-0000AB0E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64" authorId="1" shapeId="0" xr:uid="{00000000-0006-0000-0100-0000AC0E0000}">
      <text/>
    </comment>
    <comment ref="C3865" authorId="1" shapeId="0" xr:uid="{00000000-0006-0000-0100-0000AA0E0000}">
      <text>
        <r>
          <rPr>
            <sz val="11"/>
            <color theme="1"/>
            <rFont val="Calibri"/>
            <family val="2"/>
            <scheme val="minor"/>
          </rPr>
          <t>Introduzca la fecha prevista de adjudicación, en formato dd-mm-aaaa</t>
        </r>
      </text>
    </comment>
    <comment ref="F3865" authorId="1" shapeId="0" xr:uid="{00000000-0006-0000-0100-0000AD0E0000}">
      <text/>
    </comment>
    <comment ref="F3866" authorId="1" shapeId="0" xr:uid="{00000000-0006-0000-0100-0000AE0E0000}">
      <text/>
    </comment>
    <comment ref="A3868" authorId="1" shapeId="0" xr:uid="{00000000-0006-0000-0100-0000AF0E0000}">
      <text>
        <r>
          <rPr>
            <sz val="11"/>
            <color theme="1"/>
            <rFont val="Calibri"/>
            <family val="2"/>
            <scheme val="minor"/>
          </rPr>
          <t>Introduzca un codigo UNSPSC</t>
        </r>
      </text>
    </comment>
    <comment ref="B3868" authorId="1" shapeId="0" xr:uid="{00000000-0006-0000-0100-0000B00E0000}">
      <text>
        <r>
          <rPr>
            <sz val="11"/>
            <color theme="1"/>
            <rFont val="Calibri"/>
            <family val="2"/>
            <scheme val="minor"/>
          </rPr>
          <t>Descripción calculada automáticamente a partir de código del artículo</t>
        </r>
      </text>
    </comment>
    <comment ref="C3868" authorId="1" shapeId="0" xr:uid="{00000000-0006-0000-0100-0000B10E0000}">
      <text>
        <r>
          <rPr>
            <sz val="11"/>
            <color theme="1"/>
            <rFont val="Calibri"/>
            <family val="2"/>
            <scheme val="minor"/>
          </rPr>
          <t>Seleccione un valor de la lista</t>
        </r>
      </text>
    </comment>
    <comment ref="D3868" authorId="1" shapeId="0" xr:uid="{00000000-0006-0000-0100-0000B20E0000}">
      <text>
        <r>
          <rPr>
            <sz val="11"/>
            <color theme="1"/>
            <rFont val="Calibri"/>
            <family val="2"/>
            <scheme val="minor"/>
          </rPr>
          <t>Introduzca un número con dos decimales como máximo. Debe ser igual o mayor a la "Cantidad Real Consumida"</t>
        </r>
      </text>
    </comment>
    <comment ref="E3868" authorId="1" shapeId="0" xr:uid="{00000000-0006-0000-0100-0000B30E0000}">
      <text>
        <r>
          <rPr>
            <sz val="11"/>
            <color theme="1"/>
            <rFont val="Calibri"/>
            <family val="2"/>
            <scheme val="minor"/>
          </rPr>
          <t>Introduzca un número con dos decimales como máximo</t>
        </r>
      </text>
    </comment>
    <comment ref="F3868" authorId="1" shapeId="0" xr:uid="{00000000-0006-0000-0100-0000B40E0000}">
      <text>
        <r>
          <rPr>
            <sz val="11"/>
            <color theme="1"/>
            <rFont val="Calibri"/>
            <family val="2"/>
            <scheme val="minor"/>
          </rPr>
          <t>Monto calculado automáticamente por el sistema</t>
        </r>
      </text>
    </comment>
    <comment ref="A3880" authorId="1" shapeId="0" xr:uid="{00000000-0006-0000-0100-0000B50E0000}">
      <text>
        <r>
          <rPr>
            <sz val="11"/>
            <color theme="1"/>
            <rFont val="Calibri"/>
            <family val="2"/>
            <scheme val="minor"/>
          </rPr>
          <t>Introducir un texto con el nombre o referencia de la contratación</t>
        </r>
      </text>
    </comment>
    <comment ref="B3880" authorId="1" shapeId="0" xr:uid="{00000000-0006-0000-0100-0000B60E0000}">
      <text>
        <r>
          <rPr>
            <sz val="11"/>
            <color theme="1"/>
            <rFont val="Calibri"/>
            <family val="2"/>
            <scheme val="minor"/>
          </rPr>
          <t>Introduzca un texto con la finalidad de la contratación</t>
        </r>
      </text>
    </comment>
    <comment ref="C3880" authorId="1" shapeId="0" xr:uid="{00000000-0006-0000-0100-0000B70E0000}">
      <text>
        <r>
          <rPr>
            <sz val="11"/>
            <color theme="1"/>
            <rFont val="Calibri"/>
            <family val="2"/>
            <scheme val="minor"/>
          </rPr>
          <t>Seleccionar un valor del listado</t>
        </r>
      </text>
    </comment>
    <comment ref="D3880" authorId="1" shapeId="0" xr:uid="{00000000-0006-0000-0100-0000B80E0000}">
      <text>
        <r>
          <rPr>
            <sz val="11"/>
            <color theme="1"/>
            <rFont val="Calibri"/>
            <family val="2"/>
            <scheme val="minor"/>
          </rPr>
          <t>Seleccione el tipo de procedimiento</t>
        </r>
      </text>
    </comment>
    <comment ref="E3880" authorId="1" shapeId="0" xr:uid="{00000000-0006-0000-0100-0000B90E0000}">
      <text>
        <r>
          <rPr>
            <sz val="11"/>
            <color theme="1"/>
            <rFont val="Calibri"/>
            <family val="2"/>
            <scheme val="minor"/>
          </rPr>
          <t>Seleccione un valor de la lista</t>
        </r>
      </text>
    </comment>
    <comment ref="F3880" authorId="1" shapeId="0" xr:uid="{00000000-0006-0000-0100-0000BA0E0000}">
      <text>
        <r>
          <rPr>
            <sz val="11"/>
            <color theme="1"/>
            <rFont val="Calibri"/>
            <family val="2"/>
            <scheme val="minor"/>
          </rPr>
          <t>Introduzca el código SNIP</t>
        </r>
      </text>
    </comment>
    <comment ref="C3881" authorId="1" shapeId="0" xr:uid="{00000000-0006-0000-0100-0000BB0E0000}">
      <text>
        <r>
          <rPr>
            <sz val="11"/>
            <color theme="1"/>
            <rFont val="Calibri"/>
            <family val="2"/>
            <scheme val="minor"/>
          </rPr>
          <t>Introduzca la fecha de inicio del proceso, en formato dd-mm-aaaa</t>
        </r>
      </text>
    </comment>
    <comment ref="F3881" authorId="1" shapeId="0" xr:uid="{00000000-0006-0000-0100-0000BD0E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82" authorId="1" shapeId="0" xr:uid="{00000000-0006-0000-0100-0000BE0E0000}">
      <text/>
    </comment>
    <comment ref="C3883" authorId="1" shapeId="0" xr:uid="{00000000-0006-0000-0100-0000BC0E0000}">
      <text>
        <r>
          <rPr>
            <sz val="11"/>
            <color theme="1"/>
            <rFont val="Calibri"/>
            <family val="2"/>
            <scheme val="minor"/>
          </rPr>
          <t>Introduzca la fecha prevista de adjudicación, en formato dd-mm-aaaa</t>
        </r>
      </text>
    </comment>
    <comment ref="F3883" authorId="1" shapeId="0" xr:uid="{00000000-0006-0000-0100-0000BF0E0000}">
      <text/>
    </comment>
    <comment ref="F3884" authorId="1" shapeId="0" xr:uid="{00000000-0006-0000-0100-0000C00E0000}">
      <text/>
    </comment>
    <comment ref="A3886" authorId="1" shapeId="0" xr:uid="{00000000-0006-0000-0100-0000C10E0000}">
      <text>
        <r>
          <rPr>
            <sz val="11"/>
            <color theme="1"/>
            <rFont val="Calibri"/>
            <family val="2"/>
            <scheme val="minor"/>
          </rPr>
          <t>Introduzca un codigo UNSPSC</t>
        </r>
      </text>
    </comment>
    <comment ref="B3886" authorId="1" shapeId="0" xr:uid="{00000000-0006-0000-0100-0000C20E0000}">
      <text>
        <r>
          <rPr>
            <sz val="11"/>
            <color theme="1"/>
            <rFont val="Calibri"/>
            <family val="2"/>
            <scheme val="minor"/>
          </rPr>
          <t>Descripción calculada automáticamente a partir de código del artículo</t>
        </r>
      </text>
    </comment>
    <comment ref="C3886" authorId="1" shapeId="0" xr:uid="{00000000-0006-0000-0100-0000C30E0000}">
      <text>
        <r>
          <rPr>
            <sz val="11"/>
            <color theme="1"/>
            <rFont val="Calibri"/>
            <family val="2"/>
            <scheme val="minor"/>
          </rPr>
          <t>Seleccione un valor de la lista</t>
        </r>
      </text>
    </comment>
    <comment ref="D3886" authorId="1" shapeId="0" xr:uid="{00000000-0006-0000-0100-0000C40E0000}">
      <text>
        <r>
          <rPr>
            <sz val="11"/>
            <color theme="1"/>
            <rFont val="Calibri"/>
            <family val="2"/>
            <scheme val="minor"/>
          </rPr>
          <t>Introduzca un número con dos decimales como máximo. Debe ser igual o mayor a la "Cantidad Real Consumida"</t>
        </r>
      </text>
    </comment>
    <comment ref="E3886" authorId="1" shapeId="0" xr:uid="{00000000-0006-0000-0100-0000C50E0000}">
      <text>
        <r>
          <rPr>
            <sz val="11"/>
            <color theme="1"/>
            <rFont val="Calibri"/>
            <family val="2"/>
            <scheme val="minor"/>
          </rPr>
          <t>Introduzca un número con dos decimales como máximo</t>
        </r>
      </text>
    </comment>
    <comment ref="F3886" authorId="1" shapeId="0" xr:uid="{00000000-0006-0000-0100-0000C60E0000}">
      <text>
        <r>
          <rPr>
            <sz val="11"/>
            <color theme="1"/>
            <rFont val="Calibri"/>
            <family val="2"/>
            <scheme val="minor"/>
          </rPr>
          <t>Monto calculado automáticamente por el sistema</t>
        </r>
      </text>
    </comment>
    <comment ref="A3891" authorId="1" shapeId="0" xr:uid="{00000000-0006-0000-0100-0000C70E0000}">
      <text>
        <r>
          <rPr>
            <sz val="11"/>
            <color theme="1"/>
            <rFont val="Calibri"/>
            <family val="2"/>
            <scheme val="minor"/>
          </rPr>
          <t>Introducir un texto con el nombre o referencia de la contratación</t>
        </r>
      </text>
    </comment>
    <comment ref="B3891" authorId="1" shapeId="0" xr:uid="{00000000-0006-0000-0100-0000C80E0000}">
      <text>
        <r>
          <rPr>
            <sz val="11"/>
            <color theme="1"/>
            <rFont val="Calibri"/>
            <family val="2"/>
            <scheme val="minor"/>
          </rPr>
          <t>Introduzca un texto con la finalidad de la contratación</t>
        </r>
      </text>
    </comment>
    <comment ref="C3891" authorId="1" shapeId="0" xr:uid="{00000000-0006-0000-0100-0000C90E0000}">
      <text>
        <r>
          <rPr>
            <sz val="11"/>
            <color theme="1"/>
            <rFont val="Calibri"/>
            <family val="2"/>
            <scheme val="minor"/>
          </rPr>
          <t>Seleccionar un valor del listado</t>
        </r>
      </text>
    </comment>
    <comment ref="D3891" authorId="1" shapeId="0" xr:uid="{00000000-0006-0000-0100-0000CA0E0000}">
      <text>
        <r>
          <rPr>
            <sz val="11"/>
            <color theme="1"/>
            <rFont val="Calibri"/>
            <family val="2"/>
            <scheme val="minor"/>
          </rPr>
          <t>Seleccione el tipo de procedimiento</t>
        </r>
      </text>
    </comment>
    <comment ref="E3891" authorId="1" shapeId="0" xr:uid="{00000000-0006-0000-0100-0000CB0E0000}">
      <text>
        <r>
          <rPr>
            <sz val="11"/>
            <color theme="1"/>
            <rFont val="Calibri"/>
            <family val="2"/>
            <scheme val="minor"/>
          </rPr>
          <t>Seleccione un valor de la lista</t>
        </r>
      </text>
    </comment>
    <comment ref="F3891" authorId="1" shapeId="0" xr:uid="{00000000-0006-0000-0100-0000CC0E0000}">
      <text>
        <r>
          <rPr>
            <sz val="11"/>
            <color theme="1"/>
            <rFont val="Calibri"/>
            <family val="2"/>
            <scheme val="minor"/>
          </rPr>
          <t>Introduzca el código SNIP</t>
        </r>
      </text>
    </comment>
    <comment ref="C3892" authorId="1" shapeId="0" xr:uid="{00000000-0006-0000-0100-0000CD0E0000}">
      <text>
        <r>
          <rPr>
            <sz val="11"/>
            <color theme="1"/>
            <rFont val="Calibri"/>
            <family val="2"/>
            <scheme val="minor"/>
          </rPr>
          <t>Introduzca la fecha de inicio del proceso, en formato dd-mm-aaaa</t>
        </r>
      </text>
    </comment>
    <comment ref="F3892" authorId="1" shapeId="0" xr:uid="{00000000-0006-0000-0100-0000CF0E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93" authorId="1" shapeId="0" xr:uid="{00000000-0006-0000-0100-0000D00E0000}">
      <text/>
    </comment>
    <comment ref="C3894" authorId="1" shapeId="0" xr:uid="{00000000-0006-0000-0100-0000CE0E0000}">
      <text>
        <r>
          <rPr>
            <sz val="11"/>
            <color theme="1"/>
            <rFont val="Calibri"/>
            <family val="2"/>
            <scheme val="minor"/>
          </rPr>
          <t>Introduzca la fecha prevista de adjudicación, en formato dd-mm-aaaa</t>
        </r>
      </text>
    </comment>
    <comment ref="F3894" authorId="1" shapeId="0" xr:uid="{00000000-0006-0000-0100-0000D10E0000}">
      <text/>
    </comment>
    <comment ref="F3895" authorId="1" shapeId="0" xr:uid="{00000000-0006-0000-0100-0000D20E0000}">
      <text/>
    </comment>
    <comment ref="A3897" authorId="1" shapeId="0" xr:uid="{00000000-0006-0000-0100-0000D30E0000}">
      <text>
        <r>
          <rPr>
            <sz val="11"/>
            <color theme="1"/>
            <rFont val="Calibri"/>
            <family val="2"/>
            <scheme val="minor"/>
          </rPr>
          <t>Introduzca un codigo UNSPSC</t>
        </r>
      </text>
    </comment>
    <comment ref="B3897" authorId="1" shapeId="0" xr:uid="{00000000-0006-0000-0100-0000D40E0000}">
      <text>
        <r>
          <rPr>
            <sz val="11"/>
            <color theme="1"/>
            <rFont val="Calibri"/>
            <family val="2"/>
            <scheme val="minor"/>
          </rPr>
          <t>Descripción calculada automáticamente a partir de código del artículo</t>
        </r>
      </text>
    </comment>
    <comment ref="C3897" authorId="1" shapeId="0" xr:uid="{00000000-0006-0000-0100-0000D50E0000}">
      <text>
        <r>
          <rPr>
            <sz val="11"/>
            <color theme="1"/>
            <rFont val="Calibri"/>
            <family val="2"/>
            <scheme val="minor"/>
          </rPr>
          <t>Seleccione un valor de la lista</t>
        </r>
      </text>
    </comment>
    <comment ref="D3897" authorId="1" shapeId="0" xr:uid="{00000000-0006-0000-0100-0000D60E0000}">
      <text>
        <r>
          <rPr>
            <sz val="11"/>
            <color theme="1"/>
            <rFont val="Calibri"/>
            <family val="2"/>
            <scheme val="minor"/>
          </rPr>
          <t>Introduzca un número con dos decimales como máximo. Debe ser igual o mayor a la "Cantidad Real Consumida"</t>
        </r>
      </text>
    </comment>
    <comment ref="E3897" authorId="1" shapeId="0" xr:uid="{00000000-0006-0000-0100-0000D70E0000}">
      <text>
        <r>
          <rPr>
            <sz val="11"/>
            <color theme="1"/>
            <rFont val="Calibri"/>
            <family val="2"/>
            <scheme val="minor"/>
          </rPr>
          <t>Introduzca un número con dos decimales como máximo</t>
        </r>
      </text>
    </comment>
    <comment ref="F3897" authorId="1" shapeId="0" xr:uid="{00000000-0006-0000-0100-0000D80E0000}">
      <text>
        <r>
          <rPr>
            <sz val="11"/>
            <color theme="1"/>
            <rFont val="Calibri"/>
            <family val="2"/>
            <scheme val="minor"/>
          </rPr>
          <t>Monto calculado automáticamente por el sistema</t>
        </r>
      </text>
    </comment>
    <comment ref="A3983" authorId="1" shapeId="0" xr:uid="{00000000-0006-0000-0100-0000D90E0000}">
      <text>
        <r>
          <rPr>
            <sz val="11"/>
            <color theme="1"/>
            <rFont val="Calibri"/>
            <family val="2"/>
            <scheme val="minor"/>
          </rPr>
          <t>Introducir un texto con el nombre o referencia de la contratación</t>
        </r>
      </text>
    </comment>
    <comment ref="B3983" authorId="1" shapeId="0" xr:uid="{00000000-0006-0000-0100-0000DA0E0000}">
      <text>
        <r>
          <rPr>
            <sz val="11"/>
            <color theme="1"/>
            <rFont val="Calibri"/>
            <family val="2"/>
            <scheme val="minor"/>
          </rPr>
          <t>Introduzca un texto con la finalidad de la contratación</t>
        </r>
      </text>
    </comment>
    <comment ref="C3983" authorId="1" shapeId="0" xr:uid="{00000000-0006-0000-0100-0000DB0E0000}">
      <text>
        <r>
          <rPr>
            <sz val="11"/>
            <color theme="1"/>
            <rFont val="Calibri"/>
            <family val="2"/>
            <scheme val="minor"/>
          </rPr>
          <t>Seleccionar un valor del listado</t>
        </r>
      </text>
    </comment>
    <comment ref="D3983" authorId="1" shapeId="0" xr:uid="{00000000-0006-0000-0100-0000DC0E0000}">
      <text>
        <r>
          <rPr>
            <sz val="11"/>
            <color theme="1"/>
            <rFont val="Calibri"/>
            <family val="2"/>
            <scheme val="minor"/>
          </rPr>
          <t>Seleccione el tipo de procedimiento</t>
        </r>
      </text>
    </comment>
    <comment ref="E3983" authorId="1" shapeId="0" xr:uid="{00000000-0006-0000-0100-0000DD0E0000}">
      <text>
        <r>
          <rPr>
            <sz val="11"/>
            <color theme="1"/>
            <rFont val="Calibri"/>
            <family val="2"/>
            <scheme val="minor"/>
          </rPr>
          <t>Seleccione un valor de la lista</t>
        </r>
      </text>
    </comment>
    <comment ref="F3983" authorId="1" shapeId="0" xr:uid="{00000000-0006-0000-0100-0000DE0E0000}">
      <text>
        <r>
          <rPr>
            <sz val="11"/>
            <color theme="1"/>
            <rFont val="Calibri"/>
            <family val="2"/>
            <scheme val="minor"/>
          </rPr>
          <t>Introduzca el código SNIP</t>
        </r>
      </text>
    </comment>
    <comment ref="C3984" authorId="1" shapeId="0" xr:uid="{00000000-0006-0000-0100-0000DF0E0000}">
      <text>
        <r>
          <rPr>
            <sz val="11"/>
            <color theme="1"/>
            <rFont val="Calibri"/>
            <family val="2"/>
            <scheme val="minor"/>
          </rPr>
          <t>Introduzca la fecha de inicio del proceso, en formato dd-mm-aaaa</t>
        </r>
      </text>
    </comment>
    <comment ref="F3984" authorId="1" shapeId="0" xr:uid="{00000000-0006-0000-0100-0000E10E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85" authorId="1" shapeId="0" xr:uid="{00000000-0006-0000-0100-0000E20E0000}">
      <text/>
    </comment>
    <comment ref="C3986" authorId="1" shapeId="0" xr:uid="{00000000-0006-0000-0100-0000E00E0000}">
      <text>
        <r>
          <rPr>
            <sz val="11"/>
            <color theme="1"/>
            <rFont val="Calibri"/>
            <family val="2"/>
            <scheme val="minor"/>
          </rPr>
          <t>Introduzca la fecha prevista de adjudicación, en formato dd-mm-aaaa</t>
        </r>
      </text>
    </comment>
    <comment ref="F3986" authorId="1" shapeId="0" xr:uid="{00000000-0006-0000-0100-0000E30E0000}">
      <text/>
    </comment>
    <comment ref="F3987" authorId="1" shapeId="0" xr:uid="{00000000-0006-0000-0100-0000E40E0000}">
      <text/>
    </comment>
    <comment ref="A3989" authorId="1" shapeId="0" xr:uid="{00000000-0006-0000-0100-0000E50E0000}">
      <text>
        <r>
          <rPr>
            <sz val="11"/>
            <color theme="1"/>
            <rFont val="Calibri"/>
            <family val="2"/>
            <scheme val="minor"/>
          </rPr>
          <t>Introduzca un codigo UNSPSC</t>
        </r>
      </text>
    </comment>
    <comment ref="B3989" authorId="1" shapeId="0" xr:uid="{00000000-0006-0000-0100-0000E60E0000}">
      <text>
        <r>
          <rPr>
            <sz val="11"/>
            <color theme="1"/>
            <rFont val="Calibri"/>
            <family val="2"/>
            <scheme val="minor"/>
          </rPr>
          <t>Descripción calculada automáticamente a partir de código del artículo</t>
        </r>
      </text>
    </comment>
    <comment ref="C3989" authorId="1" shapeId="0" xr:uid="{00000000-0006-0000-0100-0000E70E0000}">
      <text>
        <r>
          <rPr>
            <sz val="11"/>
            <color theme="1"/>
            <rFont val="Calibri"/>
            <family val="2"/>
            <scheme val="minor"/>
          </rPr>
          <t>Seleccione un valor de la lista</t>
        </r>
      </text>
    </comment>
    <comment ref="D3989" authorId="1" shapeId="0" xr:uid="{00000000-0006-0000-0100-0000E80E0000}">
      <text>
        <r>
          <rPr>
            <sz val="11"/>
            <color theme="1"/>
            <rFont val="Calibri"/>
            <family val="2"/>
            <scheme val="minor"/>
          </rPr>
          <t>Introduzca un número con dos decimales como máximo. Debe ser igual o mayor a la "Cantidad Real Consumida"</t>
        </r>
      </text>
    </comment>
    <comment ref="E3989" authorId="1" shapeId="0" xr:uid="{00000000-0006-0000-0100-0000E90E0000}">
      <text>
        <r>
          <rPr>
            <sz val="11"/>
            <color theme="1"/>
            <rFont val="Calibri"/>
            <family val="2"/>
            <scheme val="minor"/>
          </rPr>
          <t>Introduzca un número con dos decimales como máximo</t>
        </r>
      </text>
    </comment>
    <comment ref="F3989" authorId="1" shapeId="0" xr:uid="{00000000-0006-0000-0100-0000EA0E0000}">
      <text>
        <r>
          <rPr>
            <sz val="11"/>
            <color theme="1"/>
            <rFont val="Calibri"/>
            <family val="2"/>
            <scheme val="minor"/>
          </rPr>
          <t>Monto calculado automáticamente por el sistema</t>
        </r>
      </text>
    </comment>
    <comment ref="A3997" authorId="1" shapeId="0" xr:uid="{00000000-0006-0000-0100-0000EB0E0000}">
      <text>
        <r>
          <rPr>
            <sz val="11"/>
            <color theme="1"/>
            <rFont val="Calibri"/>
            <family val="2"/>
            <scheme val="minor"/>
          </rPr>
          <t>Introducir un texto con el nombre o referencia de la contratación</t>
        </r>
      </text>
    </comment>
    <comment ref="B3997" authorId="1" shapeId="0" xr:uid="{00000000-0006-0000-0100-0000EC0E0000}">
      <text>
        <r>
          <rPr>
            <sz val="11"/>
            <color theme="1"/>
            <rFont val="Calibri"/>
            <family val="2"/>
            <scheme val="minor"/>
          </rPr>
          <t>Introduzca un texto con la finalidad de la contratación</t>
        </r>
      </text>
    </comment>
    <comment ref="C3997" authorId="1" shapeId="0" xr:uid="{00000000-0006-0000-0100-0000ED0E0000}">
      <text>
        <r>
          <rPr>
            <sz val="11"/>
            <color theme="1"/>
            <rFont val="Calibri"/>
            <family val="2"/>
            <scheme val="minor"/>
          </rPr>
          <t>Seleccionar un valor del listado</t>
        </r>
      </text>
    </comment>
    <comment ref="D3997" authorId="1" shapeId="0" xr:uid="{00000000-0006-0000-0100-0000EE0E0000}">
      <text>
        <r>
          <rPr>
            <sz val="11"/>
            <color theme="1"/>
            <rFont val="Calibri"/>
            <family val="2"/>
            <scheme val="minor"/>
          </rPr>
          <t>Seleccione el tipo de procedimiento</t>
        </r>
      </text>
    </comment>
    <comment ref="E3997" authorId="1" shapeId="0" xr:uid="{00000000-0006-0000-0100-0000EF0E0000}">
      <text>
        <r>
          <rPr>
            <sz val="11"/>
            <color theme="1"/>
            <rFont val="Calibri"/>
            <family val="2"/>
            <scheme val="minor"/>
          </rPr>
          <t>Seleccione un valor de la lista</t>
        </r>
      </text>
    </comment>
    <comment ref="F3997" authorId="1" shapeId="0" xr:uid="{00000000-0006-0000-0100-0000F00E0000}">
      <text>
        <r>
          <rPr>
            <sz val="11"/>
            <color theme="1"/>
            <rFont val="Calibri"/>
            <family val="2"/>
            <scheme val="minor"/>
          </rPr>
          <t>Introduzca el código SNIP</t>
        </r>
      </text>
    </comment>
    <comment ref="C3998" authorId="1" shapeId="0" xr:uid="{00000000-0006-0000-0100-0000F10E0000}">
      <text>
        <r>
          <rPr>
            <sz val="11"/>
            <color theme="1"/>
            <rFont val="Calibri"/>
            <family val="2"/>
            <scheme val="minor"/>
          </rPr>
          <t>Introduzca la fecha de inicio del proceso, en formato dd-mm-aaaa</t>
        </r>
      </text>
    </comment>
    <comment ref="F3998" authorId="1" shapeId="0" xr:uid="{00000000-0006-0000-0100-0000F30E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99" authorId="1" shapeId="0" xr:uid="{00000000-0006-0000-0100-0000F40E0000}">
      <text/>
    </comment>
    <comment ref="C4000" authorId="1" shapeId="0" xr:uid="{00000000-0006-0000-0100-0000F20E0000}">
      <text>
        <r>
          <rPr>
            <sz val="11"/>
            <color theme="1"/>
            <rFont val="Calibri"/>
            <family val="2"/>
            <scheme val="minor"/>
          </rPr>
          <t>Introduzca la fecha prevista de adjudicación, en formato dd-mm-aaaa</t>
        </r>
      </text>
    </comment>
    <comment ref="F4000" authorId="1" shapeId="0" xr:uid="{00000000-0006-0000-0100-0000F50E0000}">
      <text/>
    </comment>
    <comment ref="F4001" authorId="1" shapeId="0" xr:uid="{00000000-0006-0000-0100-0000F60E0000}">
      <text/>
    </comment>
    <comment ref="A4003" authorId="1" shapeId="0" xr:uid="{00000000-0006-0000-0100-0000F70E0000}">
      <text>
        <r>
          <rPr>
            <sz val="11"/>
            <color theme="1"/>
            <rFont val="Calibri"/>
            <family val="2"/>
            <scheme val="minor"/>
          </rPr>
          <t>Introduzca un codigo UNSPSC</t>
        </r>
      </text>
    </comment>
    <comment ref="B4003" authorId="1" shapeId="0" xr:uid="{00000000-0006-0000-0100-0000F80E0000}">
      <text>
        <r>
          <rPr>
            <sz val="11"/>
            <color theme="1"/>
            <rFont val="Calibri"/>
            <family val="2"/>
            <scheme val="minor"/>
          </rPr>
          <t>Descripción calculada automáticamente a partir de código del artículo</t>
        </r>
      </text>
    </comment>
    <comment ref="C4003" authorId="1" shapeId="0" xr:uid="{00000000-0006-0000-0100-0000F90E0000}">
      <text>
        <r>
          <rPr>
            <sz val="11"/>
            <color theme="1"/>
            <rFont val="Calibri"/>
            <family val="2"/>
            <scheme val="minor"/>
          </rPr>
          <t>Seleccione un valor de la lista</t>
        </r>
      </text>
    </comment>
    <comment ref="D4003" authorId="1" shapeId="0" xr:uid="{00000000-0006-0000-0100-0000FA0E0000}">
      <text>
        <r>
          <rPr>
            <sz val="11"/>
            <color theme="1"/>
            <rFont val="Calibri"/>
            <family val="2"/>
            <scheme val="minor"/>
          </rPr>
          <t>Introduzca un número con dos decimales como máximo. Debe ser igual o mayor a la "Cantidad Real Consumida"</t>
        </r>
      </text>
    </comment>
    <comment ref="E4003" authorId="1" shapeId="0" xr:uid="{00000000-0006-0000-0100-0000FB0E0000}">
      <text>
        <r>
          <rPr>
            <sz val="11"/>
            <color theme="1"/>
            <rFont val="Calibri"/>
            <family val="2"/>
            <scheme val="minor"/>
          </rPr>
          <t>Introduzca un número con dos decimales como máximo</t>
        </r>
      </text>
    </comment>
    <comment ref="F4003" authorId="1" shapeId="0" xr:uid="{00000000-0006-0000-0100-0000FC0E0000}">
      <text>
        <r>
          <rPr>
            <sz val="11"/>
            <color theme="1"/>
            <rFont val="Calibri"/>
            <family val="2"/>
            <scheme val="minor"/>
          </rPr>
          <t>Monto calculado automáticamente por el sistema</t>
        </r>
      </text>
    </comment>
    <comment ref="A4008" authorId="1" shapeId="0" xr:uid="{00000000-0006-0000-0100-0000FD0E0000}">
      <text>
        <r>
          <rPr>
            <sz val="11"/>
            <color theme="1"/>
            <rFont val="Calibri"/>
            <family val="2"/>
            <scheme val="minor"/>
          </rPr>
          <t>Introducir un texto con el nombre o referencia de la contratación</t>
        </r>
      </text>
    </comment>
    <comment ref="B4008" authorId="1" shapeId="0" xr:uid="{00000000-0006-0000-0100-0000FE0E0000}">
      <text>
        <r>
          <rPr>
            <sz val="11"/>
            <color theme="1"/>
            <rFont val="Calibri"/>
            <family val="2"/>
            <scheme val="minor"/>
          </rPr>
          <t>Introduzca un texto con la finalidad de la contratación</t>
        </r>
      </text>
    </comment>
    <comment ref="C4008" authorId="1" shapeId="0" xr:uid="{00000000-0006-0000-0100-0000FF0E0000}">
      <text>
        <r>
          <rPr>
            <sz val="11"/>
            <color theme="1"/>
            <rFont val="Calibri"/>
            <family val="2"/>
            <scheme val="minor"/>
          </rPr>
          <t>Seleccionar un valor del listado</t>
        </r>
      </text>
    </comment>
    <comment ref="D4008" authorId="1" shapeId="0" xr:uid="{00000000-0006-0000-0100-0000000F0000}">
      <text>
        <r>
          <rPr>
            <sz val="11"/>
            <color theme="1"/>
            <rFont val="Calibri"/>
            <family val="2"/>
            <scheme val="minor"/>
          </rPr>
          <t>Seleccione el tipo de procedimiento</t>
        </r>
      </text>
    </comment>
    <comment ref="E4008" authorId="1" shapeId="0" xr:uid="{00000000-0006-0000-0100-0000010F0000}">
      <text>
        <r>
          <rPr>
            <sz val="11"/>
            <color theme="1"/>
            <rFont val="Calibri"/>
            <family val="2"/>
            <scheme val="minor"/>
          </rPr>
          <t>Seleccione un valor de la lista</t>
        </r>
      </text>
    </comment>
    <comment ref="F4008" authorId="1" shapeId="0" xr:uid="{00000000-0006-0000-0100-0000020F0000}">
      <text>
        <r>
          <rPr>
            <sz val="11"/>
            <color theme="1"/>
            <rFont val="Calibri"/>
            <family val="2"/>
            <scheme val="minor"/>
          </rPr>
          <t>Introduzca el código SNIP</t>
        </r>
      </text>
    </comment>
    <comment ref="C4009" authorId="1" shapeId="0" xr:uid="{00000000-0006-0000-0100-0000030F0000}">
      <text>
        <r>
          <rPr>
            <sz val="11"/>
            <color theme="1"/>
            <rFont val="Calibri"/>
            <family val="2"/>
            <scheme val="minor"/>
          </rPr>
          <t>Introduzca la fecha de inicio del proceso, en formato dd-mm-aaaa</t>
        </r>
      </text>
    </comment>
    <comment ref="F4009" authorId="1" shapeId="0" xr:uid="{00000000-0006-0000-0100-0000050F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10" authorId="1" shapeId="0" xr:uid="{00000000-0006-0000-0100-0000060F0000}">
      <text/>
    </comment>
    <comment ref="C4011" authorId="1" shapeId="0" xr:uid="{00000000-0006-0000-0100-0000040F0000}">
      <text>
        <r>
          <rPr>
            <sz val="11"/>
            <color theme="1"/>
            <rFont val="Calibri"/>
            <family val="2"/>
            <scheme val="minor"/>
          </rPr>
          <t>Introduzca la fecha prevista de adjudicación, en formato dd-mm-aaaa</t>
        </r>
      </text>
    </comment>
    <comment ref="F4011" authorId="1" shapeId="0" xr:uid="{00000000-0006-0000-0100-0000070F0000}">
      <text/>
    </comment>
    <comment ref="F4012" authorId="1" shapeId="0" xr:uid="{00000000-0006-0000-0100-0000080F0000}">
      <text/>
    </comment>
    <comment ref="A4014" authorId="1" shapeId="0" xr:uid="{00000000-0006-0000-0100-0000090F0000}">
      <text>
        <r>
          <rPr>
            <sz val="11"/>
            <color theme="1"/>
            <rFont val="Calibri"/>
            <family val="2"/>
            <scheme val="minor"/>
          </rPr>
          <t>Introduzca un codigo UNSPSC</t>
        </r>
      </text>
    </comment>
    <comment ref="B4014" authorId="1" shapeId="0" xr:uid="{00000000-0006-0000-0100-00000A0F0000}">
      <text>
        <r>
          <rPr>
            <sz val="11"/>
            <color theme="1"/>
            <rFont val="Calibri"/>
            <family val="2"/>
            <scheme val="minor"/>
          </rPr>
          <t>Descripción calculada automáticamente a partir de código del artículo</t>
        </r>
      </text>
    </comment>
    <comment ref="C4014" authorId="1" shapeId="0" xr:uid="{00000000-0006-0000-0100-00000B0F0000}">
      <text>
        <r>
          <rPr>
            <sz val="11"/>
            <color theme="1"/>
            <rFont val="Calibri"/>
            <family val="2"/>
            <scheme val="minor"/>
          </rPr>
          <t>Seleccione un valor de la lista</t>
        </r>
      </text>
    </comment>
    <comment ref="D4014" authorId="1" shapeId="0" xr:uid="{00000000-0006-0000-0100-00000C0F0000}">
      <text>
        <r>
          <rPr>
            <sz val="11"/>
            <color theme="1"/>
            <rFont val="Calibri"/>
            <family val="2"/>
            <scheme val="minor"/>
          </rPr>
          <t>Introduzca un número con dos decimales como máximo. Debe ser igual o mayor a la "Cantidad Real Consumida"</t>
        </r>
      </text>
    </comment>
    <comment ref="E4014" authorId="1" shapeId="0" xr:uid="{00000000-0006-0000-0100-00000D0F0000}">
      <text>
        <r>
          <rPr>
            <sz val="11"/>
            <color theme="1"/>
            <rFont val="Calibri"/>
            <family val="2"/>
            <scheme val="minor"/>
          </rPr>
          <t>Introduzca un número con dos decimales como máximo</t>
        </r>
      </text>
    </comment>
    <comment ref="F4014" authorId="1" shapeId="0" xr:uid="{00000000-0006-0000-0100-00000E0F0000}">
      <text>
        <r>
          <rPr>
            <sz val="11"/>
            <color theme="1"/>
            <rFont val="Calibri"/>
            <family val="2"/>
            <scheme val="minor"/>
          </rPr>
          <t>Monto calculado automáticamente por el sistema</t>
        </r>
      </text>
    </comment>
    <comment ref="A4032" authorId="1" shapeId="0" xr:uid="{00000000-0006-0000-0100-00000F0F0000}">
      <text>
        <r>
          <rPr>
            <sz val="11"/>
            <color theme="1"/>
            <rFont val="Calibri"/>
            <family val="2"/>
            <scheme val="minor"/>
          </rPr>
          <t>Introducir un texto con el nombre o referencia de la contratación</t>
        </r>
      </text>
    </comment>
    <comment ref="B4032" authorId="1" shapeId="0" xr:uid="{00000000-0006-0000-0100-0000100F0000}">
      <text>
        <r>
          <rPr>
            <sz val="11"/>
            <color theme="1"/>
            <rFont val="Calibri"/>
            <family val="2"/>
            <scheme val="minor"/>
          </rPr>
          <t>Introduzca un texto con la finalidad de la contratación</t>
        </r>
      </text>
    </comment>
    <comment ref="C4032" authorId="1" shapeId="0" xr:uid="{00000000-0006-0000-0100-0000110F0000}">
      <text>
        <r>
          <rPr>
            <sz val="11"/>
            <color theme="1"/>
            <rFont val="Calibri"/>
            <family val="2"/>
            <scheme val="minor"/>
          </rPr>
          <t>Seleccionar un valor del listado</t>
        </r>
      </text>
    </comment>
    <comment ref="D4032" authorId="1" shapeId="0" xr:uid="{00000000-0006-0000-0100-0000120F0000}">
      <text>
        <r>
          <rPr>
            <sz val="11"/>
            <color theme="1"/>
            <rFont val="Calibri"/>
            <family val="2"/>
            <scheme val="minor"/>
          </rPr>
          <t>Seleccione el tipo de procedimiento</t>
        </r>
      </text>
    </comment>
    <comment ref="E4032" authorId="1" shapeId="0" xr:uid="{00000000-0006-0000-0100-0000130F0000}">
      <text>
        <r>
          <rPr>
            <sz val="11"/>
            <color theme="1"/>
            <rFont val="Calibri"/>
            <family val="2"/>
            <scheme val="minor"/>
          </rPr>
          <t>Seleccione un valor de la lista</t>
        </r>
      </text>
    </comment>
    <comment ref="F4032" authorId="1" shapeId="0" xr:uid="{00000000-0006-0000-0100-0000140F0000}">
      <text>
        <r>
          <rPr>
            <sz val="11"/>
            <color theme="1"/>
            <rFont val="Calibri"/>
            <family val="2"/>
            <scheme val="minor"/>
          </rPr>
          <t>Introduzca el código SNIP</t>
        </r>
      </text>
    </comment>
    <comment ref="C4033" authorId="1" shapeId="0" xr:uid="{00000000-0006-0000-0100-0000150F0000}">
      <text>
        <r>
          <rPr>
            <sz val="11"/>
            <color theme="1"/>
            <rFont val="Calibri"/>
            <family val="2"/>
            <scheme val="minor"/>
          </rPr>
          <t>Introduzca la fecha de inicio del proceso, en formato dd-mm-aaaa</t>
        </r>
      </text>
    </comment>
    <comment ref="F4033" authorId="1" shapeId="0" xr:uid="{00000000-0006-0000-0100-0000170F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34" authorId="1" shapeId="0" xr:uid="{00000000-0006-0000-0100-0000180F0000}">
      <text/>
    </comment>
    <comment ref="C4035" authorId="1" shapeId="0" xr:uid="{00000000-0006-0000-0100-0000160F0000}">
      <text>
        <r>
          <rPr>
            <sz val="11"/>
            <color theme="1"/>
            <rFont val="Calibri"/>
            <family val="2"/>
            <scheme val="minor"/>
          </rPr>
          <t>Introduzca la fecha prevista de adjudicación, en formato dd-mm-aaaa</t>
        </r>
      </text>
    </comment>
    <comment ref="F4035" authorId="1" shapeId="0" xr:uid="{00000000-0006-0000-0100-0000190F0000}">
      <text/>
    </comment>
    <comment ref="F4036" authorId="1" shapeId="0" xr:uid="{00000000-0006-0000-0100-00001A0F0000}">
      <text/>
    </comment>
    <comment ref="A4038" authorId="1" shapeId="0" xr:uid="{00000000-0006-0000-0100-00001B0F0000}">
      <text>
        <r>
          <rPr>
            <sz val="11"/>
            <color theme="1"/>
            <rFont val="Calibri"/>
            <family val="2"/>
            <scheme val="minor"/>
          </rPr>
          <t>Introduzca un codigo UNSPSC</t>
        </r>
      </text>
    </comment>
    <comment ref="B4038" authorId="1" shapeId="0" xr:uid="{00000000-0006-0000-0100-00001C0F0000}">
      <text>
        <r>
          <rPr>
            <sz val="11"/>
            <color theme="1"/>
            <rFont val="Calibri"/>
            <family val="2"/>
            <scheme val="minor"/>
          </rPr>
          <t>Descripción calculada automáticamente a partir de código del artículo</t>
        </r>
      </text>
    </comment>
    <comment ref="C4038" authorId="1" shapeId="0" xr:uid="{00000000-0006-0000-0100-00001D0F0000}">
      <text>
        <r>
          <rPr>
            <sz val="11"/>
            <color theme="1"/>
            <rFont val="Calibri"/>
            <family val="2"/>
            <scheme val="minor"/>
          </rPr>
          <t>Seleccione un valor de la lista</t>
        </r>
      </text>
    </comment>
    <comment ref="D4038" authorId="1" shapeId="0" xr:uid="{00000000-0006-0000-0100-00001E0F0000}">
      <text>
        <r>
          <rPr>
            <sz val="11"/>
            <color theme="1"/>
            <rFont val="Calibri"/>
            <family val="2"/>
            <scheme val="minor"/>
          </rPr>
          <t>Introduzca un número con dos decimales como máximo. Debe ser igual o mayor a la "Cantidad Real Consumida"</t>
        </r>
      </text>
    </comment>
    <comment ref="E4038" authorId="1" shapeId="0" xr:uid="{00000000-0006-0000-0100-00001F0F0000}">
      <text>
        <r>
          <rPr>
            <sz val="11"/>
            <color theme="1"/>
            <rFont val="Calibri"/>
            <family val="2"/>
            <scheme val="minor"/>
          </rPr>
          <t>Introduzca un número con dos decimales como máximo</t>
        </r>
      </text>
    </comment>
    <comment ref="F4038" authorId="1" shapeId="0" xr:uid="{00000000-0006-0000-0100-0000200F0000}">
      <text>
        <r>
          <rPr>
            <sz val="11"/>
            <color theme="1"/>
            <rFont val="Calibri"/>
            <family val="2"/>
            <scheme val="minor"/>
          </rPr>
          <t>Monto calculado automáticamente por el sistema</t>
        </r>
      </text>
    </comment>
    <comment ref="A4043" authorId="1" shapeId="0" xr:uid="{00000000-0006-0000-0100-0000210F0000}">
      <text>
        <r>
          <rPr>
            <sz val="11"/>
            <color theme="1"/>
            <rFont val="Calibri"/>
            <family val="2"/>
            <scheme val="minor"/>
          </rPr>
          <t>Introducir un texto con el nombre o referencia de la contratación</t>
        </r>
      </text>
    </comment>
    <comment ref="B4043" authorId="1" shapeId="0" xr:uid="{00000000-0006-0000-0100-0000220F0000}">
      <text>
        <r>
          <rPr>
            <sz val="11"/>
            <color theme="1"/>
            <rFont val="Calibri"/>
            <family val="2"/>
            <scheme val="minor"/>
          </rPr>
          <t>Introduzca un texto con la finalidad de la contratación</t>
        </r>
      </text>
    </comment>
    <comment ref="C4043" authorId="1" shapeId="0" xr:uid="{00000000-0006-0000-0100-0000230F0000}">
      <text>
        <r>
          <rPr>
            <sz val="11"/>
            <color theme="1"/>
            <rFont val="Calibri"/>
            <family val="2"/>
            <scheme val="minor"/>
          </rPr>
          <t>Seleccionar un valor del listado</t>
        </r>
      </text>
    </comment>
    <comment ref="D4043" authorId="1" shapeId="0" xr:uid="{00000000-0006-0000-0100-0000240F0000}">
      <text>
        <r>
          <rPr>
            <sz val="11"/>
            <color theme="1"/>
            <rFont val="Calibri"/>
            <family val="2"/>
            <scheme val="minor"/>
          </rPr>
          <t>Seleccione el tipo de procedimiento</t>
        </r>
      </text>
    </comment>
    <comment ref="E4043" authorId="1" shapeId="0" xr:uid="{00000000-0006-0000-0100-0000250F0000}">
      <text>
        <r>
          <rPr>
            <sz val="11"/>
            <color theme="1"/>
            <rFont val="Calibri"/>
            <family val="2"/>
            <scheme val="minor"/>
          </rPr>
          <t>Seleccione un valor de la lista</t>
        </r>
      </text>
    </comment>
    <comment ref="F4043" authorId="1" shapeId="0" xr:uid="{00000000-0006-0000-0100-0000260F0000}">
      <text>
        <r>
          <rPr>
            <sz val="11"/>
            <color theme="1"/>
            <rFont val="Calibri"/>
            <family val="2"/>
            <scheme val="minor"/>
          </rPr>
          <t>Introduzca el código SNIP</t>
        </r>
      </text>
    </comment>
    <comment ref="C4044" authorId="1" shapeId="0" xr:uid="{00000000-0006-0000-0100-0000270F0000}">
      <text>
        <r>
          <rPr>
            <sz val="11"/>
            <color theme="1"/>
            <rFont val="Calibri"/>
            <family val="2"/>
            <scheme val="minor"/>
          </rPr>
          <t>Introduzca la fecha de inicio del proceso, en formato dd-mm-aaaa</t>
        </r>
      </text>
    </comment>
    <comment ref="F4044" authorId="1" shapeId="0" xr:uid="{00000000-0006-0000-0100-0000290F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45" authorId="1" shapeId="0" xr:uid="{00000000-0006-0000-0100-00002A0F0000}">
      <text/>
    </comment>
    <comment ref="C4046" authorId="1" shapeId="0" xr:uid="{00000000-0006-0000-0100-0000280F0000}">
      <text>
        <r>
          <rPr>
            <sz val="11"/>
            <color theme="1"/>
            <rFont val="Calibri"/>
            <family val="2"/>
            <scheme val="minor"/>
          </rPr>
          <t>Introduzca la fecha prevista de adjudicación, en formato dd-mm-aaaa</t>
        </r>
      </text>
    </comment>
    <comment ref="F4046" authorId="1" shapeId="0" xr:uid="{00000000-0006-0000-0100-00002B0F0000}">
      <text/>
    </comment>
    <comment ref="F4047" authorId="1" shapeId="0" xr:uid="{00000000-0006-0000-0100-00002C0F0000}">
      <text/>
    </comment>
    <comment ref="A4049" authorId="1" shapeId="0" xr:uid="{00000000-0006-0000-0100-00002D0F0000}">
      <text>
        <r>
          <rPr>
            <sz val="11"/>
            <color theme="1"/>
            <rFont val="Calibri"/>
            <family val="2"/>
            <scheme val="minor"/>
          </rPr>
          <t>Introduzca un codigo UNSPSC</t>
        </r>
      </text>
    </comment>
    <comment ref="B4049" authorId="1" shapeId="0" xr:uid="{00000000-0006-0000-0100-00002E0F0000}">
      <text>
        <r>
          <rPr>
            <sz val="11"/>
            <color theme="1"/>
            <rFont val="Calibri"/>
            <family val="2"/>
            <scheme val="minor"/>
          </rPr>
          <t>Descripción calculada automáticamente a partir de código del artículo</t>
        </r>
      </text>
    </comment>
    <comment ref="C4049" authorId="1" shapeId="0" xr:uid="{00000000-0006-0000-0100-00002F0F0000}">
      <text>
        <r>
          <rPr>
            <sz val="11"/>
            <color theme="1"/>
            <rFont val="Calibri"/>
            <family val="2"/>
            <scheme val="minor"/>
          </rPr>
          <t>Seleccione un valor de la lista</t>
        </r>
      </text>
    </comment>
    <comment ref="D4049" authorId="1" shapeId="0" xr:uid="{00000000-0006-0000-0100-0000300F0000}">
      <text>
        <r>
          <rPr>
            <sz val="11"/>
            <color theme="1"/>
            <rFont val="Calibri"/>
            <family val="2"/>
            <scheme val="minor"/>
          </rPr>
          <t>Introduzca un número con dos decimales como máximo. Debe ser igual o mayor a la "Cantidad Real Consumida"</t>
        </r>
      </text>
    </comment>
    <comment ref="E4049" authorId="1" shapeId="0" xr:uid="{00000000-0006-0000-0100-0000310F0000}">
      <text>
        <r>
          <rPr>
            <sz val="11"/>
            <color theme="1"/>
            <rFont val="Calibri"/>
            <family val="2"/>
            <scheme val="minor"/>
          </rPr>
          <t>Introduzca un número con dos decimales como máximo</t>
        </r>
      </text>
    </comment>
    <comment ref="F4049" authorId="1" shapeId="0" xr:uid="{00000000-0006-0000-0100-0000320F0000}">
      <text>
        <r>
          <rPr>
            <sz val="11"/>
            <color theme="1"/>
            <rFont val="Calibri"/>
            <family val="2"/>
            <scheme val="minor"/>
          </rPr>
          <t>Monto calculado automáticamente por el sistema</t>
        </r>
      </text>
    </comment>
    <comment ref="A4077" authorId="1" shapeId="0" xr:uid="{00000000-0006-0000-0100-0000330F0000}">
      <text>
        <r>
          <rPr>
            <sz val="11"/>
            <color theme="1"/>
            <rFont val="Calibri"/>
            <family val="2"/>
            <scheme val="minor"/>
          </rPr>
          <t>Introducir un texto con el nombre o referencia de la contratación</t>
        </r>
      </text>
    </comment>
    <comment ref="B4077" authorId="1" shapeId="0" xr:uid="{00000000-0006-0000-0100-0000340F0000}">
      <text>
        <r>
          <rPr>
            <sz val="11"/>
            <color theme="1"/>
            <rFont val="Calibri"/>
            <family val="2"/>
            <scheme val="minor"/>
          </rPr>
          <t>Introduzca un texto con la finalidad de la contratación</t>
        </r>
      </text>
    </comment>
    <comment ref="C4077" authorId="1" shapeId="0" xr:uid="{00000000-0006-0000-0100-0000350F0000}">
      <text>
        <r>
          <rPr>
            <sz val="11"/>
            <color theme="1"/>
            <rFont val="Calibri"/>
            <family val="2"/>
            <scheme val="minor"/>
          </rPr>
          <t>Seleccionar un valor del listado</t>
        </r>
      </text>
    </comment>
    <comment ref="D4077" authorId="1" shapeId="0" xr:uid="{00000000-0006-0000-0100-0000360F0000}">
      <text>
        <r>
          <rPr>
            <sz val="11"/>
            <color theme="1"/>
            <rFont val="Calibri"/>
            <family val="2"/>
            <scheme val="minor"/>
          </rPr>
          <t>Seleccione el tipo de procedimiento</t>
        </r>
      </text>
    </comment>
    <comment ref="E4077" authorId="1" shapeId="0" xr:uid="{00000000-0006-0000-0100-0000370F0000}">
      <text>
        <r>
          <rPr>
            <sz val="11"/>
            <color theme="1"/>
            <rFont val="Calibri"/>
            <family val="2"/>
            <scheme val="minor"/>
          </rPr>
          <t>Seleccione un valor de la lista</t>
        </r>
      </text>
    </comment>
    <comment ref="F4077" authorId="1" shapeId="0" xr:uid="{00000000-0006-0000-0100-0000380F0000}">
      <text>
        <r>
          <rPr>
            <sz val="11"/>
            <color theme="1"/>
            <rFont val="Calibri"/>
            <family val="2"/>
            <scheme val="minor"/>
          </rPr>
          <t>Introduzca el código SNIP</t>
        </r>
      </text>
    </comment>
    <comment ref="C4078" authorId="1" shapeId="0" xr:uid="{00000000-0006-0000-0100-0000390F0000}">
      <text>
        <r>
          <rPr>
            <sz val="11"/>
            <color theme="1"/>
            <rFont val="Calibri"/>
            <family val="2"/>
            <scheme val="minor"/>
          </rPr>
          <t>Introduzca la fecha de inicio del proceso, en formato dd-mm-aaaa</t>
        </r>
      </text>
    </comment>
    <comment ref="F4078" authorId="1" shapeId="0" xr:uid="{00000000-0006-0000-0100-00003B0F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79" authorId="1" shapeId="0" xr:uid="{00000000-0006-0000-0100-00003C0F0000}">
      <text/>
    </comment>
    <comment ref="C4080" authorId="1" shapeId="0" xr:uid="{00000000-0006-0000-0100-00003A0F0000}">
      <text>
        <r>
          <rPr>
            <sz val="11"/>
            <color theme="1"/>
            <rFont val="Calibri"/>
            <family val="2"/>
            <scheme val="minor"/>
          </rPr>
          <t>Introduzca la fecha prevista de adjudicación, en formato dd-mm-aaaa</t>
        </r>
      </text>
    </comment>
    <comment ref="F4080" authorId="1" shapeId="0" xr:uid="{00000000-0006-0000-0100-00003D0F0000}">
      <text/>
    </comment>
    <comment ref="F4081" authorId="1" shapeId="0" xr:uid="{00000000-0006-0000-0100-00003E0F0000}">
      <text/>
    </comment>
    <comment ref="A4083" authorId="1" shapeId="0" xr:uid="{00000000-0006-0000-0100-00003F0F0000}">
      <text>
        <r>
          <rPr>
            <sz val="11"/>
            <color theme="1"/>
            <rFont val="Calibri"/>
            <family val="2"/>
            <scheme val="minor"/>
          </rPr>
          <t>Introduzca un codigo UNSPSC</t>
        </r>
      </text>
    </comment>
    <comment ref="B4083" authorId="1" shapeId="0" xr:uid="{00000000-0006-0000-0100-0000400F0000}">
      <text>
        <r>
          <rPr>
            <sz val="11"/>
            <color theme="1"/>
            <rFont val="Calibri"/>
            <family val="2"/>
            <scheme val="minor"/>
          </rPr>
          <t>Descripción calculada automáticamente a partir de código del artículo</t>
        </r>
      </text>
    </comment>
    <comment ref="C4083" authorId="1" shapeId="0" xr:uid="{00000000-0006-0000-0100-0000410F0000}">
      <text>
        <r>
          <rPr>
            <sz val="11"/>
            <color theme="1"/>
            <rFont val="Calibri"/>
            <family val="2"/>
            <scheme val="minor"/>
          </rPr>
          <t>Seleccione un valor de la lista</t>
        </r>
      </text>
    </comment>
    <comment ref="D4083" authorId="1" shapeId="0" xr:uid="{00000000-0006-0000-0100-0000420F0000}">
      <text>
        <r>
          <rPr>
            <sz val="11"/>
            <color theme="1"/>
            <rFont val="Calibri"/>
            <family val="2"/>
            <scheme val="minor"/>
          </rPr>
          <t>Introduzca un número con dos decimales como máximo. Debe ser igual o mayor a la "Cantidad Real Consumida"</t>
        </r>
      </text>
    </comment>
    <comment ref="E4083" authorId="1" shapeId="0" xr:uid="{00000000-0006-0000-0100-0000430F0000}">
      <text>
        <r>
          <rPr>
            <sz val="11"/>
            <color theme="1"/>
            <rFont val="Calibri"/>
            <family val="2"/>
            <scheme val="minor"/>
          </rPr>
          <t>Introduzca un número con dos decimales como máximo</t>
        </r>
      </text>
    </comment>
    <comment ref="F4083" authorId="1" shapeId="0" xr:uid="{00000000-0006-0000-0100-0000440F0000}">
      <text>
        <r>
          <rPr>
            <sz val="11"/>
            <color theme="1"/>
            <rFont val="Calibri"/>
            <family val="2"/>
            <scheme val="minor"/>
          </rPr>
          <t>Monto calculado automáticamente por el sistema</t>
        </r>
      </text>
    </comment>
    <comment ref="A4131" authorId="1" shapeId="0" xr:uid="{00000000-0006-0000-0100-0000450F0000}">
      <text>
        <r>
          <rPr>
            <sz val="11"/>
            <color theme="1"/>
            <rFont val="Calibri"/>
            <family val="2"/>
            <scheme val="minor"/>
          </rPr>
          <t>Introducir un texto con el nombre o referencia de la contratación</t>
        </r>
      </text>
    </comment>
    <comment ref="B4131" authorId="1" shapeId="0" xr:uid="{00000000-0006-0000-0100-0000460F0000}">
      <text>
        <r>
          <rPr>
            <sz val="11"/>
            <color theme="1"/>
            <rFont val="Calibri"/>
            <family val="2"/>
            <scheme val="minor"/>
          </rPr>
          <t>Introduzca un texto con la finalidad de la contratación</t>
        </r>
      </text>
    </comment>
    <comment ref="C4131" authorId="1" shapeId="0" xr:uid="{00000000-0006-0000-0100-0000470F0000}">
      <text>
        <r>
          <rPr>
            <sz val="11"/>
            <color theme="1"/>
            <rFont val="Calibri"/>
            <family val="2"/>
            <scheme val="minor"/>
          </rPr>
          <t>Seleccionar un valor del listado</t>
        </r>
      </text>
    </comment>
    <comment ref="D4131" authorId="1" shapeId="0" xr:uid="{00000000-0006-0000-0100-0000480F0000}">
      <text>
        <r>
          <rPr>
            <sz val="11"/>
            <color theme="1"/>
            <rFont val="Calibri"/>
            <family val="2"/>
            <scheme val="minor"/>
          </rPr>
          <t>Seleccione el tipo de procedimiento</t>
        </r>
      </text>
    </comment>
    <comment ref="E4131" authorId="1" shapeId="0" xr:uid="{00000000-0006-0000-0100-0000490F0000}">
      <text>
        <r>
          <rPr>
            <sz val="11"/>
            <color theme="1"/>
            <rFont val="Calibri"/>
            <family val="2"/>
            <scheme val="minor"/>
          </rPr>
          <t>Seleccione un valor de la lista</t>
        </r>
      </text>
    </comment>
    <comment ref="F4131" authorId="1" shapeId="0" xr:uid="{00000000-0006-0000-0100-00004A0F0000}">
      <text>
        <r>
          <rPr>
            <sz val="11"/>
            <color theme="1"/>
            <rFont val="Calibri"/>
            <family val="2"/>
            <scheme val="minor"/>
          </rPr>
          <t>Introduzca el código SNIP</t>
        </r>
      </text>
    </comment>
    <comment ref="C4132" authorId="1" shapeId="0" xr:uid="{00000000-0006-0000-0100-00004B0F0000}">
      <text>
        <r>
          <rPr>
            <sz val="11"/>
            <color theme="1"/>
            <rFont val="Calibri"/>
            <family val="2"/>
            <scheme val="minor"/>
          </rPr>
          <t>Introduzca la fecha de inicio del proceso, en formato dd-mm-aaaa</t>
        </r>
      </text>
    </comment>
    <comment ref="F4132" authorId="1" shapeId="0" xr:uid="{00000000-0006-0000-0100-00004D0F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33" authorId="1" shapeId="0" xr:uid="{00000000-0006-0000-0100-00004E0F0000}">
      <text/>
    </comment>
    <comment ref="C4134" authorId="1" shapeId="0" xr:uid="{00000000-0006-0000-0100-00004C0F0000}">
      <text>
        <r>
          <rPr>
            <sz val="11"/>
            <color theme="1"/>
            <rFont val="Calibri"/>
            <family val="2"/>
            <scheme val="minor"/>
          </rPr>
          <t>Introduzca la fecha prevista de adjudicación, en formato dd-mm-aaaa</t>
        </r>
      </text>
    </comment>
    <comment ref="F4134" authorId="1" shapeId="0" xr:uid="{00000000-0006-0000-0100-00004F0F0000}">
      <text/>
    </comment>
    <comment ref="F4135" authorId="1" shapeId="0" xr:uid="{00000000-0006-0000-0100-0000500F0000}">
      <text/>
    </comment>
    <comment ref="A4137" authorId="1" shapeId="0" xr:uid="{00000000-0006-0000-0100-0000510F0000}">
      <text>
        <r>
          <rPr>
            <sz val="11"/>
            <color theme="1"/>
            <rFont val="Calibri"/>
            <family val="2"/>
            <scheme val="minor"/>
          </rPr>
          <t>Introduzca un codigo UNSPSC</t>
        </r>
      </text>
    </comment>
    <comment ref="B4137" authorId="1" shapeId="0" xr:uid="{00000000-0006-0000-0100-0000520F0000}">
      <text>
        <r>
          <rPr>
            <sz val="11"/>
            <color theme="1"/>
            <rFont val="Calibri"/>
            <family val="2"/>
            <scheme val="minor"/>
          </rPr>
          <t>Descripción calculada automáticamente a partir de código del artículo</t>
        </r>
      </text>
    </comment>
    <comment ref="C4137" authorId="1" shapeId="0" xr:uid="{00000000-0006-0000-0100-0000530F0000}">
      <text>
        <r>
          <rPr>
            <sz val="11"/>
            <color theme="1"/>
            <rFont val="Calibri"/>
            <family val="2"/>
            <scheme val="minor"/>
          </rPr>
          <t>Seleccione un valor de la lista</t>
        </r>
      </text>
    </comment>
    <comment ref="D4137" authorId="1" shapeId="0" xr:uid="{00000000-0006-0000-0100-0000540F0000}">
      <text>
        <r>
          <rPr>
            <sz val="11"/>
            <color theme="1"/>
            <rFont val="Calibri"/>
            <family val="2"/>
            <scheme val="minor"/>
          </rPr>
          <t>Introduzca un número con dos decimales como máximo. Debe ser igual o mayor a la "Cantidad Real Consumida"</t>
        </r>
      </text>
    </comment>
    <comment ref="E4137" authorId="1" shapeId="0" xr:uid="{00000000-0006-0000-0100-0000550F0000}">
      <text>
        <r>
          <rPr>
            <sz val="11"/>
            <color theme="1"/>
            <rFont val="Calibri"/>
            <family val="2"/>
            <scheme val="minor"/>
          </rPr>
          <t>Introduzca un número con dos decimales como máximo</t>
        </r>
      </text>
    </comment>
    <comment ref="F4137" authorId="1" shapeId="0" xr:uid="{00000000-0006-0000-0100-0000560F0000}">
      <text>
        <r>
          <rPr>
            <sz val="11"/>
            <color theme="1"/>
            <rFont val="Calibri"/>
            <family val="2"/>
            <scheme val="minor"/>
          </rPr>
          <t>Monto calculado automáticamente por el sistema</t>
        </r>
      </text>
    </comment>
    <comment ref="A4146" authorId="1" shapeId="0" xr:uid="{00000000-0006-0000-0100-0000570F0000}">
      <text>
        <r>
          <rPr>
            <sz val="11"/>
            <color theme="1"/>
            <rFont val="Calibri"/>
            <family val="2"/>
            <scheme val="minor"/>
          </rPr>
          <t>Introducir un texto con el nombre o referencia de la contratación</t>
        </r>
      </text>
    </comment>
    <comment ref="B4146" authorId="1" shapeId="0" xr:uid="{00000000-0006-0000-0100-0000580F0000}">
      <text>
        <r>
          <rPr>
            <sz val="11"/>
            <color theme="1"/>
            <rFont val="Calibri"/>
            <family val="2"/>
            <scheme val="minor"/>
          </rPr>
          <t>Introduzca un texto con la finalidad de la contratación</t>
        </r>
      </text>
    </comment>
    <comment ref="C4146" authorId="1" shapeId="0" xr:uid="{00000000-0006-0000-0100-0000590F0000}">
      <text>
        <r>
          <rPr>
            <sz val="11"/>
            <color theme="1"/>
            <rFont val="Calibri"/>
            <family val="2"/>
            <scheme val="minor"/>
          </rPr>
          <t>Seleccionar un valor del listado</t>
        </r>
      </text>
    </comment>
    <comment ref="D4146" authorId="1" shapeId="0" xr:uid="{00000000-0006-0000-0100-00005A0F0000}">
      <text>
        <r>
          <rPr>
            <sz val="11"/>
            <color theme="1"/>
            <rFont val="Calibri"/>
            <family val="2"/>
            <scheme val="minor"/>
          </rPr>
          <t>Seleccione el tipo de procedimiento</t>
        </r>
      </text>
    </comment>
    <comment ref="E4146" authorId="1" shapeId="0" xr:uid="{00000000-0006-0000-0100-00005B0F0000}">
      <text>
        <r>
          <rPr>
            <sz val="11"/>
            <color theme="1"/>
            <rFont val="Calibri"/>
            <family val="2"/>
            <scheme val="minor"/>
          </rPr>
          <t>Seleccione un valor de la lista</t>
        </r>
      </text>
    </comment>
    <comment ref="F4146" authorId="1" shapeId="0" xr:uid="{00000000-0006-0000-0100-00005C0F0000}">
      <text>
        <r>
          <rPr>
            <sz val="11"/>
            <color theme="1"/>
            <rFont val="Calibri"/>
            <family val="2"/>
            <scheme val="minor"/>
          </rPr>
          <t>Introduzca el código SNIP</t>
        </r>
      </text>
    </comment>
    <comment ref="C4147" authorId="1" shapeId="0" xr:uid="{00000000-0006-0000-0100-00005D0F0000}">
      <text>
        <r>
          <rPr>
            <sz val="11"/>
            <color theme="1"/>
            <rFont val="Calibri"/>
            <family val="2"/>
            <scheme val="minor"/>
          </rPr>
          <t>Introduzca la fecha de inicio del proceso, en formato dd-mm-aaaa</t>
        </r>
      </text>
    </comment>
    <comment ref="F4147" authorId="1" shapeId="0" xr:uid="{00000000-0006-0000-0100-00005F0F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48" authorId="1" shapeId="0" xr:uid="{00000000-0006-0000-0100-0000600F0000}">
      <text/>
    </comment>
    <comment ref="C4149" authorId="1" shapeId="0" xr:uid="{00000000-0006-0000-0100-00005E0F0000}">
      <text>
        <r>
          <rPr>
            <sz val="11"/>
            <color theme="1"/>
            <rFont val="Calibri"/>
            <family val="2"/>
            <scheme val="minor"/>
          </rPr>
          <t>Introduzca la fecha prevista de adjudicación, en formato dd-mm-aaaa</t>
        </r>
      </text>
    </comment>
    <comment ref="F4149" authorId="1" shapeId="0" xr:uid="{00000000-0006-0000-0100-0000610F0000}">
      <text/>
    </comment>
    <comment ref="F4150" authorId="1" shapeId="0" xr:uid="{00000000-0006-0000-0100-0000620F0000}">
      <text/>
    </comment>
    <comment ref="A4152" authorId="1" shapeId="0" xr:uid="{00000000-0006-0000-0100-0000630F0000}">
      <text>
        <r>
          <rPr>
            <sz val="11"/>
            <color theme="1"/>
            <rFont val="Calibri"/>
            <family val="2"/>
            <scheme val="minor"/>
          </rPr>
          <t>Introduzca un codigo UNSPSC</t>
        </r>
      </text>
    </comment>
    <comment ref="B4152" authorId="1" shapeId="0" xr:uid="{00000000-0006-0000-0100-0000640F0000}">
      <text>
        <r>
          <rPr>
            <sz val="11"/>
            <color theme="1"/>
            <rFont val="Calibri"/>
            <family val="2"/>
            <scheme val="minor"/>
          </rPr>
          <t>Descripción calculada automáticamente a partir de código del artículo</t>
        </r>
      </text>
    </comment>
    <comment ref="C4152" authorId="1" shapeId="0" xr:uid="{00000000-0006-0000-0100-0000650F0000}">
      <text>
        <r>
          <rPr>
            <sz val="11"/>
            <color theme="1"/>
            <rFont val="Calibri"/>
            <family val="2"/>
            <scheme val="minor"/>
          </rPr>
          <t>Seleccione un valor de la lista</t>
        </r>
      </text>
    </comment>
    <comment ref="D4152" authorId="1" shapeId="0" xr:uid="{00000000-0006-0000-0100-0000660F0000}">
      <text>
        <r>
          <rPr>
            <sz val="11"/>
            <color theme="1"/>
            <rFont val="Calibri"/>
            <family val="2"/>
            <scheme val="minor"/>
          </rPr>
          <t>Introduzca un número con dos decimales como máximo. Debe ser igual o mayor a la "Cantidad Real Consumida"</t>
        </r>
      </text>
    </comment>
    <comment ref="E4152" authorId="1" shapeId="0" xr:uid="{00000000-0006-0000-0100-0000670F0000}">
      <text>
        <r>
          <rPr>
            <sz val="11"/>
            <color theme="1"/>
            <rFont val="Calibri"/>
            <family val="2"/>
            <scheme val="minor"/>
          </rPr>
          <t>Introduzca un número con dos decimales como máximo</t>
        </r>
      </text>
    </comment>
    <comment ref="F4152" authorId="1" shapeId="0" xr:uid="{00000000-0006-0000-0100-0000680F0000}">
      <text>
        <r>
          <rPr>
            <sz val="11"/>
            <color theme="1"/>
            <rFont val="Calibri"/>
            <family val="2"/>
            <scheme val="minor"/>
          </rPr>
          <t>Monto calculado automáticamente por el sistema</t>
        </r>
      </text>
    </comment>
    <comment ref="A4157" authorId="1" shapeId="0" xr:uid="{00000000-0006-0000-0100-0000690F0000}">
      <text>
        <r>
          <rPr>
            <sz val="11"/>
            <color theme="1"/>
            <rFont val="Calibri"/>
            <family val="2"/>
            <scheme val="minor"/>
          </rPr>
          <t>Introducir un texto con el nombre o referencia de la contratación</t>
        </r>
      </text>
    </comment>
    <comment ref="B4157" authorId="1" shapeId="0" xr:uid="{00000000-0006-0000-0100-00006A0F0000}">
      <text>
        <r>
          <rPr>
            <sz val="11"/>
            <color theme="1"/>
            <rFont val="Calibri"/>
            <family val="2"/>
            <scheme val="minor"/>
          </rPr>
          <t>Introduzca un texto con la finalidad de la contratación</t>
        </r>
      </text>
    </comment>
    <comment ref="C4157" authorId="1" shapeId="0" xr:uid="{00000000-0006-0000-0100-00006B0F0000}">
      <text>
        <r>
          <rPr>
            <sz val="11"/>
            <color theme="1"/>
            <rFont val="Calibri"/>
            <family val="2"/>
            <scheme val="minor"/>
          </rPr>
          <t>Seleccionar un valor del listado</t>
        </r>
      </text>
    </comment>
    <comment ref="D4157" authorId="1" shapeId="0" xr:uid="{00000000-0006-0000-0100-00006C0F0000}">
      <text>
        <r>
          <rPr>
            <sz val="11"/>
            <color theme="1"/>
            <rFont val="Calibri"/>
            <family val="2"/>
            <scheme val="minor"/>
          </rPr>
          <t>Seleccione el tipo de procedimiento</t>
        </r>
      </text>
    </comment>
    <comment ref="E4157" authorId="1" shapeId="0" xr:uid="{00000000-0006-0000-0100-00006D0F0000}">
      <text>
        <r>
          <rPr>
            <sz val="11"/>
            <color theme="1"/>
            <rFont val="Calibri"/>
            <family val="2"/>
            <scheme val="minor"/>
          </rPr>
          <t>Seleccione un valor de la lista</t>
        </r>
      </text>
    </comment>
    <comment ref="F4157" authorId="1" shapeId="0" xr:uid="{00000000-0006-0000-0100-00006E0F0000}">
      <text>
        <r>
          <rPr>
            <sz val="11"/>
            <color theme="1"/>
            <rFont val="Calibri"/>
            <family val="2"/>
            <scheme val="minor"/>
          </rPr>
          <t>Introduzca el código SNIP</t>
        </r>
      </text>
    </comment>
    <comment ref="C4158" authorId="1" shapeId="0" xr:uid="{00000000-0006-0000-0100-00006F0F0000}">
      <text>
        <r>
          <rPr>
            <sz val="11"/>
            <color theme="1"/>
            <rFont val="Calibri"/>
            <family val="2"/>
            <scheme val="minor"/>
          </rPr>
          <t>Introduzca la fecha de inicio del proceso, en formato dd-mm-aaaa</t>
        </r>
      </text>
    </comment>
    <comment ref="F4158" authorId="1" shapeId="0" xr:uid="{00000000-0006-0000-0100-0000710F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59" authorId="1" shapeId="0" xr:uid="{00000000-0006-0000-0100-0000720F0000}">
      <text/>
    </comment>
    <comment ref="C4160" authorId="1" shapeId="0" xr:uid="{00000000-0006-0000-0100-0000700F0000}">
      <text>
        <r>
          <rPr>
            <sz val="11"/>
            <color theme="1"/>
            <rFont val="Calibri"/>
            <family val="2"/>
            <scheme val="minor"/>
          </rPr>
          <t>Introduzca la fecha prevista de adjudicación, en formato dd-mm-aaaa</t>
        </r>
      </text>
    </comment>
    <comment ref="F4160" authorId="1" shapeId="0" xr:uid="{00000000-0006-0000-0100-0000730F0000}">
      <text/>
    </comment>
    <comment ref="F4161" authorId="1" shapeId="0" xr:uid="{00000000-0006-0000-0100-0000740F0000}">
      <text/>
    </comment>
    <comment ref="A4163" authorId="1" shapeId="0" xr:uid="{00000000-0006-0000-0100-0000750F0000}">
      <text>
        <r>
          <rPr>
            <sz val="11"/>
            <color theme="1"/>
            <rFont val="Calibri"/>
            <family val="2"/>
            <scheme val="minor"/>
          </rPr>
          <t>Introduzca un codigo UNSPSC</t>
        </r>
      </text>
    </comment>
    <comment ref="B4163" authorId="1" shapeId="0" xr:uid="{00000000-0006-0000-0100-0000760F0000}">
      <text>
        <r>
          <rPr>
            <sz val="11"/>
            <color theme="1"/>
            <rFont val="Calibri"/>
            <family val="2"/>
            <scheme val="minor"/>
          </rPr>
          <t>Descripción calculada automáticamente a partir de código del artículo</t>
        </r>
      </text>
    </comment>
    <comment ref="C4163" authorId="1" shapeId="0" xr:uid="{00000000-0006-0000-0100-0000770F0000}">
      <text>
        <r>
          <rPr>
            <sz val="11"/>
            <color theme="1"/>
            <rFont val="Calibri"/>
            <family val="2"/>
            <scheme val="minor"/>
          </rPr>
          <t>Seleccione un valor de la lista</t>
        </r>
      </text>
    </comment>
    <comment ref="D4163" authorId="1" shapeId="0" xr:uid="{00000000-0006-0000-0100-0000780F0000}">
      <text>
        <r>
          <rPr>
            <sz val="11"/>
            <color theme="1"/>
            <rFont val="Calibri"/>
            <family val="2"/>
            <scheme val="minor"/>
          </rPr>
          <t>Introduzca un número con dos decimales como máximo. Debe ser igual o mayor a la "Cantidad Real Consumida"</t>
        </r>
      </text>
    </comment>
    <comment ref="E4163" authorId="1" shapeId="0" xr:uid="{00000000-0006-0000-0100-0000790F0000}">
      <text>
        <r>
          <rPr>
            <sz val="11"/>
            <color theme="1"/>
            <rFont val="Calibri"/>
            <family val="2"/>
            <scheme val="minor"/>
          </rPr>
          <t>Introduzca un número con dos decimales como máximo</t>
        </r>
      </text>
    </comment>
    <comment ref="F4163" authorId="1" shapeId="0" xr:uid="{00000000-0006-0000-0100-00007A0F0000}">
      <text>
        <r>
          <rPr>
            <sz val="11"/>
            <color theme="1"/>
            <rFont val="Calibri"/>
            <family val="2"/>
            <scheme val="minor"/>
          </rPr>
          <t>Monto calculado automáticamente por el sistema</t>
        </r>
      </text>
    </comment>
    <comment ref="A4211" authorId="1" shapeId="0" xr:uid="{00000000-0006-0000-0100-00007B0F0000}">
      <text>
        <r>
          <rPr>
            <sz val="11"/>
            <color theme="1"/>
            <rFont val="Calibri"/>
            <family val="2"/>
            <scheme val="minor"/>
          </rPr>
          <t>Introducir un texto con el nombre o referencia de la contratación</t>
        </r>
      </text>
    </comment>
    <comment ref="B4211" authorId="1" shapeId="0" xr:uid="{00000000-0006-0000-0100-00007C0F0000}">
      <text>
        <r>
          <rPr>
            <sz val="11"/>
            <color theme="1"/>
            <rFont val="Calibri"/>
            <family val="2"/>
            <scheme val="minor"/>
          </rPr>
          <t>Introduzca un texto con la finalidad de la contratación</t>
        </r>
      </text>
    </comment>
    <comment ref="C4211" authorId="1" shapeId="0" xr:uid="{00000000-0006-0000-0100-00007D0F0000}">
      <text>
        <r>
          <rPr>
            <sz val="11"/>
            <color theme="1"/>
            <rFont val="Calibri"/>
            <family val="2"/>
            <scheme val="minor"/>
          </rPr>
          <t>Seleccionar un valor del listado</t>
        </r>
      </text>
    </comment>
    <comment ref="D4211" authorId="1" shapeId="0" xr:uid="{00000000-0006-0000-0100-00007E0F0000}">
      <text>
        <r>
          <rPr>
            <sz val="11"/>
            <color theme="1"/>
            <rFont val="Calibri"/>
            <family val="2"/>
            <scheme val="minor"/>
          </rPr>
          <t>Seleccione el tipo de procedimiento</t>
        </r>
      </text>
    </comment>
    <comment ref="E4211" authorId="1" shapeId="0" xr:uid="{00000000-0006-0000-0100-00007F0F0000}">
      <text>
        <r>
          <rPr>
            <sz val="11"/>
            <color theme="1"/>
            <rFont val="Calibri"/>
            <family val="2"/>
            <scheme val="minor"/>
          </rPr>
          <t>Seleccione un valor de la lista</t>
        </r>
      </text>
    </comment>
    <comment ref="F4211" authorId="1" shapeId="0" xr:uid="{00000000-0006-0000-0100-0000800F0000}">
      <text>
        <r>
          <rPr>
            <sz val="11"/>
            <color theme="1"/>
            <rFont val="Calibri"/>
            <family val="2"/>
            <scheme val="minor"/>
          </rPr>
          <t>Introduzca el código SNIP</t>
        </r>
      </text>
    </comment>
    <comment ref="C4212" authorId="1" shapeId="0" xr:uid="{00000000-0006-0000-0100-0000810F0000}">
      <text>
        <r>
          <rPr>
            <sz val="11"/>
            <color theme="1"/>
            <rFont val="Calibri"/>
            <family val="2"/>
            <scheme val="minor"/>
          </rPr>
          <t>Introduzca la fecha de inicio del proceso, en formato dd-mm-aaaa</t>
        </r>
      </text>
    </comment>
    <comment ref="F4212" authorId="1" shapeId="0" xr:uid="{00000000-0006-0000-0100-0000830F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13" authorId="1" shapeId="0" xr:uid="{00000000-0006-0000-0100-0000840F0000}">
      <text/>
    </comment>
    <comment ref="C4214" authorId="1" shapeId="0" xr:uid="{00000000-0006-0000-0100-0000820F0000}">
      <text>
        <r>
          <rPr>
            <sz val="11"/>
            <color theme="1"/>
            <rFont val="Calibri"/>
            <family val="2"/>
            <scheme val="minor"/>
          </rPr>
          <t>Introduzca la fecha prevista de adjudicación, en formato dd-mm-aaaa</t>
        </r>
      </text>
    </comment>
    <comment ref="F4214" authorId="1" shapeId="0" xr:uid="{00000000-0006-0000-0100-0000850F0000}">
      <text/>
    </comment>
    <comment ref="F4215" authorId="1" shapeId="0" xr:uid="{00000000-0006-0000-0100-0000860F0000}">
      <text/>
    </comment>
    <comment ref="A4217" authorId="1" shapeId="0" xr:uid="{00000000-0006-0000-0100-0000870F0000}">
      <text>
        <r>
          <rPr>
            <sz val="11"/>
            <color theme="1"/>
            <rFont val="Calibri"/>
            <family val="2"/>
            <scheme val="minor"/>
          </rPr>
          <t>Introduzca un codigo UNSPSC</t>
        </r>
      </text>
    </comment>
    <comment ref="B4217" authorId="1" shapeId="0" xr:uid="{00000000-0006-0000-0100-0000880F0000}">
      <text>
        <r>
          <rPr>
            <sz val="11"/>
            <color theme="1"/>
            <rFont val="Calibri"/>
            <family val="2"/>
            <scheme val="minor"/>
          </rPr>
          <t>Descripción calculada automáticamente a partir de código del artículo</t>
        </r>
      </text>
    </comment>
    <comment ref="C4217" authorId="1" shapeId="0" xr:uid="{00000000-0006-0000-0100-0000890F0000}">
      <text>
        <r>
          <rPr>
            <sz val="11"/>
            <color theme="1"/>
            <rFont val="Calibri"/>
            <family val="2"/>
            <scheme val="minor"/>
          </rPr>
          <t>Seleccione un valor de la lista</t>
        </r>
      </text>
    </comment>
    <comment ref="D4217" authorId="1" shapeId="0" xr:uid="{00000000-0006-0000-0100-00008A0F0000}">
      <text>
        <r>
          <rPr>
            <sz val="11"/>
            <color theme="1"/>
            <rFont val="Calibri"/>
            <family val="2"/>
            <scheme val="minor"/>
          </rPr>
          <t>Introduzca un número con dos decimales como máximo. Debe ser igual o mayor a la "Cantidad Real Consumida"</t>
        </r>
      </text>
    </comment>
    <comment ref="E4217" authorId="1" shapeId="0" xr:uid="{00000000-0006-0000-0100-00008B0F0000}">
      <text>
        <r>
          <rPr>
            <sz val="11"/>
            <color theme="1"/>
            <rFont val="Calibri"/>
            <family val="2"/>
            <scheme val="minor"/>
          </rPr>
          <t>Introduzca un número con dos decimales como máximo</t>
        </r>
      </text>
    </comment>
    <comment ref="F4217" authorId="1" shapeId="0" xr:uid="{00000000-0006-0000-0100-00008C0F0000}">
      <text>
        <r>
          <rPr>
            <sz val="11"/>
            <color theme="1"/>
            <rFont val="Calibri"/>
            <family val="2"/>
            <scheme val="minor"/>
          </rPr>
          <t>Monto calculado automáticamente por el sistema</t>
        </r>
      </text>
    </comment>
    <comment ref="A4265" authorId="1" shapeId="0" xr:uid="{00000000-0006-0000-0100-00008D0F0000}">
      <text>
        <r>
          <rPr>
            <sz val="11"/>
            <color theme="1"/>
            <rFont val="Calibri"/>
            <family val="2"/>
            <scheme val="minor"/>
          </rPr>
          <t>Introducir un texto con el nombre o referencia de la contratación</t>
        </r>
      </text>
    </comment>
    <comment ref="B4265" authorId="1" shapeId="0" xr:uid="{00000000-0006-0000-0100-00008E0F0000}">
      <text>
        <r>
          <rPr>
            <sz val="11"/>
            <color theme="1"/>
            <rFont val="Calibri"/>
            <family val="2"/>
            <scheme val="minor"/>
          </rPr>
          <t>Introduzca un texto con la finalidad de la contratación</t>
        </r>
      </text>
    </comment>
    <comment ref="C4265" authorId="1" shapeId="0" xr:uid="{00000000-0006-0000-0100-00008F0F0000}">
      <text>
        <r>
          <rPr>
            <sz val="11"/>
            <color theme="1"/>
            <rFont val="Calibri"/>
            <family val="2"/>
            <scheme val="minor"/>
          </rPr>
          <t>Seleccionar un valor del listado</t>
        </r>
      </text>
    </comment>
    <comment ref="D4265" authorId="1" shapeId="0" xr:uid="{00000000-0006-0000-0100-0000900F0000}">
      <text>
        <r>
          <rPr>
            <sz val="11"/>
            <color theme="1"/>
            <rFont val="Calibri"/>
            <family val="2"/>
            <scheme val="minor"/>
          </rPr>
          <t>Seleccione el tipo de procedimiento</t>
        </r>
      </text>
    </comment>
    <comment ref="E4265" authorId="1" shapeId="0" xr:uid="{00000000-0006-0000-0100-0000910F0000}">
      <text>
        <r>
          <rPr>
            <sz val="11"/>
            <color theme="1"/>
            <rFont val="Calibri"/>
            <family val="2"/>
            <scheme val="minor"/>
          </rPr>
          <t>Seleccione un valor de la lista</t>
        </r>
      </text>
    </comment>
    <comment ref="F4265" authorId="1" shapeId="0" xr:uid="{00000000-0006-0000-0100-0000920F0000}">
      <text>
        <r>
          <rPr>
            <sz val="11"/>
            <color theme="1"/>
            <rFont val="Calibri"/>
            <family val="2"/>
            <scheme val="minor"/>
          </rPr>
          <t>Introduzca el código SNIP</t>
        </r>
      </text>
    </comment>
    <comment ref="C4266" authorId="1" shapeId="0" xr:uid="{00000000-0006-0000-0100-0000930F0000}">
      <text>
        <r>
          <rPr>
            <sz val="11"/>
            <color theme="1"/>
            <rFont val="Calibri"/>
            <family val="2"/>
            <scheme val="minor"/>
          </rPr>
          <t>Introduzca la fecha de inicio del proceso, en formato dd-mm-aaaa</t>
        </r>
      </text>
    </comment>
    <comment ref="F4266" authorId="1" shapeId="0" xr:uid="{00000000-0006-0000-0100-0000950F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67" authorId="1" shapeId="0" xr:uid="{00000000-0006-0000-0100-0000960F0000}">
      <text/>
    </comment>
    <comment ref="C4268" authorId="1" shapeId="0" xr:uid="{00000000-0006-0000-0100-0000940F0000}">
      <text>
        <r>
          <rPr>
            <sz val="11"/>
            <color theme="1"/>
            <rFont val="Calibri"/>
            <family val="2"/>
            <scheme val="minor"/>
          </rPr>
          <t>Introduzca la fecha prevista de adjudicación, en formato dd-mm-aaaa</t>
        </r>
      </text>
    </comment>
    <comment ref="F4268" authorId="1" shapeId="0" xr:uid="{00000000-0006-0000-0100-0000970F0000}">
      <text/>
    </comment>
    <comment ref="F4269" authorId="1" shapeId="0" xr:uid="{00000000-0006-0000-0100-0000980F0000}">
      <text/>
    </comment>
    <comment ref="A4271" authorId="1" shapeId="0" xr:uid="{00000000-0006-0000-0100-0000990F0000}">
      <text>
        <r>
          <rPr>
            <sz val="11"/>
            <color theme="1"/>
            <rFont val="Calibri"/>
            <family val="2"/>
            <scheme val="minor"/>
          </rPr>
          <t>Introduzca un codigo UNSPSC</t>
        </r>
      </text>
    </comment>
    <comment ref="B4271" authorId="1" shapeId="0" xr:uid="{00000000-0006-0000-0100-00009A0F0000}">
      <text>
        <r>
          <rPr>
            <sz val="11"/>
            <color theme="1"/>
            <rFont val="Calibri"/>
            <family val="2"/>
            <scheme val="minor"/>
          </rPr>
          <t>Descripción calculada automáticamente a partir de código del artículo</t>
        </r>
      </text>
    </comment>
    <comment ref="C4271" authorId="1" shapeId="0" xr:uid="{00000000-0006-0000-0100-00009B0F0000}">
      <text>
        <r>
          <rPr>
            <sz val="11"/>
            <color theme="1"/>
            <rFont val="Calibri"/>
            <family val="2"/>
            <scheme val="minor"/>
          </rPr>
          <t>Seleccione un valor de la lista</t>
        </r>
      </text>
    </comment>
    <comment ref="D4271" authorId="1" shapeId="0" xr:uid="{00000000-0006-0000-0100-00009C0F0000}">
      <text>
        <r>
          <rPr>
            <sz val="11"/>
            <color theme="1"/>
            <rFont val="Calibri"/>
            <family val="2"/>
            <scheme val="minor"/>
          </rPr>
          <t>Introduzca un número con dos decimales como máximo. Debe ser igual o mayor a la "Cantidad Real Consumida"</t>
        </r>
      </text>
    </comment>
    <comment ref="E4271" authorId="1" shapeId="0" xr:uid="{00000000-0006-0000-0100-00009D0F0000}">
      <text>
        <r>
          <rPr>
            <sz val="11"/>
            <color theme="1"/>
            <rFont val="Calibri"/>
            <family val="2"/>
            <scheme val="minor"/>
          </rPr>
          <t>Introduzca un número con dos decimales como máximo</t>
        </r>
      </text>
    </comment>
    <comment ref="F4271" authorId="1" shapeId="0" xr:uid="{00000000-0006-0000-0100-00009E0F0000}">
      <text>
        <r>
          <rPr>
            <sz val="11"/>
            <color theme="1"/>
            <rFont val="Calibri"/>
            <family val="2"/>
            <scheme val="minor"/>
          </rPr>
          <t>Monto calculado automáticamente por el sistema</t>
        </r>
      </text>
    </comment>
    <comment ref="A4318" authorId="1" shapeId="0" xr:uid="{00000000-0006-0000-0100-00009F0F0000}">
      <text>
        <r>
          <rPr>
            <sz val="11"/>
            <color theme="1"/>
            <rFont val="Calibri"/>
            <family val="2"/>
            <scheme val="minor"/>
          </rPr>
          <t>Introducir un texto con el nombre o referencia de la contratación</t>
        </r>
      </text>
    </comment>
    <comment ref="B4318" authorId="1" shapeId="0" xr:uid="{00000000-0006-0000-0100-0000A00F0000}">
      <text>
        <r>
          <rPr>
            <sz val="11"/>
            <color theme="1"/>
            <rFont val="Calibri"/>
            <family val="2"/>
            <scheme val="minor"/>
          </rPr>
          <t>Introduzca un texto con la finalidad de la contratación</t>
        </r>
      </text>
    </comment>
    <comment ref="C4318" authorId="1" shapeId="0" xr:uid="{00000000-0006-0000-0100-0000A10F0000}">
      <text>
        <r>
          <rPr>
            <sz val="11"/>
            <color theme="1"/>
            <rFont val="Calibri"/>
            <family val="2"/>
            <scheme val="minor"/>
          </rPr>
          <t>Seleccionar un valor del listado</t>
        </r>
      </text>
    </comment>
    <comment ref="D4318" authorId="1" shapeId="0" xr:uid="{00000000-0006-0000-0100-0000A20F0000}">
      <text>
        <r>
          <rPr>
            <sz val="11"/>
            <color theme="1"/>
            <rFont val="Calibri"/>
            <family val="2"/>
            <scheme val="minor"/>
          </rPr>
          <t>Seleccione el tipo de procedimiento</t>
        </r>
      </text>
    </comment>
    <comment ref="E4318" authorId="1" shapeId="0" xr:uid="{00000000-0006-0000-0100-0000A30F0000}">
      <text>
        <r>
          <rPr>
            <sz val="11"/>
            <color theme="1"/>
            <rFont val="Calibri"/>
            <family val="2"/>
            <scheme val="minor"/>
          </rPr>
          <t>Seleccione un valor de la lista</t>
        </r>
      </text>
    </comment>
    <comment ref="F4318" authorId="1" shapeId="0" xr:uid="{00000000-0006-0000-0100-0000A40F0000}">
      <text>
        <r>
          <rPr>
            <sz val="11"/>
            <color theme="1"/>
            <rFont val="Calibri"/>
            <family val="2"/>
            <scheme val="minor"/>
          </rPr>
          <t>Introduzca el código SNIP</t>
        </r>
      </text>
    </comment>
    <comment ref="C4319" authorId="1" shapeId="0" xr:uid="{00000000-0006-0000-0100-0000A50F0000}">
      <text>
        <r>
          <rPr>
            <sz val="11"/>
            <color theme="1"/>
            <rFont val="Calibri"/>
            <family val="2"/>
            <scheme val="minor"/>
          </rPr>
          <t>Introduzca la fecha de inicio del proceso, en formato dd-mm-aaaa</t>
        </r>
      </text>
    </comment>
    <comment ref="F4319" authorId="1" shapeId="0" xr:uid="{00000000-0006-0000-0100-0000A70F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20" authorId="1" shapeId="0" xr:uid="{00000000-0006-0000-0100-0000A80F0000}">
      <text/>
    </comment>
    <comment ref="C4321" authorId="1" shapeId="0" xr:uid="{00000000-0006-0000-0100-0000A60F0000}">
      <text>
        <r>
          <rPr>
            <sz val="11"/>
            <color theme="1"/>
            <rFont val="Calibri"/>
            <family val="2"/>
            <scheme val="minor"/>
          </rPr>
          <t>Introduzca la fecha prevista de adjudicación, en formato dd-mm-aaaa</t>
        </r>
      </text>
    </comment>
    <comment ref="F4321" authorId="1" shapeId="0" xr:uid="{00000000-0006-0000-0100-0000A90F0000}">
      <text/>
    </comment>
    <comment ref="F4322" authorId="1" shapeId="0" xr:uid="{00000000-0006-0000-0100-0000AA0F0000}">
      <text/>
    </comment>
    <comment ref="A4324" authorId="1" shapeId="0" xr:uid="{00000000-0006-0000-0100-0000AB0F0000}">
      <text>
        <r>
          <rPr>
            <sz val="11"/>
            <color theme="1"/>
            <rFont val="Calibri"/>
            <family val="2"/>
            <scheme val="minor"/>
          </rPr>
          <t>Introduzca un codigo UNSPSC</t>
        </r>
      </text>
    </comment>
    <comment ref="B4324" authorId="1" shapeId="0" xr:uid="{00000000-0006-0000-0100-0000AC0F0000}">
      <text>
        <r>
          <rPr>
            <sz val="11"/>
            <color theme="1"/>
            <rFont val="Calibri"/>
            <family val="2"/>
            <scheme val="minor"/>
          </rPr>
          <t>Descripción calculada automáticamente a partir de código del artículo</t>
        </r>
      </text>
    </comment>
    <comment ref="C4324" authorId="1" shapeId="0" xr:uid="{00000000-0006-0000-0100-0000AD0F0000}">
      <text>
        <r>
          <rPr>
            <sz val="11"/>
            <color theme="1"/>
            <rFont val="Calibri"/>
            <family val="2"/>
            <scheme val="minor"/>
          </rPr>
          <t>Seleccione un valor de la lista</t>
        </r>
      </text>
    </comment>
    <comment ref="D4324" authorId="1" shapeId="0" xr:uid="{00000000-0006-0000-0100-0000AE0F0000}">
      <text>
        <r>
          <rPr>
            <sz val="11"/>
            <color theme="1"/>
            <rFont val="Calibri"/>
            <family val="2"/>
            <scheme val="minor"/>
          </rPr>
          <t>Introduzca un número con dos decimales como máximo. Debe ser igual o mayor a la "Cantidad Real Consumida"</t>
        </r>
      </text>
    </comment>
    <comment ref="E4324" authorId="1" shapeId="0" xr:uid="{00000000-0006-0000-0100-0000AF0F0000}">
      <text>
        <r>
          <rPr>
            <sz val="11"/>
            <color theme="1"/>
            <rFont val="Calibri"/>
            <family val="2"/>
            <scheme val="minor"/>
          </rPr>
          <t>Introduzca un número con dos decimales como máximo</t>
        </r>
      </text>
    </comment>
    <comment ref="F4324" authorId="1" shapeId="0" xr:uid="{00000000-0006-0000-0100-0000B00F0000}">
      <text>
        <r>
          <rPr>
            <sz val="11"/>
            <color theme="1"/>
            <rFont val="Calibri"/>
            <family val="2"/>
            <scheme val="minor"/>
          </rPr>
          <t>Monto calculado automáticamente por el sistema</t>
        </r>
      </text>
    </comment>
    <comment ref="A4372" authorId="1" shapeId="0" xr:uid="{00000000-0006-0000-0100-0000B10F0000}">
      <text>
        <r>
          <rPr>
            <sz val="11"/>
            <color theme="1"/>
            <rFont val="Calibri"/>
            <family val="2"/>
            <scheme val="minor"/>
          </rPr>
          <t>Introducir un texto con el nombre o referencia de la contratación</t>
        </r>
      </text>
    </comment>
    <comment ref="B4372" authorId="1" shapeId="0" xr:uid="{00000000-0006-0000-0100-0000B20F0000}">
      <text>
        <r>
          <rPr>
            <sz val="11"/>
            <color theme="1"/>
            <rFont val="Calibri"/>
            <family val="2"/>
            <scheme val="minor"/>
          </rPr>
          <t>Introduzca un texto con la finalidad de la contratación</t>
        </r>
      </text>
    </comment>
    <comment ref="C4372" authorId="1" shapeId="0" xr:uid="{00000000-0006-0000-0100-0000B30F0000}">
      <text>
        <r>
          <rPr>
            <sz val="11"/>
            <color theme="1"/>
            <rFont val="Calibri"/>
            <family val="2"/>
            <scheme val="minor"/>
          </rPr>
          <t>Seleccionar un valor del listado</t>
        </r>
      </text>
    </comment>
    <comment ref="D4372" authorId="1" shapeId="0" xr:uid="{00000000-0006-0000-0100-0000B40F0000}">
      <text>
        <r>
          <rPr>
            <sz val="11"/>
            <color theme="1"/>
            <rFont val="Calibri"/>
            <family val="2"/>
            <scheme val="minor"/>
          </rPr>
          <t>Seleccione el tipo de procedimiento</t>
        </r>
      </text>
    </comment>
    <comment ref="E4372" authorId="1" shapeId="0" xr:uid="{00000000-0006-0000-0100-0000B50F0000}">
      <text>
        <r>
          <rPr>
            <sz val="11"/>
            <color theme="1"/>
            <rFont val="Calibri"/>
            <family val="2"/>
            <scheme val="minor"/>
          </rPr>
          <t>Seleccione un valor de la lista</t>
        </r>
      </text>
    </comment>
    <comment ref="F4372" authorId="1" shapeId="0" xr:uid="{00000000-0006-0000-0100-0000B60F0000}">
      <text>
        <r>
          <rPr>
            <sz val="11"/>
            <color theme="1"/>
            <rFont val="Calibri"/>
            <family val="2"/>
            <scheme val="minor"/>
          </rPr>
          <t>Introduzca el código SNIP</t>
        </r>
      </text>
    </comment>
    <comment ref="C4373" authorId="1" shapeId="0" xr:uid="{00000000-0006-0000-0100-0000B70F0000}">
      <text>
        <r>
          <rPr>
            <sz val="11"/>
            <color theme="1"/>
            <rFont val="Calibri"/>
            <family val="2"/>
            <scheme val="minor"/>
          </rPr>
          <t>Introduzca la fecha de inicio del proceso, en formato dd-mm-aaaa</t>
        </r>
      </text>
    </comment>
    <comment ref="F4373" authorId="1" shapeId="0" xr:uid="{00000000-0006-0000-0100-0000B90F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74" authorId="1" shapeId="0" xr:uid="{00000000-0006-0000-0100-0000BA0F0000}">
      <text/>
    </comment>
    <comment ref="C4375" authorId="1" shapeId="0" xr:uid="{00000000-0006-0000-0100-0000B80F0000}">
      <text>
        <r>
          <rPr>
            <sz val="11"/>
            <color theme="1"/>
            <rFont val="Calibri"/>
            <family val="2"/>
            <scheme val="minor"/>
          </rPr>
          <t>Introduzca la fecha prevista de adjudicación, en formato dd-mm-aaaa</t>
        </r>
      </text>
    </comment>
    <comment ref="F4375" authorId="1" shapeId="0" xr:uid="{00000000-0006-0000-0100-0000BB0F0000}">
      <text/>
    </comment>
    <comment ref="F4376" authorId="1" shapeId="0" xr:uid="{00000000-0006-0000-0100-0000BC0F0000}">
      <text/>
    </comment>
    <comment ref="A4378" authorId="1" shapeId="0" xr:uid="{00000000-0006-0000-0100-0000BD0F0000}">
      <text>
        <r>
          <rPr>
            <sz val="11"/>
            <color theme="1"/>
            <rFont val="Calibri"/>
            <family val="2"/>
            <scheme val="minor"/>
          </rPr>
          <t>Introduzca un codigo UNSPSC</t>
        </r>
      </text>
    </comment>
    <comment ref="B4378" authorId="1" shapeId="0" xr:uid="{00000000-0006-0000-0100-0000BE0F0000}">
      <text>
        <r>
          <rPr>
            <sz val="11"/>
            <color theme="1"/>
            <rFont val="Calibri"/>
            <family val="2"/>
            <scheme val="minor"/>
          </rPr>
          <t>Descripción calculada automáticamente a partir de código del artículo</t>
        </r>
      </text>
    </comment>
    <comment ref="C4378" authorId="1" shapeId="0" xr:uid="{00000000-0006-0000-0100-0000BF0F0000}">
      <text>
        <r>
          <rPr>
            <sz val="11"/>
            <color theme="1"/>
            <rFont val="Calibri"/>
            <family val="2"/>
            <scheme val="minor"/>
          </rPr>
          <t>Seleccione un valor de la lista</t>
        </r>
      </text>
    </comment>
    <comment ref="D4378" authorId="1" shapeId="0" xr:uid="{00000000-0006-0000-0100-0000C00F0000}">
      <text>
        <r>
          <rPr>
            <sz val="11"/>
            <color theme="1"/>
            <rFont val="Calibri"/>
            <family val="2"/>
            <scheme val="minor"/>
          </rPr>
          <t>Introduzca un número con dos decimales como máximo. Debe ser igual o mayor a la "Cantidad Real Consumida"</t>
        </r>
      </text>
    </comment>
    <comment ref="E4378" authorId="1" shapeId="0" xr:uid="{00000000-0006-0000-0100-0000C10F0000}">
      <text>
        <r>
          <rPr>
            <sz val="11"/>
            <color theme="1"/>
            <rFont val="Calibri"/>
            <family val="2"/>
            <scheme val="minor"/>
          </rPr>
          <t>Introduzca un número con dos decimales como máximo</t>
        </r>
      </text>
    </comment>
    <comment ref="F4378" authorId="1" shapeId="0" xr:uid="{00000000-0006-0000-0100-0000C20F0000}">
      <text>
        <r>
          <rPr>
            <sz val="11"/>
            <color theme="1"/>
            <rFont val="Calibri"/>
            <family val="2"/>
            <scheme val="minor"/>
          </rPr>
          <t>Monto calculado automáticamente por el sistema</t>
        </r>
      </text>
    </comment>
    <comment ref="A4386" authorId="1" shapeId="0" xr:uid="{00000000-0006-0000-0100-0000C30F0000}">
      <text>
        <r>
          <rPr>
            <sz val="11"/>
            <color theme="1"/>
            <rFont val="Calibri"/>
            <family val="2"/>
            <scheme val="minor"/>
          </rPr>
          <t>Introducir un texto con el nombre o referencia de la contratación</t>
        </r>
      </text>
    </comment>
    <comment ref="B4386" authorId="1" shapeId="0" xr:uid="{00000000-0006-0000-0100-0000C40F0000}">
      <text>
        <r>
          <rPr>
            <sz val="11"/>
            <color theme="1"/>
            <rFont val="Calibri"/>
            <family val="2"/>
            <scheme val="minor"/>
          </rPr>
          <t>Introduzca un texto con la finalidad de la contratación</t>
        </r>
      </text>
    </comment>
    <comment ref="C4386" authorId="1" shapeId="0" xr:uid="{00000000-0006-0000-0100-0000C50F0000}">
      <text>
        <r>
          <rPr>
            <sz val="11"/>
            <color theme="1"/>
            <rFont val="Calibri"/>
            <family val="2"/>
            <scheme val="minor"/>
          </rPr>
          <t>Seleccionar un valor del listado</t>
        </r>
      </text>
    </comment>
    <comment ref="D4386" authorId="1" shapeId="0" xr:uid="{00000000-0006-0000-0100-0000C60F0000}">
      <text>
        <r>
          <rPr>
            <sz val="11"/>
            <color theme="1"/>
            <rFont val="Calibri"/>
            <family val="2"/>
            <scheme val="minor"/>
          </rPr>
          <t>Seleccione el tipo de procedimiento</t>
        </r>
      </text>
    </comment>
    <comment ref="E4386" authorId="1" shapeId="0" xr:uid="{00000000-0006-0000-0100-0000C70F0000}">
      <text>
        <r>
          <rPr>
            <sz val="11"/>
            <color theme="1"/>
            <rFont val="Calibri"/>
            <family val="2"/>
            <scheme val="minor"/>
          </rPr>
          <t>Seleccione un valor de la lista</t>
        </r>
      </text>
    </comment>
    <comment ref="F4386" authorId="1" shapeId="0" xr:uid="{00000000-0006-0000-0100-0000C80F0000}">
      <text>
        <r>
          <rPr>
            <sz val="11"/>
            <color theme="1"/>
            <rFont val="Calibri"/>
            <family val="2"/>
            <scheme val="minor"/>
          </rPr>
          <t>Introduzca el código SNIP</t>
        </r>
      </text>
    </comment>
    <comment ref="C4387" authorId="1" shapeId="0" xr:uid="{00000000-0006-0000-0100-0000C90F0000}">
      <text>
        <r>
          <rPr>
            <sz val="11"/>
            <color theme="1"/>
            <rFont val="Calibri"/>
            <family val="2"/>
            <scheme val="minor"/>
          </rPr>
          <t>Introduzca la fecha de inicio del proceso, en formato dd-mm-aaaa</t>
        </r>
      </text>
    </comment>
    <comment ref="F4387" authorId="1" shapeId="0" xr:uid="{00000000-0006-0000-0100-0000CB0F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88" authorId="1" shapeId="0" xr:uid="{00000000-0006-0000-0100-0000CC0F0000}">
      <text/>
    </comment>
    <comment ref="C4389" authorId="1" shapeId="0" xr:uid="{00000000-0006-0000-0100-0000CA0F0000}">
      <text>
        <r>
          <rPr>
            <sz val="11"/>
            <color theme="1"/>
            <rFont val="Calibri"/>
            <family val="2"/>
            <scheme val="minor"/>
          </rPr>
          <t>Introduzca la fecha prevista de adjudicación, en formato dd-mm-aaaa</t>
        </r>
      </text>
    </comment>
    <comment ref="F4389" authorId="1" shapeId="0" xr:uid="{00000000-0006-0000-0100-0000CD0F0000}">
      <text/>
    </comment>
    <comment ref="F4390" authorId="1" shapeId="0" xr:uid="{00000000-0006-0000-0100-0000CE0F0000}">
      <text/>
    </comment>
    <comment ref="A4392" authorId="1" shapeId="0" xr:uid="{00000000-0006-0000-0100-0000CF0F0000}">
      <text>
        <r>
          <rPr>
            <sz val="11"/>
            <color theme="1"/>
            <rFont val="Calibri"/>
            <family val="2"/>
            <scheme val="minor"/>
          </rPr>
          <t>Introduzca un codigo UNSPSC</t>
        </r>
      </text>
    </comment>
    <comment ref="B4392" authorId="1" shapeId="0" xr:uid="{00000000-0006-0000-0100-0000D00F0000}">
      <text>
        <r>
          <rPr>
            <sz val="11"/>
            <color theme="1"/>
            <rFont val="Calibri"/>
            <family val="2"/>
            <scheme val="minor"/>
          </rPr>
          <t>Descripción calculada automáticamente a partir de código del artículo</t>
        </r>
      </text>
    </comment>
    <comment ref="C4392" authorId="1" shapeId="0" xr:uid="{00000000-0006-0000-0100-0000D10F0000}">
      <text>
        <r>
          <rPr>
            <sz val="11"/>
            <color theme="1"/>
            <rFont val="Calibri"/>
            <family val="2"/>
            <scheme val="minor"/>
          </rPr>
          <t>Seleccione un valor de la lista</t>
        </r>
      </text>
    </comment>
    <comment ref="D4392" authorId="1" shapeId="0" xr:uid="{00000000-0006-0000-0100-0000D20F0000}">
      <text>
        <r>
          <rPr>
            <sz val="11"/>
            <color theme="1"/>
            <rFont val="Calibri"/>
            <family val="2"/>
            <scheme val="minor"/>
          </rPr>
          <t>Introduzca un número con dos decimales como máximo. Debe ser igual o mayor a la "Cantidad Real Consumida"</t>
        </r>
      </text>
    </comment>
    <comment ref="E4392" authorId="1" shapeId="0" xr:uid="{00000000-0006-0000-0100-0000D30F0000}">
      <text>
        <r>
          <rPr>
            <sz val="11"/>
            <color theme="1"/>
            <rFont val="Calibri"/>
            <family val="2"/>
            <scheme val="minor"/>
          </rPr>
          <t>Introduzca un número con dos decimales como máximo</t>
        </r>
      </text>
    </comment>
    <comment ref="F4392" authorId="1" shapeId="0" xr:uid="{00000000-0006-0000-0100-0000D40F0000}">
      <text>
        <r>
          <rPr>
            <sz val="11"/>
            <color theme="1"/>
            <rFont val="Calibri"/>
            <family val="2"/>
            <scheme val="minor"/>
          </rPr>
          <t>Monto calculado automáticamente por el sistema</t>
        </r>
      </text>
    </comment>
    <comment ref="A4453" authorId="1" shapeId="0" xr:uid="{00000000-0006-0000-0100-0000D50F0000}">
      <text>
        <r>
          <rPr>
            <sz val="11"/>
            <color theme="1"/>
            <rFont val="Calibri"/>
            <family val="2"/>
            <scheme val="minor"/>
          </rPr>
          <t>Introducir un texto con el nombre o referencia de la contratación</t>
        </r>
      </text>
    </comment>
    <comment ref="B4453" authorId="1" shapeId="0" xr:uid="{00000000-0006-0000-0100-0000D60F0000}">
      <text>
        <r>
          <rPr>
            <sz val="11"/>
            <color theme="1"/>
            <rFont val="Calibri"/>
            <family val="2"/>
            <scheme val="minor"/>
          </rPr>
          <t>Introduzca un texto con la finalidad de la contratación</t>
        </r>
      </text>
    </comment>
    <comment ref="C4453" authorId="1" shapeId="0" xr:uid="{00000000-0006-0000-0100-0000D70F0000}">
      <text>
        <r>
          <rPr>
            <sz val="11"/>
            <color theme="1"/>
            <rFont val="Calibri"/>
            <family val="2"/>
            <scheme val="minor"/>
          </rPr>
          <t>Seleccionar un valor del listado</t>
        </r>
      </text>
    </comment>
    <comment ref="D4453" authorId="1" shapeId="0" xr:uid="{00000000-0006-0000-0100-0000D80F0000}">
      <text>
        <r>
          <rPr>
            <sz val="11"/>
            <color theme="1"/>
            <rFont val="Calibri"/>
            <family val="2"/>
            <scheme val="minor"/>
          </rPr>
          <t>Seleccione el tipo de procedimiento</t>
        </r>
      </text>
    </comment>
    <comment ref="E4453" authorId="1" shapeId="0" xr:uid="{00000000-0006-0000-0100-0000D90F0000}">
      <text>
        <r>
          <rPr>
            <sz val="11"/>
            <color theme="1"/>
            <rFont val="Calibri"/>
            <family val="2"/>
            <scheme val="minor"/>
          </rPr>
          <t>Seleccione un valor de la lista</t>
        </r>
      </text>
    </comment>
    <comment ref="F4453" authorId="1" shapeId="0" xr:uid="{00000000-0006-0000-0100-0000DA0F0000}">
      <text>
        <r>
          <rPr>
            <sz val="11"/>
            <color theme="1"/>
            <rFont val="Calibri"/>
            <family val="2"/>
            <scheme val="minor"/>
          </rPr>
          <t>Introduzca el código SNIP</t>
        </r>
      </text>
    </comment>
    <comment ref="C4454" authorId="1" shapeId="0" xr:uid="{00000000-0006-0000-0100-0000DB0F0000}">
      <text>
        <r>
          <rPr>
            <sz val="11"/>
            <color theme="1"/>
            <rFont val="Calibri"/>
            <family val="2"/>
            <scheme val="minor"/>
          </rPr>
          <t>Introduzca la fecha de inicio del proceso, en formato dd-mm-aaaa</t>
        </r>
      </text>
    </comment>
    <comment ref="F4454" authorId="1" shapeId="0" xr:uid="{00000000-0006-0000-0100-0000DD0F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55" authorId="1" shapeId="0" xr:uid="{00000000-0006-0000-0100-0000DE0F0000}">
      <text/>
    </comment>
    <comment ref="C4456" authorId="1" shapeId="0" xr:uid="{00000000-0006-0000-0100-0000DC0F0000}">
      <text>
        <r>
          <rPr>
            <sz val="11"/>
            <color theme="1"/>
            <rFont val="Calibri"/>
            <family val="2"/>
            <scheme val="minor"/>
          </rPr>
          <t>Introduzca la fecha prevista de adjudicación, en formato dd-mm-aaaa</t>
        </r>
      </text>
    </comment>
    <comment ref="F4456" authorId="1" shapeId="0" xr:uid="{00000000-0006-0000-0100-0000DF0F0000}">
      <text/>
    </comment>
    <comment ref="F4457" authorId="1" shapeId="0" xr:uid="{00000000-0006-0000-0100-0000E00F0000}">
      <text/>
    </comment>
    <comment ref="A4459" authorId="1" shapeId="0" xr:uid="{00000000-0006-0000-0100-0000E10F0000}">
      <text>
        <r>
          <rPr>
            <sz val="11"/>
            <color theme="1"/>
            <rFont val="Calibri"/>
            <family val="2"/>
            <scheme val="minor"/>
          </rPr>
          <t>Introduzca un codigo UNSPSC</t>
        </r>
      </text>
    </comment>
    <comment ref="B4459" authorId="1" shapeId="0" xr:uid="{00000000-0006-0000-0100-0000E20F0000}">
      <text>
        <r>
          <rPr>
            <sz val="11"/>
            <color theme="1"/>
            <rFont val="Calibri"/>
            <family val="2"/>
            <scheme val="minor"/>
          </rPr>
          <t>Descripción calculada automáticamente a partir de código del artículo</t>
        </r>
      </text>
    </comment>
    <comment ref="C4459" authorId="1" shapeId="0" xr:uid="{00000000-0006-0000-0100-0000E30F0000}">
      <text>
        <r>
          <rPr>
            <sz val="11"/>
            <color theme="1"/>
            <rFont val="Calibri"/>
            <family val="2"/>
            <scheme val="minor"/>
          </rPr>
          <t>Seleccione un valor de la lista</t>
        </r>
      </text>
    </comment>
    <comment ref="D4459" authorId="1" shapeId="0" xr:uid="{00000000-0006-0000-0100-0000E40F0000}">
      <text>
        <r>
          <rPr>
            <sz val="11"/>
            <color theme="1"/>
            <rFont val="Calibri"/>
            <family val="2"/>
            <scheme val="minor"/>
          </rPr>
          <t>Introduzca un número con dos decimales como máximo. Debe ser igual o mayor a la "Cantidad Real Consumida"</t>
        </r>
      </text>
    </comment>
    <comment ref="E4459" authorId="1" shapeId="0" xr:uid="{00000000-0006-0000-0100-0000E50F0000}">
      <text>
        <r>
          <rPr>
            <sz val="11"/>
            <color theme="1"/>
            <rFont val="Calibri"/>
            <family val="2"/>
            <scheme val="minor"/>
          </rPr>
          <t>Introduzca un número con dos decimales como máximo</t>
        </r>
      </text>
    </comment>
    <comment ref="F4459" authorId="1" shapeId="0" xr:uid="{00000000-0006-0000-0100-0000E60F0000}">
      <text>
        <r>
          <rPr>
            <sz val="11"/>
            <color theme="1"/>
            <rFont val="Calibri"/>
            <family val="2"/>
            <scheme val="minor"/>
          </rPr>
          <t>Monto calculado automáticamente por el sistema</t>
        </r>
      </text>
    </comment>
    <comment ref="A4469" authorId="1" shapeId="0" xr:uid="{00000000-0006-0000-0100-0000E70F0000}">
      <text>
        <r>
          <rPr>
            <sz val="11"/>
            <color theme="1"/>
            <rFont val="Calibri"/>
            <family val="2"/>
            <scheme val="minor"/>
          </rPr>
          <t>Introducir un texto con el nombre o referencia de la contratación</t>
        </r>
      </text>
    </comment>
    <comment ref="B4469" authorId="1" shapeId="0" xr:uid="{00000000-0006-0000-0100-0000E80F0000}">
      <text>
        <r>
          <rPr>
            <sz val="11"/>
            <color theme="1"/>
            <rFont val="Calibri"/>
            <family val="2"/>
            <scheme val="minor"/>
          </rPr>
          <t>Introduzca un texto con la finalidad de la contratación</t>
        </r>
      </text>
    </comment>
    <comment ref="C4469" authorId="1" shapeId="0" xr:uid="{00000000-0006-0000-0100-0000E90F0000}">
      <text>
        <r>
          <rPr>
            <sz val="11"/>
            <color theme="1"/>
            <rFont val="Calibri"/>
            <family val="2"/>
            <scheme val="minor"/>
          </rPr>
          <t>Seleccionar un valor del listado</t>
        </r>
      </text>
    </comment>
    <comment ref="D4469" authorId="1" shapeId="0" xr:uid="{00000000-0006-0000-0100-0000EA0F0000}">
      <text>
        <r>
          <rPr>
            <sz val="11"/>
            <color theme="1"/>
            <rFont val="Calibri"/>
            <family val="2"/>
            <scheme val="minor"/>
          </rPr>
          <t>Seleccione el tipo de procedimiento</t>
        </r>
      </text>
    </comment>
    <comment ref="E4469" authorId="1" shapeId="0" xr:uid="{00000000-0006-0000-0100-0000EB0F0000}">
      <text>
        <r>
          <rPr>
            <sz val="11"/>
            <color theme="1"/>
            <rFont val="Calibri"/>
            <family val="2"/>
            <scheme val="minor"/>
          </rPr>
          <t>Seleccione un valor de la lista</t>
        </r>
      </text>
    </comment>
    <comment ref="F4469" authorId="1" shapeId="0" xr:uid="{00000000-0006-0000-0100-0000EC0F0000}">
      <text>
        <r>
          <rPr>
            <sz val="11"/>
            <color theme="1"/>
            <rFont val="Calibri"/>
            <family val="2"/>
            <scheme val="minor"/>
          </rPr>
          <t>Introduzca el código SNIP</t>
        </r>
      </text>
    </comment>
    <comment ref="C4470" authorId="1" shapeId="0" xr:uid="{00000000-0006-0000-0100-0000ED0F0000}">
      <text>
        <r>
          <rPr>
            <sz val="11"/>
            <color theme="1"/>
            <rFont val="Calibri"/>
            <family val="2"/>
            <scheme val="minor"/>
          </rPr>
          <t>Introduzca la fecha de inicio del proceso, en formato dd-mm-aaaa</t>
        </r>
      </text>
    </comment>
    <comment ref="F4470" authorId="1" shapeId="0" xr:uid="{00000000-0006-0000-0100-0000EF0F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71" authorId="1" shapeId="0" xr:uid="{00000000-0006-0000-0100-0000F00F0000}">
      <text/>
    </comment>
    <comment ref="C4472" authorId="1" shapeId="0" xr:uid="{00000000-0006-0000-0100-0000EE0F0000}">
      <text>
        <r>
          <rPr>
            <sz val="11"/>
            <color theme="1"/>
            <rFont val="Calibri"/>
            <family val="2"/>
            <scheme val="minor"/>
          </rPr>
          <t>Introduzca la fecha prevista de adjudicación, en formato dd-mm-aaaa</t>
        </r>
      </text>
    </comment>
    <comment ref="F4472" authorId="1" shapeId="0" xr:uid="{00000000-0006-0000-0100-0000F10F0000}">
      <text/>
    </comment>
    <comment ref="F4473" authorId="1" shapeId="0" xr:uid="{00000000-0006-0000-0100-0000F20F0000}">
      <text/>
    </comment>
    <comment ref="A4475" authorId="1" shapeId="0" xr:uid="{00000000-0006-0000-0100-0000F30F0000}">
      <text>
        <r>
          <rPr>
            <sz val="11"/>
            <color theme="1"/>
            <rFont val="Calibri"/>
            <family val="2"/>
            <scheme val="minor"/>
          </rPr>
          <t>Introduzca un codigo UNSPSC</t>
        </r>
      </text>
    </comment>
    <comment ref="B4475" authorId="1" shapeId="0" xr:uid="{00000000-0006-0000-0100-0000F40F0000}">
      <text>
        <r>
          <rPr>
            <sz val="11"/>
            <color theme="1"/>
            <rFont val="Calibri"/>
            <family val="2"/>
            <scheme val="minor"/>
          </rPr>
          <t>Descripción calculada automáticamente a partir de código del artículo</t>
        </r>
      </text>
    </comment>
    <comment ref="C4475" authorId="1" shapeId="0" xr:uid="{00000000-0006-0000-0100-0000F50F0000}">
      <text>
        <r>
          <rPr>
            <sz val="11"/>
            <color theme="1"/>
            <rFont val="Calibri"/>
            <family val="2"/>
            <scheme val="minor"/>
          </rPr>
          <t>Seleccione un valor de la lista</t>
        </r>
      </text>
    </comment>
    <comment ref="D4475" authorId="1" shapeId="0" xr:uid="{00000000-0006-0000-0100-0000F60F0000}">
      <text>
        <r>
          <rPr>
            <sz val="11"/>
            <color theme="1"/>
            <rFont val="Calibri"/>
            <family val="2"/>
            <scheme val="minor"/>
          </rPr>
          <t>Introduzca un número con dos decimales como máximo. Debe ser igual o mayor a la "Cantidad Real Consumida"</t>
        </r>
      </text>
    </comment>
    <comment ref="E4475" authorId="1" shapeId="0" xr:uid="{00000000-0006-0000-0100-0000F70F0000}">
      <text>
        <r>
          <rPr>
            <sz val="11"/>
            <color theme="1"/>
            <rFont val="Calibri"/>
            <family val="2"/>
            <scheme val="minor"/>
          </rPr>
          <t>Introduzca un número con dos decimales como máximo</t>
        </r>
      </text>
    </comment>
    <comment ref="F4475" authorId="1" shapeId="0" xr:uid="{00000000-0006-0000-0100-0000F80F0000}">
      <text>
        <r>
          <rPr>
            <sz val="11"/>
            <color theme="1"/>
            <rFont val="Calibri"/>
            <family val="2"/>
            <scheme val="minor"/>
          </rPr>
          <t>Monto calculado automáticamente por el sistema</t>
        </r>
      </text>
    </comment>
    <comment ref="A4512" authorId="1" shapeId="0" xr:uid="{00000000-0006-0000-0100-0000F90F0000}">
      <text>
        <r>
          <rPr>
            <sz val="11"/>
            <color theme="1"/>
            <rFont val="Calibri"/>
            <family val="2"/>
            <scheme val="minor"/>
          </rPr>
          <t>Introducir un texto con el nombre o referencia de la contratación</t>
        </r>
      </text>
    </comment>
    <comment ref="B4512" authorId="1" shapeId="0" xr:uid="{00000000-0006-0000-0100-0000FA0F0000}">
      <text>
        <r>
          <rPr>
            <sz val="11"/>
            <color theme="1"/>
            <rFont val="Calibri"/>
            <family val="2"/>
            <scheme val="minor"/>
          </rPr>
          <t>Introduzca un texto con la finalidad de la contratación</t>
        </r>
      </text>
    </comment>
    <comment ref="C4512" authorId="1" shapeId="0" xr:uid="{00000000-0006-0000-0100-0000FB0F0000}">
      <text>
        <r>
          <rPr>
            <sz val="11"/>
            <color theme="1"/>
            <rFont val="Calibri"/>
            <family val="2"/>
            <scheme val="minor"/>
          </rPr>
          <t>Seleccionar un valor del listado</t>
        </r>
      </text>
    </comment>
    <comment ref="D4512" authorId="1" shapeId="0" xr:uid="{00000000-0006-0000-0100-0000FC0F0000}">
      <text>
        <r>
          <rPr>
            <sz val="11"/>
            <color theme="1"/>
            <rFont val="Calibri"/>
            <family val="2"/>
            <scheme val="minor"/>
          </rPr>
          <t>Seleccione el tipo de procedimiento</t>
        </r>
      </text>
    </comment>
    <comment ref="E4512" authorId="1" shapeId="0" xr:uid="{00000000-0006-0000-0100-0000FD0F0000}">
      <text>
        <r>
          <rPr>
            <sz val="11"/>
            <color theme="1"/>
            <rFont val="Calibri"/>
            <family val="2"/>
            <scheme val="minor"/>
          </rPr>
          <t>Seleccione un valor de la lista</t>
        </r>
      </text>
    </comment>
    <comment ref="F4512" authorId="1" shapeId="0" xr:uid="{00000000-0006-0000-0100-0000FE0F0000}">
      <text>
        <r>
          <rPr>
            <sz val="11"/>
            <color theme="1"/>
            <rFont val="Calibri"/>
            <family val="2"/>
            <scheme val="minor"/>
          </rPr>
          <t>Introduzca el código SNIP</t>
        </r>
      </text>
    </comment>
    <comment ref="C4513" authorId="1" shapeId="0" xr:uid="{00000000-0006-0000-0100-0000FF0F0000}">
      <text>
        <r>
          <rPr>
            <sz val="11"/>
            <color theme="1"/>
            <rFont val="Calibri"/>
            <family val="2"/>
            <scheme val="minor"/>
          </rPr>
          <t>Introduzca la fecha de inicio del proceso, en formato dd-mm-aaaa</t>
        </r>
      </text>
    </comment>
    <comment ref="F4513" authorId="1" shapeId="0" xr:uid="{00000000-0006-0000-0100-0000011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14" authorId="1" shapeId="0" xr:uid="{00000000-0006-0000-0100-000002100000}">
      <text/>
    </comment>
    <comment ref="C4515" authorId="1" shapeId="0" xr:uid="{00000000-0006-0000-0100-000000100000}">
      <text>
        <r>
          <rPr>
            <sz val="11"/>
            <color theme="1"/>
            <rFont val="Calibri"/>
            <family val="2"/>
            <scheme val="minor"/>
          </rPr>
          <t>Introduzca la fecha prevista de adjudicación, en formato dd-mm-aaaa</t>
        </r>
      </text>
    </comment>
    <comment ref="F4515" authorId="1" shapeId="0" xr:uid="{00000000-0006-0000-0100-000003100000}">
      <text/>
    </comment>
    <comment ref="F4516" authorId="1" shapeId="0" xr:uid="{00000000-0006-0000-0100-000004100000}">
      <text/>
    </comment>
    <comment ref="A4518" authorId="1" shapeId="0" xr:uid="{00000000-0006-0000-0100-000005100000}">
      <text>
        <r>
          <rPr>
            <sz val="11"/>
            <color theme="1"/>
            <rFont val="Calibri"/>
            <family val="2"/>
            <scheme val="minor"/>
          </rPr>
          <t>Introduzca un codigo UNSPSC</t>
        </r>
      </text>
    </comment>
    <comment ref="B4518" authorId="1" shapeId="0" xr:uid="{00000000-0006-0000-0100-000006100000}">
      <text>
        <r>
          <rPr>
            <sz val="11"/>
            <color theme="1"/>
            <rFont val="Calibri"/>
            <family val="2"/>
            <scheme val="minor"/>
          </rPr>
          <t>Descripción calculada automáticamente a partir de código del artículo</t>
        </r>
      </text>
    </comment>
    <comment ref="C4518" authorId="1" shapeId="0" xr:uid="{00000000-0006-0000-0100-000007100000}">
      <text>
        <r>
          <rPr>
            <sz val="11"/>
            <color theme="1"/>
            <rFont val="Calibri"/>
            <family val="2"/>
            <scheme val="minor"/>
          </rPr>
          <t>Seleccione un valor de la lista</t>
        </r>
      </text>
    </comment>
    <comment ref="D4518" authorId="1" shapeId="0" xr:uid="{00000000-0006-0000-0100-000008100000}">
      <text>
        <r>
          <rPr>
            <sz val="11"/>
            <color theme="1"/>
            <rFont val="Calibri"/>
            <family val="2"/>
            <scheme val="minor"/>
          </rPr>
          <t>Introduzca un número con dos decimales como máximo. Debe ser igual o mayor a la "Cantidad Real Consumida"</t>
        </r>
      </text>
    </comment>
    <comment ref="E4518" authorId="1" shapeId="0" xr:uid="{00000000-0006-0000-0100-000009100000}">
      <text>
        <r>
          <rPr>
            <sz val="11"/>
            <color theme="1"/>
            <rFont val="Calibri"/>
            <family val="2"/>
            <scheme val="minor"/>
          </rPr>
          <t>Introduzca un número con dos decimales como máximo</t>
        </r>
      </text>
    </comment>
    <comment ref="F4518" authorId="1" shapeId="0" xr:uid="{00000000-0006-0000-0100-00000A100000}">
      <text>
        <r>
          <rPr>
            <sz val="11"/>
            <color theme="1"/>
            <rFont val="Calibri"/>
            <family val="2"/>
            <scheme val="minor"/>
          </rPr>
          <t>Monto calculado automáticamente por el sistema</t>
        </r>
      </text>
    </comment>
    <comment ref="A4523" authorId="1" shapeId="0" xr:uid="{00000000-0006-0000-0100-00000B100000}">
      <text>
        <r>
          <rPr>
            <sz val="11"/>
            <color theme="1"/>
            <rFont val="Calibri"/>
            <family val="2"/>
            <scheme val="minor"/>
          </rPr>
          <t>Introducir un texto con el nombre o referencia de la contratación</t>
        </r>
      </text>
    </comment>
    <comment ref="B4523" authorId="1" shapeId="0" xr:uid="{00000000-0006-0000-0100-00000C100000}">
      <text>
        <r>
          <rPr>
            <sz val="11"/>
            <color theme="1"/>
            <rFont val="Calibri"/>
            <family val="2"/>
            <scheme val="minor"/>
          </rPr>
          <t>Introduzca un texto con la finalidad de la contratación</t>
        </r>
      </text>
    </comment>
    <comment ref="C4523" authorId="1" shapeId="0" xr:uid="{00000000-0006-0000-0100-00000D100000}">
      <text>
        <r>
          <rPr>
            <sz val="11"/>
            <color theme="1"/>
            <rFont val="Calibri"/>
            <family val="2"/>
            <scheme val="minor"/>
          </rPr>
          <t>Seleccionar un valor del listado</t>
        </r>
      </text>
    </comment>
    <comment ref="D4523" authorId="1" shapeId="0" xr:uid="{00000000-0006-0000-0100-00000E100000}">
      <text>
        <r>
          <rPr>
            <sz val="11"/>
            <color theme="1"/>
            <rFont val="Calibri"/>
            <family val="2"/>
            <scheme val="minor"/>
          </rPr>
          <t>Seleccione el tipo de procedimiento</t>
        </r>
      </text>
    </comment>
    <comment ref="E4523" authorId="1" shapeId="0" xr:uid="{00000000-0006-0000-0100-00000F100000}">
      <text>
        <r>
          <rPr>
            <sz val="11"/>
            <color theme="1"/>
            <rFont val="Calibri"/>
            <family val="2"/>
            <scheme val="minor"/>
          </rPr>
          <t>Seleccione un valor de la lista</t>
        </r>
      </text>
    </comment>
    <comment ref="F4523" authorId="1" shapeId="0" xr:uid="{00000000-0006-0000-0100-000010100000}">
      <text>
        <r>
          <rPr>
            <sz val="11"/>
            <color theme="1"/>
            <rFont val="Calibri"/>
            <family val="2"/>
            <scheme val="minor"/>
          </rPr>
          <t>Introduzca el código SNIP</t>
        </r>
      </text>
    </comment>
    <comment ref="C4524" authorId="1" shapeId="0" xr:uid="{00000000-0006-0000-0100-000011100000}">
      <text>
        <r>
          <rPr>
            <sz val="11"/>
            <color theme="1"/>
            <rFont val="Calibri"/>
            <family val="2"/>
            <scheme val="minor"/>
          </rPr>
          <t>Introduzca la fecha de inicio del proceso, en formato dd-mm-aaaa</t>
        </r>
      </text>
    </comment>
    <comment ref="F4524" authorId="1" shapeId="0" xr:uid="{00000000-0006-0000-0100-0000131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25" authorId="1" shapeId="0" xr:uid="{00000000-0006-0000-0100-000014100000}">
      <text/>
    </comment>
    <comment ref="C4526" authorId="1" shapeId="0" xr:uid="{00000000-0006-0000-0100-000012100000}">
      <text>
        <r>
          <rPr>
            <sz val="11"/>
            <color theme="1"/>
            <rFont val="Calibri"/>
            <family val="2"/>
            <scheme val="minor"/>
          </rPr>
          <t>Introduzca la fecha prevista de adjudicación, en formato dd-mm-aaaa</t>
        </r>
      </text>
    </comment>
    <comment ref="F4526" authorId="1" shapeId="0" xr:uid="{00000000-0006-0000-0100-000015100000}">
      <text/>
    </comment>
    <comment ref="F4527" authorId="1" shapeId="0" xr:uid="{00000000-0006-0000-0100-000016100000}">
      <text/>
    </comment>
    <comment ref="A4529" authorId="1" shapeId="0" xr:uid="{00000000-0006-0000-0100-000017100000}">
      <text>
        <r>
          <rPr>
            <sz val="11"/>
            <color theme="1"/>
            <rFont val="Calibri"/>
            <family val="2"/>
            <scheme val="minor"/>
          </rPr>
          <t>Introduzca un codigo UNSPSC</t>
        </r>
      </text>
    </comment>
    <comment ref="B4529" authorId="1" shapeId="0" xr:uid="{00000000-0006-0000-0100-000018100000}">
      <text>
        <r>
          <rPr>
            <sz val="11"/>
            <color theme="1"/>
            <rFont val="Calibri"/>
            <family val="2"/>
            <scheme val="minor"/>
          </rPr>
          <t>Descripción calculada automáticamente a partir de código del artículo</t>
        </r>
      </text>
    </comment>
    <comment ref="C4529" authorId="1" shapeId="0" xr:uid="{00000000-0006-0000-0100-000019100000}">
      <text>
        <r>
          <rPr>
            <sz val="11"/>
            <color theme="1"/>
            <rFont val="Calibri"/>
            <family val="2"/>
            <scheme val="minor"/>
          </rPr>
          <t>Seleccione un valor de la lista</t>
        </r>
      </text>
    </comment>
    <comment ref="D4529" authorId="1" shapeId="0" xr:uid="{00000000-0006-0000-0100-00001A100000}">
      <text>
        <r>
          <rPr>
            <sz val="11"/>
            <color theme="1"/>
            <rFont val="Calibri"/>
            <family val="2"/>
            <scheme val="minor"/>
          </rPr>
          <t>Introduzca un número con dos decimales como máximo. Debe ser igual o mayor a la "Cantidad Real Consumida"</t>
        </r>
      </text>
    </comment>
    <comment ref="E4529" authorId="1" shapeId="0" xr:uid="{00000000-0006-0000-0100-00001B100000}">
      <text>
        <r>
          <rPr>
            <sz val="11"/>
            <color theme="1"/>
            <rFont val="Calibri"/>
            <family val="2"/>
            <scheme val="minor"/>
          </rPr>
          <t>Introduzca un número con dos decimales como máximo</t>
        </r>
      </text>
    </comment>
    <comment ref="F4529" authorId="1" shapeId="0" xr:uid="{00000000-0006-0000-0100-00001C10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<sst xmlns="http://schemas.openxmlformats.org/spreadsheetml/2006/main" count="11256" uniqueCount="1224">
  <si>
    <t>ADQUISICION DE ELECTRODOMESTICOS</t>
  </si>
  <si>
    <t>Cevicos</t>
  </si>
  <si>
    <t>15121524</t>
  </si>
  <si>
    <t>Cayetano Germosén</t>
  </si>
  <si>
    <t>31162801</t>
  </si>
  <si>
    <t>Azua de Compostela</t>
  </si>
  <si>
    <t xml:space="preserve">ARREGLOS FLORALES
</t>
  </si>
  <si>
    <t>51102208</t>
  </si>
  <si>
    <t>Pantoja</t>
  </si>
  <si>
    <t>SERVICIO DE CARGA Y TRANSPORTE DE MATERIALES</t>
  </si>
  <si>
    <t>Subasta Inversa</t>
  </si>
  <si>
    <t>FINALIDAD DE LA CONTRATACIÓN</t>
  </si>
  <si>
    <t>40142615</t>
  </si>
  <si>
    <t>40142605</t>
  </si>
  <si>
    <t>El Caimito</t>
  </si>
  <si>
    <t>51172107</t>
  </si>
  <si>
    <t>ADQUISICION DE TICKETS DE LAVADO DE VEHICULOS</t>
  </si>
  <si>
    <t>M</t>
  </si>
  <si>
    <t>EDIFICIO INDOTEL</t>
  </si>
  <si>
    <t>51161801</t>
  </si>
  <si>
    <t>40142007</t>
  </si>
  <si>
    <t>SERVICIO DE RECOLECCION DE BASURA</t>
  </si>
  <si>
    <t>Rancho Arriba</t>
  </si>
  <si>
    <t>52152104</t>
  </si>
  <si>
    <t>27111701</t>
  </si>
  <si>
    <t>41103311</t>
  </si>
  <si>
    <t>Decena</t>
  </si>
  <si>
    <t>Yaguate</t>
  </si>
  <si>
    <t>La Sabina</t>
  </si>
  <si>
    <t>31161511</t>
  </si>
  <si>
    <t>30181510</t>
  </si>
  <si>
    <t>44101601</t>
  </si>
  <si>
    <t>43191504</t>
  </si>
  <si>
    <t>LIMPIEZA DE SÉPTICOS Y TRAMPAS DE GRASA E1, E2, E2B</t>
  </si>
  <si>
    <t>Guananico</t>
  </si>
  <si>
    <t>46181604</t>
  </si>
  <si>
    <t>53102301</t>
  </si>
  <si>
    <t>ADQUISICION DE TSHIRTS</t>
  </si>
  <si>
    <t>RENOVACION DE PLATAFORMA DE PRUEBAS PSICOMETRICAS</t>
  </si>
  <si>
    <t>52131601</t>
  </si>
  <si>
    <t>Ministerio de la Vivienda, Hábitat y Edificaciones</t>
  </si>
  <si>
    <t>La Altagracia</t>
  </si>
  <si>
    <t>44111509</t>
  </si>
  <si>
    <t>Pescadería</t>
  </si>
  <si>
    <t>Cedazo para cernir</t>
  </si>
  <si>
    <t>Mamá Tingó</t>
  </si>
  <si>
    <t>27111509</t>
  </si>
  <si>
    <t>Semana</t>
  </si>
  <si>
    <t>39121306</t>
  </si>
  <si>
    <t>72101506</t>
  </si>
  <si>
    <t>El Aguacate</t>
  </si>
  <si>
    <t>ADQUISICIÓN DE BONOS MADRES</t>
  </si>
  <si>
    <t>Padre Las Casas</t>
  </si>
  <si>
    <t>60121234</t>
  </si>
  <si>
    <t>Santana</t>
  </si>
  <si>
    <t>SUMINISTRO E INSTALACIÓN DE SHUTTERS</t>
  </si>
  <si>
    <t>ADQUISICIÓN DE PLACAS Y MEDALLAS</t>
  </si>
  <si>
    <t>31162201</t>
  </si>
  <si>
    <t>46181504</t>
  </si>
  <si>
    <t>44121904</t>
  </si>
  <si>
    <t>31211508</t>
  </si>
  <si>
    <t>51241002</t>
  </si>
  <si>
    <t>Canoa</t>
  </si>
  <si>
    <t>Partido</t>
  </si>
  <si>
    <t>53121706</t>
  </si>
  <si>
    <t>Los Hidalgos</t>
  </si>
  <si>
    <t>Arroyo Salado</t>
  </si>
  <si>
    <t>10161707</t>
  </si>
  <si>
    <t>46182306</t>
  </si>
  <si>
    <t>MUNICIPIOS</t>
  </si>
  <si>
    <t>ADQUISICION DE IMPRESORAS Y PLOTTERS</t>
  </si>
  <si>
    <t>Comedero Arriba</t>
  </si>
  <si>
    <t>La Vega</t>
  </si>
  <si>
    <t>M3</t>
  </si>
  <si>
    <t>REGION</t>
  </si>
  <si>
    <t>25174218</t>
  </si>
  <si>
    <t>14111510</t>
  </si>
  <si>
    <t>44122003</t>
  </si>
  <si>
    <t>Santa Cruz de Mao</t>
  </si>
  <si>
    <t>53131608</t>
  </si>
  <si>
    <t>Gina</t>
  </si>
  <si>
    <t>Docena</t>
  </si>
  <si>
    <t>Guayabo Dulce</t>
  </si>
  <si>
    <t>30222303</t>
  </si>
  <si>
    <t>Villa Riva</t>
  </si>
  <si>
    <t xml:space="preserve">PLAN ANUAL DE COMPRAS Y CONTRATACIONES 
</t>
  </si>
  <si>
    <t>Vicente Noble</t>
  </si>
  <si>
    <t>91111502</t>
  </si>
  <si>
    <t>Villa Magante</t>
  </si>
  <si>
    <t>Unidad</t>
  </si>
  <si>
    <t>30222058</t>
  </si>
  <si>
    <t>CIBAO NOROESTE</t>
  </si>
  <si>
    <t>Restauración</t>
  </si>
  <si>
    <t>Santa Bárbara de Samaná</t>
  </si>
  <si>
    <t>43211501</t>
  </si>
  <si>
    <t>72101516</t>
  </si>
  <si>
    <t>39121523</t>
  </si>
  <si>
    <t>Santiago de la Cruz</t>
  </si>
  <si>
    <t>Milla</t>
  </si>
  <si>
    <t>Villa Montellano</t>
  </si>
  <si>
    <t>LB</t>
  </si>
  <si>
    <t>90101603</t>
  </si>
  <si>
    <t>Caleta</t>
  </si>
  <si>
    <t>Jánico</t>
  </si>
  <si>
    <t>El Higuerito</t>
  </si>
  <si>
    <t>44122002</t>
  </si>
  <si>
    <t>Pulgada cuadrada</t>
  </si>
  <si>
    <t>CIBAO NORTE</t>
  </si>
  <si>
    <t>47121808</t>
  </si>
  <si>
    <t>SERVICIO DE SUMINISTRO E INSTALACIÓN LLAVIN MULTILOCK COMPUERTA CAMIONETAS</t>
  </si>
  <si>
    <t>27111709</t>
  </si>
  <si>
    <t>Quintal</t>
  </si>
  <si>
    <t>TRIMESTRE</t>
  </si>
  <si>
    <t>SERVICIO DE CATERING PARA  ACTIVIDADES VARIAS</t>
  </si>
  <si>
    <t>Cotuí</t>
  </si>
  <si>
    <t>90101802</t>
  </si>
  <si>
    <t>Comparacion de Precios</t>
  </si>
  <si>
    <t>DESTACAMENTO NACO</t>
  </si>
  <si>
    <t>SUMINISTRO E INSTALACIÓN DE BOMBA DE AGUA</t>
  </si>
  <si>
    <t>40142604</t>
  </si>
  <si>
    <t>Suministro e Instalación Alambre de púas contra palomas</t>
  </si>
  <si>
    <t>25201708</t>
  </si>
  <si>
    <t>LIMPIEZA PROFUNDA DE PISOS</t>
  </si>
  <si>
    <t>Día</t>
  </si>
  <si>
    <t>31211501</t>
  </si>
  <si>
    <t>ADQUISICION DE UTENSILIOS DE COCINA</t>
  </si>
  <si>
    <t>ITLA SANTIAGO</t>
  </si>
  <si>
    <t>42131606</t>
  </si>
  <si>
    <t>Carrera de Yeguas</t>
  </si>
  <si>
    <t>ADQUISICION DE UPS</t>
  </si>
  <si>
    <t>ADQUISICION DE EQUIPOS E INSUMOS MÉDICOS</t>
  </si>
  <si>
    <t>Las Cañitas, Elupina Cordero</t>
  </si>
  <si>
    <t>San José de Ocoa</t>
  </si>
  <si>
    <t>60124312</t>
  </si>
  <si>
    <t>Caballero</t>
  </si>
  <si>
    <t>Pueblo Viejo</t>
  </si>
  <si>
    <t>Sosúa</t>
  </si>
  <si>
    <t>Río Limpio</t>
  </si>
  <si>
    <t>47131605</t>
  </si>
  <si>
    <t>44121708</t>
  </si>
  <si>
    <t>11111611</t>
  </si>
  <si>
    <t>30131501</t>
  </si>
  <si>
    <t>Guayabal</t>
  </si>
  <si>
    <t>Provincia</t>
  </si>
  <si>
    <t>10171504</t>
  </si>
  <si>
    <t>Elías Piña</t>
  </si>
  <si>
    <t>Licitacion Publica</t>
  </si>
  <si>
    <t>50181909</t>
  </si>
  <si>
    <t>ADQUISICION DE CARTUCHOS DE TINTA</t>
  </si>
  <si>
    <t>42182201</t>
  </si>
  <si>
    <t>30102905</t>
  </si>
  <si>
    <t>Castillo</t>
  </si>
  <si>
    <t>Las Coles</t>
  </si>
  <si>
    <t>42311512</t>
  </si>
  <si>
    <t>51121703</t>
  </si>
  <si>
    <t>Monseñor Nouel</t>
  </si>
  <si>
    <t>13111301</t>
  </si>
  <si>
    <t>24131607</t>
  </si>
  <si>
    <t>39121529</t>
  </si>
  <si>
    <t>Medina</t>
  </si>
  <si>
    <t>42182206</t>
  </si>
  <si>
    <t>Villa Hermosa</t>
  </si>
  <si>
    <t>Barahona</t>
  </si>
  <si>
    <t>ADQUISICION DE DETALLES DIA DE LA MUJER</t>
  </si>
  <si>
    <t>53102707</t>
  </si>
  <si>
    <t>80141611</t>
  </si>
  <si>
    <t>María Trinidad Sánchez</t>
  </si>
  <si>
    <t>40141742</t>
  </si>
  <si>
    <t>14111806</t>
  </si>
  <si>
    <t>56101703</t>
  </si>
  <si>
    <t>Hato Viejo</t>
  </si>
  <si>
    <t>Los Patos</t>
  </si>
  <si>
    <t>Las Maguanas, Hato Nuevo</t>
  </si>
  <si>
    <t>48101909</t>
  </si>
  <si>
    <t>INSTALACIONES CON ACCESIBILIDAD</t>
  </si>
  <si>
    <t>ADQUISICION DE EQUIPOS TECNOLÓGICOS</t>
  </si>
  <si>
    <t>39121703</t>
  </si>
  <si>
    <t>Villa Bisonó (Navarrete)</t>
  </si>
  <si>
    <t>Manabao</t>
  </si>
  <si>
    <t>Las Lagunas</t>
  </si>
  <si>
    <t>39121549</t>
  </si>
  <si>
    <t>52141526</t>
  </si>
  <si>
    <t>La Colonia</t>
  </si>
  <si>
    <t>Municipio</t>
  </si>
  <si>
    <t>OZAMA O METROPOLITANA</t>
  </si>
  <si>
    <t>31162403</t>
  </si>
  <si>
    <t>82121505</t>
  </si>
  <si>
    <t>51191906</t>
  </si>
  <si>
    <t>El Factor</t>
  </si>
  <si>
    <t>56101606</t>
  </si>
  <si>
    <t>51142414</t>
  </si>
  <si>
    <t>14111705</t>
  </si>
  <si>
    <t>CIBAO NORDESTE</t>
  </si>
  <si>
    <t>51141519</t>
  </si>
  <si>
    <t>15111509</t>
  </si>
  <si>
    <t>El Valle</t>
  </si>
  <si>
    <t>43231512</t>
  </si>
  <si>
    <t>31261601</t>
  </si>
  <si>
    <t>Boca de Mao</t>
  </si>
  <si>
    <t>72102103</t>
  </si>
  <si>
    <t>ADQUISICIÓN DE EQUIPOS TECNOLOGICOS</t>
  </si>
  <si>
    <t>80141607</t>
  </si>
  <si>
    <t>44111503</t>
  </si>
  <si>
    <t>51171820</t>
  </si>
  <si>
    <t>Jamao al Norte</t>
  </si>
  <si>
    <t>La Victoria</t>
  </si>
  <si>
    <t>Arroyo al Medio</t>
  </si>
  <si>
    <t>ADQUISICIÓN DE PINS</t>
  </si>
  <si>
    <t>14111810</t>
  </si>
  <si>
    <t xml:space="preserve">Año Fiscal </t>
  </si>
  <si>
    <t>San Juan</t>
  </si>
  <si>
    <t>53121603</t>
  </si>
  <si>
    <t>ADQUISICION DE INSUMOS DE JARDINERIA</t>
  </si>
  <si>
    <t>Fecha Aprobación</t>
  </si>
  <si>
    <t>San José del Puerto</t>
  </si>
  <si>
    <t>31162503</t>
  </si>
  <si>
    <t>Cristo Rey de Guaraguao</t>
  </si>
  <si>
    <t>ARREGLOS FLORALES</t>
  </si>
  <si>
    <t>SERVICIO DE MANTENIMIENTO DE UPS</t>
  </si>
  <si>
    <t>Guaymate</t>
  </si>
  <si>
    <t>Hato Mayor del Rey</t>
  </si>
  <si>
    <t>El Llano</t>
  </si>
  <si>
    <t>San Fco. de Macorís</t>
  </si>
  <si>
    <t xml:space="preserve">Suministro e Instalación Alambre de púas contra palomas
</t>
  </si>
  <si>
    <t>31162808</t>
  </si>
  <si>
    <t>El Rosario</t>
  </si>
  <si>
    <t>44101602</t>
  </si>
  <si>
    <t>Santiago de los Caballeros</t>
  </si>
  <si>
    <t>ADQUISICION DE PAPELERIA</t>
  </si>
  <si>
    <t>31211705</t>
  </si>
  <si>
    <t>31201521</t>
  </si>
  <si>
    <t>39111521</t>
  </si>
  <si>
    <t>Maizal</t>
  </si>
  <si>
    <t>24101507</t>
  </si>
  <si>
    <t>RENOVACIÓN CONTRATO DE ALQUILER PUNTA CANA</t>
  </si>
  <si>
    <t>Q</t>
  </si>
  <si>
    <t>55121804</t>
  </si>
  <si>
    <t>H</t>
  </si>
  <si>
    <t>REPARACIÓN EQUIPO CLIMATIZACIÓN</t>
  </si>
  <si>
    <t>L</t>
  </si>
  <si>
    <t>G</t>
  </si>
  <si>
    <t>Cantidad Procesos Registrados</t>
  </si>
  <si>
    <t>Pie cuadrado</t>
  </si>
  <si>
    <t>Excepción - Bienes o servicios con exclusividad</t>
  </si>
  <si>
    <t xml:space="preserve">CONTRATACIÓN LABORATORIO PARA PRUEBAS PERSONAL DE INGRESO
</t>
  </si>
  <si>
    <t>27113201</t>
  </si>
  <si>
    <t>51181708</t>
  </si>
  <si>
    <t>Canca la Reina</t>
  </si>
  <si>
    <t>Barreras</t>
  </si>
  <si>
    <t>RENOVACIÓN DE PLATAFORMA DE PRUEBAS PSICOMETRICAS</t>
  </si>
  <si>
    <t>Los Jovillos</t>
  </si>
  <si>
    <t>Santa Lucía</t>
  </si>
  <si>
    <t>San Rafael del Yuma</t>
  </si>
  <si>
    <t>Hatillo Palma</t>
  </si>
  <si>
    <t>Sabana Grande de Hostos</t>
  </si>
  <si>
    <t>Luperón</t>
  </si>
  <si>
    <t>ALQUILER DE NAVE</t>
  </si>
  <si>
    <t>SERVICIO DE LIMPIEZA DE CRISTALES</t>
  </si>
  <si>
    <t>Pepillo Salcedo</t>
  </si>
  <si>
    <t>Platanal</t>
  </si>
  <si>
    <t>TON</t>
  </si>
  <si>
    <t>27111507</t>
  </si>
  <si>
    <t>SERVICIO DE ROTULADO Y LAMINADO DE VEHICULOS</t>
  </si>
  <si>
    <t>24112405</t>
  </si>
  <si>
    <t>46171505</t>
  </si>
  <si>
    <t>YD</t>
  </si>
  <si>
    <t>Proyecto 2-C</t>
  </si>
  <si>
    <t>Las Salinas</t>
  </si>
  <si>
    <t>UD</t>
  </si>
  <si>
    <t>Sabana Iglesia</t>
  </si>
  <si>
    <t>Excepción - Contratación de publicidad a través de medios de comunicación social</t>
  </si>
  <si>
    <t>ADQUISICION DE VASOS BIODEGRADABLES</t>
  </si>
  <si>
    <t>SERVICIO DE PRODUCCIÓN DE CONTENIDO</t>
  </si>
  <si>
    <t>Guanito</t>
  </si>
  <si>
    <t>23131507</t>
  </si>
  <si>
    <t>47131604</t>
  </si>
  <si>
    <t>Cabarete</t>
  </si>
  <si>
    <t>Amiama Gómez</t>
  </si>
  <si>
    <t>M2</t>
  </si>
  <si>
    <t>Las Gordas</t>
  </si>
  <si>
    <t>Yamasá</t>
  </si>
  <si>
    <t>72102004</t>
  </si>
  <si>
    <t>Polo</t>
  </si>
  <si>
    <t>42295407</t>
  </si>
  <si>
    <t>14111514</t>
  </si>
  <si>
    <t>Santo Domingo Este</t>
  </si>
  <si>
    <t>Santo Domingo Oeste</t>
  </si>
  <si>
    <t>SERVICIO DE ALQUILER DE AUDIOVISUALES</t>
  </si>
  <si>
    <t>47121807</t>
  </si>
  <si>
    <t>25172504</t>
  </si>
  <si>
    <t xml:space="preserve">CARRITOS DE CARGA
</t>
  </si>
  <si>
    <t>50201711</t>
  </si>
  <si>
    <t>Juan López</t>
  </si>
  <si>
    <t>Hora</t>
  </si>
  <si>
    <t>La Jagua</t>
  </si>
  <si>
    <t>PROVINCIA</t>
  </si>
  <si>
    <t>Paquete</t>
  </si>
  <si>
    <t>Guerra</t>
  </si>
  <si>
    <t>40151510</t>
  </si>
  <si>
    <t>REPARACIÓN DE COMPUTADORAS</t>
  </si>
  <si>
    <t>Pimentel</t>
  </si>
  <si>
    <t xml:space="preserve">ADQUISICIÓN DE BONOS </t>
  </si>
  <si>
    <t>43211509</t>
  </si>
  <si>
    <t>ADQUISICIÓN DE PONCHADOR</t>
  </si>
  <si>
    <t>14111704</t>
  </si>
  <si>
    <t>KM</t>
  </si>
  <si>
    <t>MM</t>
  </si>
  <si>
    <t>CM</t>
  </si>
  <si>
    <t>Moca</t>
  </si>
  <si>
    <t xml:space="preserve">SERVICIO DE MANTENIMIENTO DE PLANTAS ELÉCTRICAS </t>
  </si>
  <si>
    <t>Matanzas</t>
  </si>
  <si>
    <t>15121501</t>
  </si>
  <si>
    <t>78180107</t>
  </si>
  <si>
    <t>FT2</t>
  </si>
  <si>
    <t>FT3</t>
  </si>
  <si>
    <t>30161701</t>
  </si>
  <si>
    <t>El Cachón</t>
  </si>
  <si>
    <t>ADQUISICIÓN DE PAPELERÍA</t>
  </si>
  <si>
    <t>52141501</t>
  </si>
  <si>
    <t>Millar</t>
  </si>
  <si>
    <t>Desc.</t>
  </si>
  <si>
    <t>27111501</t>
  </si>
  <si>
    <t>90101604</t>
  </si>
  <si>
    <t>31231313</t>
  </si>
  <si>
    <t>ADQUISICION DE MINUBUS</t>
  </si>
  <si>
    <t>49101613</t>
  </si>
  <si>
    <t>ADQUISICION DE CAMISAS</t>
  </si>
  <si>
    <t>Peravia</t>
  </si>
  <si>
    <t>47131807</t>
  </si>
  <si>
    <t>45111802</t>
  </si>
  <si>
    <t>PAQ</t>
  </si>
  <si>
    <t>51142001</t>
  </si>
  <si>
    <t>60121522</t>
  </si>
  <si>
    <t>Tenares</t>
  </si>
  <si>
    <t xml:space="preserve">Capítulo </t>
  </si>
  <si>
    <t>Sabana Higüero</t>
  </si>
  <si>
    <t>45111603</t>
  </si>
  <si>
    <t>Hora Hombre</t>
  </si>
  <si>
    <t xml:space="preserve">ELEVADORES PLEGABLES
</t>
  </si>
  <si>
    <t>Sabaneta de Yásica</t>
  </si>
  <si>
    <t>ADQUISICION DE MATERIAL GASTABLE</t>
  </si>
  <si>
    <t>Juan Adrián</t>
  </si>
  <si>
    <t>Jamao Afuera</t>
  </si>
  <si>
    <t>Samaná</t>
  </si>
  <si>
    <t>CAJ</t>
  </si>
  <si>
    <t>Naranjal</t>
  </si>
  <si>
    <t>2026</t>
  </si>
  <si>
    <t>46161508</t>
  </si>
  <si>
    <t>56101530</t>
  </si>
  <si>
    <t>MUNICIPIO</t>
  </si>
  <si>
    <t>GAL</t>
  </si>
  <si>
    <t xml:space="preserve">CONTRATACION DE SERVICIO DE LAVANDERIA </t>
  </si>
  <si>
    <t>Jaquimeyes</t>
  </si>
  <si>
    <t>15121520</t>
  </si>
  <si>
    <t>José Contreras</t>
  </si>
  <si>
    <t>43201410</t>
  </si>
  <si>
    <t>El Puerto</t>
  </si>
  <si>
    <t>ADQUISICION DE MATERIALES DE HIGIENE Y LIMPIEZA</t>
  </si>
  <si>
    <t>Barro Arriba</t>
  </si>
  <si>
    <t>PROYECTO TEÉFONIA</t>
  </si>
  <si>
    <t>Jimaní</t>
  </si>
  <si>
    <t>Bahoruco</t>
  </si>
  <si>
    <t>Tamayo</t>
  </si>
  <si>
    <t>41115830</t>
  </si>
  <si>
    <t>60121152</t>
  </si>
  <si>
    <t>MI</t>
  </si>
  <si>
    <t>80141605</t>
  </si>
  <si>
    <t>47131801</t>
  </si>
  <si>
    <t>40151501</t>
  </si>
  <si>
    <t>Hondo Valle</t>
  </si>
  <si>
    <t>27111710</t>
  </si>
  <si>
    <t>Palmar de Ocoa</t>
  </si>
  <si>
    <t>Maimón</t>
  </si>
  <si>
    <t>47131602</t>
  </si>
  <si>
    <t>El Carril</t>
  </si>
  <si>
    <t>Sánchez Ramírez</t>
  </si>
  <si>
    <t>43211802</t>
  </si>
  <si>
    <t>La Entrada</t>
  </si>
  <si>
    <t>ADQUISICIÓN DE MATERIALES IMPRESOS</t>
  </si>
  <si>
    <t>ENRIQUILLO</t>
  </si>
  <si>
    <t>ADQUISICION DE GORRAS Y TSHIRT</t>
  </si>
  <si>
    <t>Jarabacoa</t>
  </si>
  <si>
    <t>Boca Chica</t>
  </si>
  <si>
    <t>Santo Domingo Norte</t>
  </si>
  <si>
    <t>82101504</t>
  </si>
  <si>
    <t>MIPYME Mujeres</t>
  </si>
  <si>
    <t>60131105</t>
  </si>
  <si>
    <t>51161615</t>
  </si>
  <si>
    <t>La Caya</t>
  </si>
  <si>
    <t>Sabana Cruz</t>
  </si>
  <si>
    <t>56101702</t>
  </si>
  <si>
    <t>44102801</t>
  </si>
  <si>
    <t>47131603</t>
  </si>
  <si>
    <t>47131806</t>
  </si>
  <si>
    <t>47121610</t>
  </si>
  <si>
    <t>50192110</t>
  </si>
  <si>
    <t>Servicios: Consultoría basada en la calidad de los servicios</t>
  </si>
  <si>
    <t>San Luis</t>
  </si>
  <si>
    <t>80161507</t>
  </si>
  <si>
    <t xml:space="preserve">REPARACIÓN DE COMPUTADORAS
</t>
  </si>
  <si>
    <t>44122106</t>
  </si>
  <si>
    <t>Villa Fundación</t>
  </si>
  <si>
    <t>12142105</t>
  </si>
  <si>
    <t>ADQUISICION DE EQUIPOS DE CLIMATIZACION</t>
  </si>
  <si>
    <t>Proyecto 4</t>
  </si>
  <si>
    <t>40101502</t>
  </si>
  <si>
    <t>51142405</t>
  </si>
  <si>
    <t>Hostos</t>
  </si>
  <si>
    <t>El Cedro (Jobero)</t>
  </si>
  <si>
    <t>44121804</t>
  </si>
  <si>
    <t>Kilómetro cuadrado</t>
  </si>
  <si>
    <t>Los Botados</t>
  </si>
  <si>
    <t>43211708</t>
  </si>
  <si>
    <t>Laguna Salada</t>
  </si>
  <si>
    <t>CONTRATACIÒN ALQUILER DE IMPRESORAS POR 2 AÑOS</t>
  </si>
  <si>
    <t>31161807</t>
  </si>
  <si>
    <t>27131506</t>
  </si>
  <si>
    <t>44122101</t>
  </si>
  <si>
    <t>La Salvia- Los Quemados</t>
  </si>
  <si>
    <t>44101707</t>
  </si>
  <si>
    <t>DOC</t>
  </si>
  <si>
    <t>43211602</t>
  </si>
  <si>
    <t>24121802</t>
  </si>
  <si>
    <t>Monte de la Jagua</t>
  </si>
  <si>
    <t>Esperanza</t>
  </si>
  <si>
    <t>47131502</t>
  </si>
  <si>
    <t>Azua</t>
  </si>
  <si>
    <t>SERVICIO DE MAESTRIA DE CEREMONIA</t>
  </si>
  <si>
    <t>39101603</t>
  </si>
  <si>
    <t>31201505</t>
  </si>
  <si>
    <t>44102002</t>
  </si>
  <si>
    <t>31201512</t>
  </si>
  <si>
    <t>ADQUISICION DE MATERIALES IMPRESOS</t>
  </si>
  <si>
    <t>Onza</t>
  </si>
  <si>
    <t>SERVICIOS DE PUBLICIDAD EN MEDIOS EXTERIORES</t>
  </si>
  <si>
    <t>42311511</t>
  </si>
  <si>
    <t/>
  </si>
  <si>
    <t>ADQUISICION DE OFRENDA FLORAL</t>
  </si>
  <si>
    <t>Servicios</t>
  </si>
  <si>
    <t>40142009</t>
  </si>
  <si>
    <t>SERVICIO DE ROTULADO DE VEHICULOS</t>
  </si>
  <si>
    <t>Miligramo</t>
  </si>
  <si>
    <t>26111808</t>
  </si>
  <si>
    <t>Pedro García</t>
  </si>
  <si>
    <t xml:space="preserve">Unidad de Compra </t>
  </si>
  <si>
    <t>Hato Nuevo Cortés</t>
  </si>
  <si>
    <t>Gualete</t>
  </si>
  <si>
    <t>25171502</t>
  </si>
  <si>
    <t>Las Guáranas</t>
  </si>
  <si>
    <t>PRECIO UNITARIO ESTIMADO</t>
  </si>
  <si>
    <t>ADQUISICIÓN DE MATERIALES DE LIMPIEZA</t>
  </si>
  <si>
    <t>La Otra Banda</t>
  </si>
  <si>
    <t>ADQUISICIÓN E INSTALACIÓN UPS CENTRAL</t>
  </si>
  <si>
    <t>ADQUISICIÓN DE COMESTIBLES</t>
  </si>
  <si>
    <t>DQUISICION DE DETALLES DIA DE LA MUJER</t>
  </si>
  <si>
    <t>42181801</t>
  </si>
  <si>
    <t>82131603</t>
  </si>
  <si>
    <t>ADQUISICIÓN DE MATERIALES DE HIGIENE Y LIMPIEZA</t>
  </si>
  <si>
    <t>Cabral</t>
  </si>
  <si>
    <t>51101508</t>
  </si>
  <si>
    <t>80101507</t>
  </si>
  <si>
    <t>51142121</t>
  </si>
  <si>
    <t>47121804</t>
  </si>
  <si>
    <t>La Guázara</t>
  </si>
  <si>
    <t>Excepción - Obras científicas, técnicas, artísticas, o restauración  de monumentos históricos</t>
  </si>
  <si>
    <t>14121504</t>
  </si>
  <si>
    <t>Bayaguana</t>
  </si>
  <si>
    <t>ADQUISICIÓN DE MATERIAL GASTABLE</t>
  </si>
  <si>
    <t>Las Táranas</t>
  </si>
  <si>
    <t>Ganadero</t>
  </si>
  <si>
    <t>ADQUISICION DE EQUIPOS Y MATERIALES DE PLOMERIA</t>
  </si>
  <si>
    <t>Excepción - Construcción, instalación o adquisición de oficinas para el servicio exterior</t>
  </si>
  <si>
    <t>Villa Isabela</t>
  </si>
  <si>
    <t>Excepción - Proveedor Único</t>
  </si>
  <si>
    <t>60121532</t>
  </si>
  <si>
    <t>RENOVACIÓN CONTRATO DE ALQUILER OFICINA SFM</t>
  </si>
  <si>
    <t>SERVICIO DE ARREGLOS FLORALES</t>
  </si>
  <si>
    <t>72101511</t>
  </si>
  <si>
    <t>Los Ríos</t>
  </si>
  <si>
    <t>Yerba Buena</t>
  </si>
  <si>
    <t>Pizarrete</t>
  </si>
  <si>
    <t>La Bija</t>
  </si>
  <si>
    <t>Duarte</t>
  </si>
  <si>
    <t xml:space="preserve">ROBOT DE CINTAS DE BACKUP
</t>
  </si>
  <si>
    <t>Kilogramo</t>
  </si>
  <si>
    <t>ADQUISICIÓN DE NEUMÁTICOS PARA LA FLOTILLA DE VEHÍCULOS</t>
  </si>
  <si>
    <t>MG</t>
  </si>
  <si>
    <t>12163501</t>
  </si>
  <si>
    <t>43211902</t>
  </si>
  <si>
    <t>44121619</t>
  </si>
  <si>
    <t>Cabeza de Toro</t>
  </si>
  <si>
    <t>ADQUISICIÓN DE MATERIALES ELÉCTRICOS</t>
  </si>
  <si>
    <t>Pulgada</t>
  </si>
  <si>
    <t>27121704</t>
  </si>
  <si>
    <t>82101503</t>
  </si>
  <si>
    <t>ADQUISICIÓN DE PAPEL HIGIÉNICO Y SERVILLETA</t>
  </si>
  <si>
    <t>31211505</t>
  </si>
  <si>
    <t>22101804</t>
  </si>
  <si>
    <t>Matayaya</t>
  </si>
  <si>
    <t>44122011</t>
  </si>
  <si>
    <t>50201714</t>
  </si>
  <si>
    <t>ADQUISICIÓN DE EQUIPOS DE CLIMATIZACION</t>
  </si>
  <si>
    <t>Bayahíbe</t>
  </si>
  <si>
    <t>82101501</t>
  </si>
  <si>
    <t>El Limón</t>
  </si>
  <si>
    <t>La Romana</t>
  </si>
  <si>
    <t>78180101</t>
  </si>
  <si>
    <t>DISTRITOS MUNICIPALES</t>
  </si>
  <si>
    <t>30161509</t>
  </si>
  <si>
    <t>27113202</t>
  </si>
  <si>
    <t>40142312</t>
  </si>
  <si>
    <t>SERVICIO DE PRODUCCION DE CONTENIDO</t>
  </si>
  <si>
    <t>Arroyo Barril</t>
  </si>
  <si>
    <t>ADQUISICION DE  PITOS</t>
  </si>
  <si>
    <t>ALQUILER DE LOCAL OFICINA SANTIAGO</t>
  </si>
  <si>
    <t>49101609</t>
  </si>
  <si>
    <t>Bajos de Haina</t>
  </si>
  <si>
    <t>Yarda cuadrada</t>
  </si>
  <si>
    <t>Las Palomas</t>
  </si>
  <si>
    <t>Estebanía</t>
  </si>
  <si>
    <t>14111703</t>
  </si>
  <si>
    <t>CIBAO SUR</t>
  </si>
  <si>
    <t>DEC</t>
  </si>
  <si>
    <t>Castañuelas</t>
  </si>
  <si>
    <t>SERVICIO DE PUBLICIDAD EN REVISTA</t>
  </si>
  <si>
    <t>31162804</t>
  </si>
  <si>
    <t>Sánchez</t>
  </si>
  <si>
    <t>78111802</t>
  </si>
  <si>
    <t>CONTRATACION DE SERVICIO DE MONTAJE DE EVENTOS</t>
  </si>
  <si>
    <t>ALQUILER DE AUDIOVISUALES</t>
  </si>
  <si>
    <t>Verón Punta Cana</t>
  </si>
  <si>
    <t>31201610</t>
  </si>
  <si>
    <t>31201603</t>
  </si>
  <si>
    <t>Servicio de duplicado y programación de llaves de vehículos  (Ford, Mazda, Nissan, Mitsubishi, Hino) (copia llave física y control inteligente original)</t>
  </si>
  <si>
    <t>0223</t>
  </si>
  <si>
    <t>Cañongo</t>
  </si>
  <si>
    <t>53101602</t>
  </si>
  <si>
    <t>47131707</t>
  </si>
  <si>
    <t>Palo Alto</t>
  </si>
  <si>
    <t>Puerto Viejo</t>
  </si>
  <si>
    <t>39121542</t>
  </si>
  <si>
    <t>41113601</t>
  </si>
  <si>
    <t>24101612</t>
  </si>
  <si>
    <t>FECHA INICIO PROCESO DE COMPRA</t>
  </si>
  <si>
    <t>San Fernando de Montecristi</t>
  </si>
  <si>
    <t>Gonzalo</t>
  </si>
  <si>
    <t>Yarda</t>
  </si>
  <si>
    <t>ADQUISICION DE MOBILIARIO</t>
  </si>
  <si>
    <t xml:space="preserve">SERVICIO DE PUBLICIDAD EN MEDIOS </t>
  </si>
  <si>
    <t>Monte Plata</t>
  </si>
  <si>
    <t>Resma</t>
  </si>
  <si>
    <t>42312003</t>
  </si>
  <si>
    <t>80141602</t>
  </si>
  <si>
    <t>Comendador</t>
  </si>
  <si>
    <t>42192207</t>
  </si>
  <si>
    <t>Cristóbal</t>
  </si>
  <si>
    <t>ADQUISICION DE BATAS</t>
  </si>
  <si>
    <t>27111726</t>
  </si>
  <si>
    <t>Santiago</t>
  </si>
  <si>
    <t>44101501</t>
  </si>
  <si>
    <t>Consuelo</t>
  </si>
  <si>
    <t>Sí</t>
  </si>
  <si>
    <t>45121602</t>
  </si>
  <si>
    <t>40151502</t>
  </si>
  <si>
    <t>ADQUISICION DE BANDERAS Y ASTAS</t>
  </si>
  <si>
    <t>ADQUISICIÓN DE MATERIALES FERRETEROS</t>
  </si>
  <si>
    <t>43211607</t>
  </si>
  <si>
    <t>Manuel Bueno</t>
  </si>
  <si>
    <t>Jayaco</t>
  </si>
  <si>
    <t>25173901</t>
  </si>
  <si>
    <t>Fondo Negro</t>
  </si>
  <si>
    <t>Nuevo Brasil</t>
  </si>
  <si>
    <t>SUMINISTRO DE AGUA POTABLE</t>
  </si>
  <si>
    <t>Villa González</t>
  </si>
  <si>
    <t>21101801</t>
  </si>
  <si>
    <t>ADQUISICIÓN DE ACCESORIOS PARA VEHÍCULOS</t>
  </si>
  <si>
    <t>Baní</t>
  </si>
  <si>
    <t>Licey al Medio</t>
  </si>
  <si>
    <t>Uvilla</t>
  </si>
  <si>
    <t>39121406</t>
  </si>
  <si>
    <t>44121628</t>
  </si>
  <si>
    <t>44121618</t>
  </si>
  <si>
    <t>SUMINSTRO E INSTALACION DE ESTANTERIA DE METAL</t>
  </si>
  <si>
    <t>76111501</t>
  </si>
  <si>
    <t>Las Charcas de María Nova</t>
  </si>
  <si>
    <t>MIL</t>
  </si>
  <si>
    <t>DIRECCIÓN GENERAL DE CONTRATACIONES PÚBLICAS</t>
  </si>
  <si>
    <t>El Salado</t>
  </si>
  <si>
    <t>Guayabo</t>
  </si>
  <si>
    <t>SERVICIO DE SUMINISTRO DE ALMUERZO EN SANTIAGO</t>
  </si>
  <si>
    <t>44111911</t>
  </si>
  <si>
    <t>43212110</t>
  </si>
  <si>
    <t>Baitoa</t>
  </si>
  <si>
    <t>52141504</t>
  </si>
  <si>
    <t>80131502</t>
  </si>
  <si>
    <t>Boyá</t>
  </si>
  <si>
    <t>Doña Emma Balaguer viuda Vallejo</t>
  </si>
  <si>
    <t>Laguna Nisibón</t>
  </si>
  <si>
    <t>LUGAR DE EJECUCIÓN / ENTREGA</t>
  </si>
  <si>
    <t>Licitacion Restringida</t>
  </si>
  <si>
    <t>La Cuaba</t>
  </si>
  <si>
    <t>Belloso</t>
  </si>
  <si>
    <t>52161505</t>
  </si>
  <si>
    <t>ADQUISICIÓN DE SCANNERS</t>
  </si>
  <si>
    <t>Obras</t>
  </si>
  <si>
    <t>Angelina</t>
  </si>
  <si>
    <t>El Ranchito</t>
  </si>
  <si>
    <t>55121727</t>
  </si>
  <si>
    <t>32121501</t>
  </si>
  <si>
    <t>39121205</t>
  </si>
  <si>
    <t>Galón</t>
  </si>
  <si>
    <t>Sabana Larga</t>
  </si>
  <si>
    <t>Batista</t>
  </si>
  <si>
    <t>Decímetro</t>
  </si>
  <si>
    <t>50201706</t>
  </si>
  <si>
    <t>San Pedro de Macorís</t>
  </si>
  <si>
    <t>11151608</t>
  </si>
  <si>
    <t>Las Charcas</t>
  </si>
  <si>
    <t>SERVICIO DE SUMINISTRO DE ALMUERZO EN SANTO DOMINGO</t>
  </si>
  <si>
    <t>El Pinar</t>
  </si>
  <si>
    <t>Fantino</t>
  </si>
  <si>
    <t>SERVICIO DE MANTENIMIENTO DE ASCENSOR</t>
  </si>
  <si>
    <t>La Jaiba</t>
  </si>
  <si>
    <t>Jaibón (Pueblo Nuevo)</t>
  </si>
  <si>
    <t>31161503</t>
  </si>
  <si>
    <t>SNCC.F.069</t>
  </si>
  <si>
    <t>39121308</t>
  </si>
  <si>
    <t>PODIO</t>
  </si>
  <si>
    <t>ADQUISICIÓN DE CARPETAS TIMBRADAS PARA ARCHIVAR</t>
  </si>
  <si>
    <t>Juma Bejucal</t>
  </si>
  <si>
    <t>80141902</t>
  </si>
  <si>
    <t>CONTRATACIÓN LABORATORIO PARA PRUEBAS PERSONAL DE INGRESO</t>
  </si>
  <si>
    <t>KG</t>
  </si>
  <si>
    <t>Jicomé</t>
  </si>
  <si>
    <t>47131805</t>
  </si>
  <si>
    <t>39121601</t>
  </si>
  <si>
    <t>44103105</t>
  </si>
  <si>
    <t>DM</t>
  </si>
  <si>
    <t>MERCA SANTO DOMINGO ESTE</t>
  </si>
  <si>
    <t>46171609</t>
  </si>
  <si>
    <t>46171619</t>
  </si>
  <si>
    <t>El Estrecho de Luperón Omar Bross</t>
  </si>
  <si>
    <t>ADQUISICION PAPEL HIGIENICO Y SERVILLETAS</t>
  </si>
  <si>
    <t>CARRITOS DE CARGA</t>
  </si>
  <si>
    <t>10161603</t>
  </si>
  <si>
    <t>49101701</t>
  </si>
  <si>
    <t>52152002</t>
  </si>
  <si>
    <t>Metro cúbico</t>
  </si>
  <si>
    <t>25173107</t>
  </si>
  <si>
    <t>Fundación</t>
  </si>
  <si>
    <t>Sub Capítulo</t>
  </si>
  <si>
    <t>43211711</t>
  </si>
  <si>
    <t>Boca de Yuma</t>
  </si>
  <si>
    <t>40142110</t>
  </si>
  <si>
    <t>Compras por debajo del Umbral</t>
  </si>
  <si>
    <t>82101601</t>
  </si>
  <si>
    <t>ADQUISICIÓN DE DECORACIÓN NAVIDEÑA</t>
  </si>
  <si>
    <t>Centímetro</t>
  </si>
  <si>
    <t>Santa Bárbara El 06</t>
  </si>
  <si>
    <t>Juan de Herrera</t>
  </si>
  <si>
    <t>Palmarejo-Villa Linda</t>
  </si>
  <si>
    <t>45111601</t>
  </si>
  <si>
    <t>Loma de Cabrera</t>
  </si>
  <si>
    <t>30102015</t>
  </si>
  <si>
    <t>80101508</t>
  </si>
  <si>
    <t>Ciento</t>
  </si>
  <si>
    <t>Piedra Blanca</t>
  </si>
  <si>
    <t>El Peñón</t>
  </si>
  <si>
    <t>47121702</t>
  </si>
  <si>
    <t>Oviedo</t>
  </si>
  <si>
    <t>Santiago Rodriguez</t>
  </si>
  <si>
    <t>SERVICIO DE SUSTITUCIÓN DE DUCTERIAS</t>
  </si>
  <si>
    <t>Sabana Alta</t>
  </si>
  <si>
    <t xml:space="preserve">SERVIDORES DE ALMACENAMIENTO- PROYECTO DIGITALIZACION </t>
  </si>
  <si>
    <t>31211906</t>
  </si>
  <si>
    <t>27112819</t>
  </si>
  <si>
    <t>El Yaque</t>
  </si>
  <si>
    <t>23153303</t>
  </si>
  <si>
    <t>Pedro Santana</t>
  </si>
  <si>
    <t xml:space="preserve">ADQUISICION DE PAPELERIA </t>
  </si>
  <si>
    <t>San Víctor</t>
  </si>
  <si>
    <t>51171504</t>
  </si>
  <si>
    <t>El Seibo</t>
  </si>
  <si>
    <t>27111712</t>
  </si>
  <si>
    <t>42241811</t>
  </si>
  <si>
    <t>Hermanas Mirabal</t>
  </si>
  <si>
    <t>Hato Damas</t>
  </si>
  <si>
    <t>24111802</t>
  </si>
  <si>
    <t>La Ortega</t>
  </si>
  <si>
    <t>La Descubierta</t>
  </si>
  <si>
    <t>56112104</t>
  </si>
  <si>
    <t>Cabrera</t>
  </si>
  <si>
    <t>27111708</t>
  </si>
  <si>
    <t>47131702</t>
  </si>
  <si>
    <t>Villa de Pedro Sánchez</t>
  </si>
  <si>
    <t>39121407</t>
  </si>
  <si>
    <t>30222305</t>
  </si>
  <si>
    <t>PULG</t>
  </si>
  <si>
    <t>Nagua</t>
  </si>
  <si>
    <t>DESTINADO A MIPYMES</t>
  </si>
  <si>
    <t>40161505</t>
  </si>
  <si>
    <t>43201803</t>
  </si>
  <si>
    <t>La Ciénaga</t>
  </si>
  <si>
    <t>23171511</t>
  </si>
  <si>
    <t>55121704</t>
  </si>
  <si>
    <t>Duvergé</t>
  </si>
  <si>
    <t>La Canela</t>
  </si>
  <si>
    <t>Jínova</t>
  </si>
  <si>
    <t>43211507</t>
  </si>
  <si>
    <t xml:space="preserve">CONTRATACIÒN ALQUILER DE IMPRESORAS POR 2 AÑOS
</t>
  </si>
  <si>
    <t>CÓDIGO SNIP</t>
  </si>
  <si>
    <t>Distrito Nacional</t>
  </si>
  <si>
    <t>Quinientas unidades</t>
  </si>
  <si>
    <t>56101532</t>
  </si>
  <si>
    <t xml:space="preserve">SERVICIO DE SUSTITUCIÓN DE DUCTERIAS
</t>
  </si>
  <si>
    <t>Tábara Arriba</t>
  </si>
  <si>
    <t>23101508</t>
  </si>
  <si>
    <t>47131704</t>
  </si>
  <si>
    <t>Arroyo Dulce</t>
  </si>
  <si>
    <t>44121605</t>
  </si>
  <si>
    <t>10161511</t>
  </si>
  <si>
    <t>Rancho de la Guardia</t>
  </si>
  <si>
    <t>Salcedo</t>
  </si>
  <si>
    <t>Santa Cruz de Barahona</t>
  </si>
  <si>
    <t>52152101</t>
  </si>
  <si>
    <t>Quisqueya</t>
  </si>
  <si>
    <t>22101902</t>
  </si>
  <si>
    <t>50161814</t>
  </si>
  <si>
    <t>40101704</t>
  </si>
  <si>
    <t>Excepción - Rescisión de contratos cuya terminación no exceda el 40% del monto total del proyecto, obra o servicio</t>
  </si>
  <si>
    <t>47121701</t>
  </si>
  <si>
    <t>Estero Hondo</t>
  </si>
  <si>
    <t>Pedro Brand</t>
  </si>
  <si>
    <t>14111515</t>
  </si>
  <si>
    <t>La Cuchilla</t>
  </si>
  <si>
    <t>Cumayasa</t>
  </si>
  <si>
    <t>45101515</t>
  </si>
  <si>
    <t>Veragua</t>
  </si>
  <si>
    <t>ALQUILER DE NAVES</t>
  </si>
  <si>
    <t>Valverde</t>
  </si>
  <si>
    <t>ADQUISICIÓN DE ARTICULOS PROMOCIONALES</t>
  </si>
  <si>
    <t>31211704</t>
  </si>
  <si>
    <t>ADQUISICION DE GUILLOTINA</t>
  </si>
  <si>
    <t>31162906</t>
  </si>
  <si>
    <t>78101604</t>
  </si>
  <si>
    <t>45111609</t>
  </si>
  <si>
    <t>Los Toros</t>
  </si>
  <si>
    <t xml:space="preserve">Compra e instalacion de barra automatica para parqueos
</t>
  </si>
  <si>
    <t>ADQUISICION DE MATERIALES ELECTRICOS</t>
  </si>
  <si>
    <t>Unidad Ejecutora</t>
  </si>
  <si>
    <t>46191608</t>
  </si>
  <si>
    <t>OBJETO DE CONTRATACIÓN</t>
  </si>
  <si>
    <t>53102710</t>
  </si>
  <si>
    <t>47131810</t>
  </si>
  <si>
    <t>46171501</t>
  </si>
  <si>
    <t>46171511</t>
  </si>
  <si>
    <t>ELEVADORES PLEGABLES</t>
  </si>
  <si>
    <t>Setúbal</t>
  </si>
  <si>
    <t>San Francisco Vicentillo</t>
  </si>
  <si>
    <t>CT</t>
  </si>
  <si>
    <t>FT</t>
  </si>
  <si>
    <t>76121501</t>
  </si>
  <si>
    <t>30181504</t>
  </si>
  <si>
    <t>La Guáyiga</t>
  </si>
  <si>
    <t>SERVICIOS DE LAVANDERÍA POR UN PERIODO DE 6 MESES</t>
  </si>
  <si>
    <t>14111608</t>
  </si>
  <si>
    <t>81112501</t>
  </si>
  <si>
    <t>Palmar Arriba</t>
  </si>
  <si>
    <t>31201514</t>
  </si>
  <si>
    <t>SERVICIO DE MONTAJE DE EVENTOS</t>
  </si>
  <si>
    <t>Postrer Río</t>
  </si>
  <si>
    <t>14111527</t>
  </si>
  <si>
    <t>23171512</t>
  </si>
  <si>
    <t>PROVINCIAS</t>
  </si>
  <si>
    <t>31162104</t>
  </si>
  <si>
    <t>Capotillo</t>
  </si>
  <si>
    <t>SERVICIOS DE CONSULTORÍA</t>
  </si>
  <si>
    <t>47131618</t>
  </si>
  <si>
    <t>45121603</t>
  </si>
  <si>
    <t>45121504</t>
  </si>
  <si>
    <t>Bonao</t>
  </si>
  <si>
    <t>Neyba</t>
  </si>
  <si>
    <t>Dajabón</t>
  </si>
  <si>
    <t>Salvaléon de Higüey</t>
  </si>
  <si>
    <t>26121519</t>
  </si>
  <si>
    <t>30191501</t>
  </si>
  <si>
    <t>39101605</t>
  </si>
  <si>
    <t>Las Barías-La Estancia</t>
  </si>
  <si>
    <t>Cambita el Pueblecito</t>
  </si>
  <si>
    <t>Navas</t>
  </si>
  <si>
    <t>26111711</t>
  </si>
  <si>
    <t xml:space="preserve">Objeto de Contratación </t>
  </si>
  <si>
    <t>Pie cúbico</t>
  </si>
  <si>
    <t>51161705</t>
  </si>
  <si>
    <t>ADQUISICIÓN DE MOBILIARIO</t>
  </si>
  <si>
    <t>Las Zanjas</t>
  </si>
  <si>
    <t>42181501</t>
  </si>
  <si>
    <t xml:space="preserve">SERVICIO DE MANTENIMIENNTO DE VEHICULOS </t>
  </si>
  <si>
    <t>SERVICIO DE PUBLICIDAD EN MEDIOS DE COMUNICACION</t>
  </si>
  <si>
    <t>44121716</t>
  </si>
  <si>
    <t>44121706</t>
  </si>
  <si>
    <t>80111504</t>
  </si>
  <si>
    <t>LETREROS Y BANNERS</t>
  </si>
  <si>
    <t>47121501</t>
  </si>
  <si>
    <t>Jorgillo</t>
  </si>
  <si>
    <t>Sabana del Puerto</t>
  </si>
  <si>
    <t>30171514</t>
  </si>
  <si>
    <t>Arroyo Toro Masipedro</t>
  </si>
  <si>
    <t>El Limonal</t>
  </si>
  <si>
    <t>Sabana Yegua</t>
  </si>
  <si>
    <t>Monción</t>
  </si>
  <si>
    <t>REGIONES</t>
  </si>
  <si>
    <t>45111501</t>
  </si>
  <si>
    <t>Sabana Grande de Palenque</t>
  </si>
  <si>
    <t>La Isabela</t>
  </si>
  <si>
    <t>EL VALLE</t>
  </si>
  <si>
    <t>TOTAL COMPRA ESTIMADA</t>
  </si>
  <si>
    <t>43201402</t>
  </si>
  <si>
    <t>CONTRATACIÓN DE SERVICIOS MANTENIMIENTO PREVENTIVO Y CORRECTIVO PARA LA FLOTILLA VEHICULAR DEL MINISTERIO</t>
  </si>
  <si>
    <t>31211504</t>
  </si>
  <si>
    <t>Catalina</t>
  </si>
  <si>
    <t>SUMINISTRO DE GASOIL</t>
  </si>
  <si>
    <t>El Rubio</t>
  </si>
  <si>
    <t>Puerto Plata</t>
  </si>
  <si>
    <t>SEM</t>
  </si>
  <si>
    <t>47131803</t>
  </si>
  <si>
    <t>Tireo Arriba</t>
  </si>
  <si>
    <t>15101506</t>
  </si>
  <si>
    <t>José Fco. Peña Gómez</t>
  </si>
  <si>
    <t>Las Lomas</t>
  </si>
  <si>
    <t>27113204</t>
  </si>
  <si>
    <t>Independencia</t>
  </si>
  <si>
    <t>ADQUISICIÓN DE EQUIPOS AUDIOVISUALES Y ACCESORIOS</t>
  </si>
  <si>
    <t>SERVICIO DE PUBLICIDAD EN MEDIOS EXTERIORES</t>
  </si>
  <si>
    <t>43231505</t>
  </si>
  <si>
    <t>Canabacoa</t>
  </si>
  <si>
    <t>ADQUISICION DE BATERÍAS PARA VEHÍCULOS</t>
  </si>
  <si>
    <t>26111704</t>
  </si>
  <si>
    <t>ADQUISICION DE MATERIALES DE CLIMATIZACION</t>
  </si>
  <si>
    <t>Las Yayas de Viajama</t>
  </si>
  <si>
    <t>RENOVACIÓN DE CONTRATO DE ALQUILER PARQUEO</t>
  </si>
  <si>
    <t>Agua Santa del Yuna</t>
  </si>
  <si>
    <t>Paraíso</t>
  </si>
  <si>
    <t>IN</t>
  </si>
  <si>
    <t>FECHA PREVISTA ADJUDICACIÓN</t>
  </si>
  <si>
    <t>14111805</t>
  </si>
  <si>
    <t>MES</t>
  </si>
  <si>
    <t>Etiquetas necesarias</t>
  </si>
  <si>
    <t>Las Terrenas</t>
  </si>
  <si>
    <t>24121503</t>
  </si>
  <si>
    <t>OZ</t>
  </si>
  <si>
    <t>27112111</t>
  </si>
  <si>
    <t>46181525</t>
  </si>
  <si>
    <t>Hato del Yaque</t>
  </si>
  <si>
    <t>RESMA</t>
  </si>
  <si>
    <t>30151901</t>
  </si>
  <si>
    <t>Sorteo de Obras</t>
  </si>
  <si>
    <t>30151703</t>
  </si>
  <si>
    <t>Región</t>
  </si>
  <si>
    <t>Villa Jaragua</t>
  </si>
  <si>
    <t>Don Juan</t>
  </si>
  <si>
    <t>51102709</t>
  </si>
  <si>
    <t>85121801</t>
  </si>
  <si>
    <t>72102602</t>
  </si>
  <si>
    <t>SERVICIO DE PUBLICIDAD EN PERIÓDICOS</t>
  </si>
  <si>
    <t>Distrito Municipal</t>
  </si>
  <si>
    <t>50201712</t>
  </si>
  <si>
    <t>Ramón Santana</t>
  </si>
  <si>
    <t>Guatapanal</t>
  </si>
  <si>
    <t>25174418</t>
  </si>
  <si>
    <t>Metro</t>
  </si>
  <si>
    <t>Gaspar Hernández</t>
  </si>
  <si>
    <t>14111537</t>
  </si>
  <si>
    <t>Joba Arriba</t>
  </si>
  <si>
    <t>40142612</t>
  </si>
  <si>
    <t>56112102</t>
  </si>
  <si>
    <t>ADQUISICIÓN DE EQUIPO DE PROTECCION PERSONAL</t>
  </si>
  <si>
    <t>14111507</t>
  </si>
  <si>
    <t>Compra e instalacion de barra automatica para parqueos</t>
  </si>
  <si>
    <t xml:space="preserve">ADQUISICION DE LICENCIAS </t>
  </si>
  <si>
    <t>ADQUISICION DE DETALLES DIA DE LA AMISTAD</t>
  </si>
  <si>
    <t>ADQUISICION DE ARTICULOS PROMOCIONALES</t>
  </si>
  <si>
    <t>Kilómetro</t>
  </si>
  <si>
    <t>14111530</t>
  </si>
  <si>
    <t>51171909</t>
  </si>
  <si>
    <t>San José de las Matas</t>
  </si>
  <si>
    <t>40142202</t>
  </si>
  <si>
    <t>53103001</t>
  </si>
  <si>
    <t>51142904</t>
  </si>
  <si>
    <t>Monte Bonito</t>
  </si>
  <si>
    <t>40151601</t>
  </si>
  <si>
    <t>La Cuesta</t>
  </si>
  <si>
    <t>SERVICIO DE MAESTRÍA DE CEREMONIA</t>
  </si>
  <si>
    <t xml:space="preserve">SERVICIO DE FUMIGACION </t>
  </si>
  <si>
    <t>44122104</t>
  </si>
  <si>
    <t>40141609</t>
  </si>
  <si>
    <t>40141619</t>
  </si>
  <si>
    <t>40141607</t>
  </si>
  <si>
    <t>ADQUISICIÓN DE UNIFORMES</t>
  </si>
  <si>
    <t>Vallejuelo</t>
  </si>
  <si>
    <t>Cenoví</t>
  </si>
  <si>
    <t>31161701</t>
  </si>
  <si>
    <t>Hato del Padre</t>
  </si>
  <si>
    <t>Majagual</t>
  </si>
  <si>
    <t>Arenoso</t>
  </si>
  <si>
    <t>La Mata</t>
  </si>
  <si>
    <t>ADQUISICIÓN DE TICKETS DE COMBUSTIBLE</t>
  </si>
  <si>
    <t>Montecristi</t>
  </si>
  <si>
    <t>San José de Matanzas</t>
  </si>
  <si>
    <t>39121434</t>
  </si>
  <si>
    <t>Pie</t>
  </si>
  <si>
    <t>Tamboril</t>
  </si>
  <si>
    <t>Tonelada</t>
  </si>
  <si>
    <t>El Cercado</t>
  </si>
  <si>
    <t>Batey 08</t>
  </si>
  <si>
    <t>73151805</t>
  </si>
  <si>
    <t>Cruce de Guayacanes</t>
  </si>
  <si>
    <t>24102004</t>
  </si>
  <si>
    <t>Galván</t>
  </si>
  <si>
    <t>31162506</t>
  </si>
  <si>
    <t>Jaibón (Laguna Salada)</t>
  </si>
  <si>
    <t>Monserrat</t>
  </si>
  <si>
    <t>52141502</t>
  </si>
  <si>
    <t>Gramo</t>
  </si>
  <si>
    <t xml:space="preserve">ADQUISICION DE PROYECTORES Y ACCESORIOS </t>
  </si>
  <si>
    <t>SERVICIO DE CATERING PARA ENTREGA DE OBRAS</t>
  </si>
  <si>
    <t>El Carretón</t>
  </si>
  <si>
    <t>Los Alcarrizos</t>
  </si>
  <si>
    <t>23171507</t>
  </si>
  <si>
    <t>Juancho</t>
  </si>
  <si>
    <t>PROCEDIMIENTO DE SELECCIÓN</t>
  </si>
  <si>
    <t>Rincón</t>
  </si>
  <si>
    <t>41113630</t>
  </si>
  <si>
    <t>EQUIPO DE PROTECCION</t>
  </si>
  <si>
    <t>Santo Domingo</t>
  </si>
  <si>
    <t>24101504</t>
  </si>
  <si>
    <t>40101604</t>
  </si>
  <si>
    <t>21101511</t>
  </si>
  <si>
    <t>52151504</t>
  </si>
  <si>
    <t>44102912</t>
  </si>
  <si>
    <t>41111604</t>
  </si>
  <si>
    <t>Guayubín</t>
  </si>
  <si>
    <t xml:space="preserve">MANTENIMIENTO PREVENTIVO Y CORRECTIVO ASCENSORES </t>
  </si>
  <si>
    <t>Hernando Alonso</t>
  </si>
  <si>
    <t>BIBLIOTECA NACIONAL</t>
  </si>
  <si>
    <t>Bohechio</t>
  </si>
  <si>
    <t>Canca la Piedra</t>
  </si>
  <si>
    <t>Bánica</t>
  </si>
  <si>
    <t>Villa de Sonador</t>
  </si>
  <si>
    <t>Centímetro Cuadrado</t>
  </si>
  <si>
    <t>55121807</t>
  </si>
  <si>
    <t>Peralta</t>
  </si>
  <si>
    <t>MANTENIMIENTO Y RECARGA PARA EXTINTORES</t>
  </si>
  <si>
    <t xml:space="preserve">SUMINISTRO E INSTALACIÓN DE SHUTTERS
</t>
  </si>
  <si>
    <t>Código de la Unidad de Compra</t>
  </si>
  <si>
    <t>30222112</t>
  </si>
  <si>
    <t>Quita Sueño</t>
  </si>
  <si>
    <t>Villarpando</t>
  </si>
  <si>
    <t>53101604</t>
  </si>
  <si>
    <t>40141610</t>
  </si>
  <si>
    <t>24111813</t>
  </si>
  <si>
    <t>Nizao Las Auyamas</t>
  </si>
  <si>
    <t>26121616</t>
  </si>
  <si>
    <t>Mella</t>
  </si>
  <si>
    <t>52141509</t>
  </si>
  <si>
    <t>FECHA DE NECESSIDAD</t>
  </si>
  <si>
    <t>60105705</t>
  </si>
  <si>
    <t>50202301</t>
  </si>
  <si>
    <t>Villa los Almácigos</t>
  </si>
  <si>
    <t>12171703</t>
  </si>
  <si>
    <t xml:space="preserve">CONSULTORIA PROYECTO DIGITALIZACION DOCUMENTAL </t>
  </si>
  <si>
    <t>39101701</t>
  </si>
  <si>
    <t>82101602</t>
  </si>
  <si>
    <t>Excepción - Resolución 15-08 sobre compra y contratación de pasaje aéreo, combustible y reparación de vehículos de motor</t>
  </si>
  <si>
    <t>ADQUISICIÓN DE ALFOMBRAS</t>
  </si>
  <si>
    <t>ADQUISICION DE COMESTIBLES</t>
  </si>
  <si>
    <t>ADQUISICION DE LICENCIAS</t>
  </si>
  <si>
    <t>43212107</t>
  </si>
  <si>
    <t>01</t>
  </si>
  <si>
    <t>San Cristóbal</t>
  </si>
  <si>
    <t>San Juan de la Maguana</t>
  </si>
  <si>
    <t>Paradero</t>
  </si>
  <si>
    <t>12352104</t>
  </si>
  <si>
    <t>Puñal</t>
  </si>
  <si>
    <t>Villa Tapia</t>
  </si>
  <si>
    <t>CANTIDAD TOTAL ESTIMADA</t>
  </si>
  <si>
    <t>Procedimientos</t>
  </si>
  <si>
    <t>40141734</t>
  </si>
  <si>
    <t>11111501</t>
  </si>
  <si>
    <t>MONTO TOTAL ESTIMADO</t>
  </si>
  <si>
    <t>Gautier</t>
  </si>
  <si>
    <t>Destinado a MIPYME?</t>
  </si>
  <si>
    <t>INPOSDOM</t>
  </si>
  <si>
    <t>81111812</t>
  </si>
  <si>
    <t>42291614</t>
  </si>
  <si>
    <t>SERVICIOS DE REPARACION DE EQUIPOS</t>
  </si>
  <si>
    <t>El Pozo</t>
  </si>
  <si>
    <t xml:space="preserve">Servicio de duplicado y programación de llaves de vehículos  (Ford, Mazda, Nissan, Mitsubishi, Hino) (copia llave física y control inteligente original)
</t>
  </si>
  <si>
    <t>Enriquillo</t>
  </si>
  <si>
    <t>82101603</t>
  </si>
  <si>
    <t>55121715</t>
  </si>
  <si>
    <t>Sabana Grande de Boyá</t>
  </si>
  <si>
    <t>51181725</t>
  </si>
  <si>
    <t>Nizao</t>
  </si>
  <si>
    <t>SERVICIO DE TRANSPORTE DE PASAJEROS</t>
  </si>
  <si>
    <t>Sabaneta</t>
  </si>
  <si>
    <t>ADQUISICION DE LETREROS</t>
  </si>
  <si>
    <t>Río San Juan</t>
  </si>
  <si>
    <t>San Gregorio de Nigua</t>
  </si>
  <si>
    <t>H/H</t>
  </si>
  <si>
    <t>Libra </t>
  </si>
  <si>
    <t>UNIDAD DE MEDIDA</t>
  </si>
  <si>
    <t>Milímetro</t>
  </si>
  <si>
    <t>Boca de Cachón</t>
  </si>
  <si>
    <t>72101517</t>
  </si>
  <si>
    <t>Servicios: Consultorías</t>
  </si>
  <si>
    <t>Juan Santiago</t>
  </si>
  <si>
    <t>CÓDIGO CATÁLOGO</t>
  </si>
  <si>
    <t>44111607</t>
  </si>
  <si>
    <t>44122026</t>
  </si>
  <si>
    <t>72101507</t>
  </si>
  <si>
    <t>ADQUISICION DE NEUMATICOS PARA LA FLOTILLA DE VEHÍCULOS</t>
  </si>
  <si>
    <t>56101504</t>
  </si>
  <si>
    <t>YD2</t>
  </si>
  <si>
    <t>ADQUISICION DE CAJAS DE CARTÓN</t>
  </si>
  <si>
    <t>Las Clavellinas</t>
  </si>
  <si>
    <t>27111704</t>
  </si>
  <si>
    <t>CHARLA DIA DE LAS MADRES</t>
  </si>
  <si>
    <t>52121606</t>
  </si>
  <si>
    <t>27111802</t>
  </si>
  <si>
    <t>51161616</t>
  </si>
  <si>
    <t>27112822</t>
  </si>
  <si>
    <t>10161513</t>
  </si>
  <si>
    <t>Version: 1.0.0</t>
  </si>
  <si>
    <t>27111901</t>
  </si>
  <si>
    <t>44121506</t>
  </si>
  <si>
    <t>Sistemas de posicionamiento global para vehículos</t>
  </si>
  <si>
    <t>25101501</t>
  </si>
  <si>
    <t>27111506</t>
  </si>
  <si>
    <t>55121722</t>
  </si>
  <si>
    <t>43211714</t>
  </si>
  <si>
    <t>11111606</t>
  </si>
  <si>
    <t>ARTÍCULO</t>
  </si>
  <si>
    <t>Arroyo Cano</t>
  </si>
  <si>
    <t>31211904</t>
  </si>
  <si>
    <t>60101401</t>
  </si>
  <si>
    <t>Clavellina</t>
  </si>
  <si>
    <t>Los Cacaos</t>
  </si>
  <si>
    <t>31371001</t>
  </si>
  <si>
    <t>47131706</t>
  </si>
  <si>
    <t>ROBOT DE CINTAS DE BACKUP</t>
  </si>
  <si>
    <t>NOMBRE O REFERENCIA DE CONTRATACIÓN</t>
  </si>
  <si>
    <t>Río Verde Arriba</t>
  </si>
  <si>
    <t>Las Barías</t>
  </si>
  <si>
    <t>ADQUISICION DE TICKETS DE LAVADO</t>
  </si>
  <si>
    <t>EQUIPOS DE PROTECCION</t>
  </si>
  <si>
    <t>46181804</t>
  </si>
  <si>
    <t>52152102</t>
  </si>
  <si>
    <t>HIGUAMO</t>
  </si>
  <si>
    <t>42131611</t>
  </si>
  <si>
    <t>Proyecto digitalización de documentos</t>
  </si>
  <si>
    <t>ADQUISICIÓN DE MATERIALES DE PLOMERÍA</t>
  </si>
  <si>
    <t>Hato Mayor</t>
  </si>
  <si>
    <t>Yásica Arriba</t>
  </si>
  <si>
    <t>ADQUISICIÓN DE MEDICAMENTOS E INSUMOS MÉDICOS</t>
  </si>
  <si>
    <t>Barraquito</t>
  </si>
  <si>
    <t>ADQUISICIÓN DE UPS</t>
  </si>
  <si>
    <t>25174004</t>
  </si>
  <si>
    <t>KM2</t>
  </si>
  <si>
    <t>Sabana Buey</t>
  </si>
  <si>
    <t>39101628</t>
  </si>
  <si>
    <t xml:space="preserve">MANTENIMIENTO SISTEMA DE SUPRESIÓN DE INCENDIO </t>
  </si>
  <si>
    <t>39121402</t>
  </si>
  <si>
    <t>39121432</t>
  </si>
  <si>
    <t>Paya</t>
  </si>
  <si>
    <t>ADQUISICION DE LICENCIAS INFORMÁTICAS</t>
  </si>
  <si>
    <t>CM2</t>
  </si>
  <si>
    <t>IN2</t>
  </si>
  <si>
    <t>30103206</t>
  </si>
  <si>
    <t>GESTIÓN DE EVENTOS VARIOS</t>
  </si>
  <si>
    <t>Jaya</t>
  </si>
  <si>
    <t>Las Matas de Santa Cruz</t>
  </si>
  <si>
    <t>Palo Verde</t>
  </si>
  <si>
    <t>42132203</t>
  </si>
  <si>
    <t>Blanco</t>
  </si>
  <si>
    <t>Tábara Abajo</t>
  </si>
  <si>
    <t>SERVICIO DE PUBLICIDAD EN PERIODICOS</t>
  </si>
  <si>
    <t>La Peña</t>
  </si>
  <si>
    <t>47131708</t>
  </si>
  <si>
    <t>44122105</t>
  </si>
  <si>
    <t>SERVCIO DE INSTALACIÓN SISTEMA DE RIEGO</t>
  </si>
  <si>
    <t>Caja</t>
  </si>
  <si>
    <t>San José de los Llanos</t>
  </si>
  <si>
    <t>DISTRITO MUNICIPAL</t>
  </si>
  <si>
    <t>24111501</t>
  </si>
  <si>
    <t>Monto Estimado Total</t>
  </si>
  <si>
    <t>ADQUISICION DE INSUMOS PARA EMISION DE CARNET DE EMPLEADOS</t>
  </si>
  <si>
    <t>El Palmar</t>
  </si>
  <si>
    <t>ADQUISICIÓN DE MATERIALES, ACCESORIOS Y HERRAMIENTAS DE TECNOLOGÍA</t>
  </si>
  <si>
    <t>11121503</t>
  </si>
  <si>
    <t>Don Antonio Guzmán Fernández</t>
  </si>
  <si>
    <t>22101619</t>
  </si>
  <si>
    <t>27112003</t>
  </si>
  <si>
    <t>Ámina</t>
  </si>
  <si>
    <t>ADQUISICION DE MATERIALES, ACCESORIOS Y HERRAMIENTAS DE TECNOLOGÍA</t>
  </si>
  <si>
    <t>42141501</t>
  </si>
  <si>
    <t>42171611</t>
  </si>
  <si>
    <t>30221009</t>
  </si>
  <si>
    <t>DÍA</t>
  </si>
  <si>
    <t>Río Grande</t>
  </si>
  <si>
    <t>30161706</t>
  </si>
  <si>
    <t>25202003</t>
  </si>
  <si>
    <t>0001</t>
  </si>
  <si>
    <t>30222103</t>
  </si>
  <si>
    <t xml:space="preserve">SERVICIO TRANSPORTE CARGA DE MATERIALES  </t>
  </si>
  <si>
    <t>La Cueva</t>
  </si>
  <si>
    <t>52161520</t>
  </si>
  <si>
    <t>La Caleta</t>
  </si>
  <si>
    <t>CONSULTORIA PROYECTO TEÉFONIA</t>
  </si>
  <si>
    <t>47131821</t>
  </si>
  <si>
    <t>30102306</t>
  </si>
  <si>
    <t>Cana Chapetón</t>
  </si>
  <si>
    <t>31201511</t>
  </si>
  <si>
    <t>40151607</t>
  </si>
  <si>
    <t>31152002</t>
  </si>
  <si>
    <t>31161505</t>
  </si>
  <si>
    <t xml:space="preserve">ADQUISICION DE HERRAMIENTAS </t>
  </si>
  <si>
    <t>Litro</t>
  </si>
  <si>
    <t>Compras Menores</t>
  </si>
  <si>
    <t>Buena Vista</t>
  </si>
  <si>
    <t>La Siembra</t>
  </si>
  <si>
    <t>San Felipe de Puerto Plata</t>
  </si>
  <si>
    <t>Vengan a ver</t>
  </si>
  <si>
    <t>31231302</t>
  </si>
  <si>
    <t>YUMA</t>
  </si>
  <si>
    <t>45121607</t>
  </si>
  <si>
    <t>Metro cuadrado</t>
  </si>
  <si>
    <t>Villa Central</t>
  </si>
  <si>
    <t>31162402</t>
  </si>
  <si>
    <t>31211908</t>
  </si>
  <si>
    <t>27111905</t>
  </si>
  <si>
    <t>27111801</t>
  </si>
  <si>
    <t>15121902</t>
  </si>
  <si>
    <t>500UD</t>
  </si>
  <si>
    <t>53102516</t>
  </si>
  <si>
    <t>Cambita Garabitos</t>
  </si>
  <si>
    <t>Miches</t>
  </si>
  <si>
    <t>Peralvillo</t>
  </si>
  <si>
    <t>43191629</t>
  </si>
  <si>
    <t>43191609</t>
  </si>
  <si>
    <t>001154</t>
  </si>
  <si>
    <t>Mena</t>
  </si>
  <si>
    <t>Readecuación sistema eléctrico aires acondicionados</t>
  </si>
  <si>
    <t>Espaillat</t>
  </si>
  <si>
    <t>78180103</t>
  </si>
  <si>
    <t>Bienes</t>
  </si>
  <si>
    <t>No</t>
  </si>
  <si>
    <t>42301506</t>
  </si>
  <si>
    <t>50181905</t>
  </si>
  <si>
    <t>31211905</t>
  </si>
  <si>
    <t>52151704</t>
  </si>
  <si>
    <t>Licitacion Publica Internacional</t>
  </si>
  <si>
    <t>46181701</t>
  </si>
  <si>
    <t>Villa Elisa</t>
  </si>
  <si>
    <t>Guayacanes</t>
  </si>
  <si>
    <t>43211503</t>
  </si>
  <si>
    <t>Sabana de la Mar</t>
  </si>
  <si>
    <t>Santa Cruz del Seibo</t>
  </si>
  <si>
    <t>Un</t>
  </si>
  <si>
    <t>Imbert</t>
  </si>
  <si>
    <t>52152001</t>
  </si>
  <si>
    <t>Mes</t>
  </si>
  <si>
    <t>Concepción de La Vega</t>
  </si>
  <si>
    <t>30141502</t>
  </si>
  <si>
    <t>Las Galeras</t>
  </si>
  <si>
    <t>San Francisco de Jacagua</t>
  </si>
  <si>
    <t>46181507</t>
  </si>
  <si>
    <t>14111508</t>
  </si>
  <si>
    <t>42171607</t>
  </si>
  <si>
    <t>Las Matas de Farfán</t>
  </si>
  <si>
    <t>Villa Altagracia</t>
  </si>
  <si>
    <t>Juncalito</t>
  </si>
  <si>
    <t>27112706</t>
  </si>
  <si>
    <t>San Ignacio de Sabaneta</t>
  </si>
  <si>
    <t>Las Lagunas Abajo</t>
  </si>
  <si>
    <t>31211803</t>
  </si>
  <si>
    <t>VALDESIA</t>
  </si>
  <si>
    <t>47131705</t>
  </si>
  <si>
    <t>ADQUISICIÓN DE EQUIPO DE PROTECCIÓN PERSONAL</t>
  </si>
  <si>
    <t>ADQUISICION DE POLOS Y  TSHIRTS</t>
  </si>
  <si>
    <t>27121602</t>
  </si>
  <si>
    <t>Altamira</t>
  </si>
  <si>
    <t>Villa Sombrero</t>
  </si>
  <si>
    <t>Jima Abajo</t>
  </si>
  <si>
    <t>76111504</t>
  </si>
  <si>
    <t>31161502</t>
  </si>
  <si>
    <t>Los Fríos</t>
  </si>
  <si>
    <t>43201807</t>
  </si>
  <si>
    <t>SERVICIO DE PRODUCCION DE CONTENIDO.</t>
  </si>
  <si>
    <t xml:space="preserve">ADQUISICION DE TELEVISOR Y ACCESORIOS </t>
  </si>
  <si>
    <t xml:space="preserve">ADQUISICION DE EQUIPOS TECNOLOGICOS </t>
  </si>
  <si>
    <t>76111801</t>
  </si>
  <si>
    <t>60121526</t>
  </si>
  <si>
    <t>52151604</t>
  </si>
  <si>
    <t>Las Placetas</t>
  </si>
  <si>
    <t xml:space="preserve">ADQUISICIÓN DE  CORTINAS </t>
  </si>
  <si>
    <t>51142106</t>
  </si>
  <si>
    <t>Mata Palacio</t>
  </si>
  <si>
    <t>Santiago do Cacém</t>
  </si>
  <si>
    <t>26111703</t>
  </si>
  <si>
    <t>Pedro Corto</t>
  </si>
  <si>
    <t>27111906</t>
  </si>
  <si>
    <t>Quita Coraza</t>
  </si>
  <si>
    <t>52152008</t>
  </si>
  <si>
    <t>27111602</t>
  </si>
  <si>
    <t>40141719</t>
  </si>
  <si>
    <t>ADQUISICION DE MATERIALES DE PINTURA</t>
  </si>
  <si>
    <t>40141702</t>
  </si>
  <si>
    <t>El Pino</t>
  </si>
  <si>
    <t>Constanza</t>
  </si>
  <si>
    <t>Chirino</t>
  </si>
  <si>
    <t>Villa Vásquez</t>
  </si>
  <si>
    <t>ADQUISICION DE PAPEL HIGIENICO Y SERVILLETA</t>
  </si>
  <si>
    <t>Pedernales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</si>
</sst>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0" x14ac:knownFonts="1">
    <font>
      <sz val="11"/>
      <color theme="1"/>
      <name val="Calibri"/>
      <scheme val="minor"/>
    </font>
    <font>
      <sz val="10"/>
      <name val="Arial"/>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2">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24994659260841701"/>
        <bgColor indexed="64"/>
      </patternFill>
    </fill>
  </fills>
  <borders count="15">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ck">
        <color theme="0" tint="-0.49992370372631001"/>
      </top>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2" borderId="1">
      <alignment horizontal="center" vertical="center" wrapText="1"/>
    </xf>
    <xf numFmtId="0" fontId="6" fillId="2" borderId="1">
      <alignment horizontal="center" vertical="center" textRotation="90" wrapText="1"/>
    </xf>
    <xf numFmtId="0" fontId="6" fillId="0" borderId="1">
      <alignment horizontal="center" vertical="center"/>
    </xf>
    <xf numFmtId="169" fontId="6" fillId="0" borderId="1">
      <alignment horizontal="center" vertical="center"/>
    </xf>
    <xf numFmtId="0" fontId="6" fillId="3" borderId="1">
      <alignment horizontal="center" vertical="center"/>
    </xf>
    <xf numFmtId="0" fontId="6" fillId="4" borderId="1">
      <alignment horizontal="center" vertical="center"/>
    </xf>
    <xf numFmtId="0" fontId="2" fillId="5" borderId="2">
      <alignment horizontal="center" vertical="center"/>
    </xf>
    <xf numFmtId="170" fontId="2" fillId="5" borderId="2">
      <alignment horizontal="center" vertical="center"/>
    </xf>
    <xf numFmtId="0" fontId="2" fillId="5" borderId="2">
      <alignment horizontal="center" vertical="center" wrapText="1"/>
    </xf>
    <xf numFmtId="0" fontId="6" fillId="0" borderId="1">
      <alignment horizontal="center" vertical="center"/>
    </xf>
    <xf numFmtId="0" fontId="6" fillId="0" borderId="1">
      <alignment horizontal="left" vertical="center"/>
    </xf>
    <xf numFmtId="0" fontId="6" fillId="3" borderId="1">
      <alignment horizontal="center" vertical="center"/>
    </xf>
    <xf numFmtId="0" fontId="2" fillId="5" borderId="2">
      <alignment horizontal="left" vertical="center"/>
    </xf>
  </cellStyleXfs>
  <cellXfs count="70">
    <xf numFmtId="0" fontId="0" fillId="0" borderId="0" xfId="0"/>
    <xf numFmtId="0" fontId="6" fillId="0" borderId="1" xfId="41">
      <alignment horizontal="center" vertical="center"/>
    </xf>
    <xf numFmtId="0" fontId="3" fillId="6" borderId="0" xfId="0" applyFont="1" applyFill="1" applyAlignment="1">
      <alignment horizontal="center" vertical="center" wrapText="1"/>
    </xf>
    <xf numFmtId="0" fontId="2" fillId="0" borderId="0" xfId="0" applyFont="1"/>
    <xf numFmtId="0" fontId="4" fillId="0" borderId="0" xfId="0" applyFont="1" applyAlignment="1">
      <alignment vertical="center" wrapText="1"/>
    </xf>
    <xf numFmtId="0" fontId="2" fillId="0" borderId="0" xfId="0" applyFont="1" applyAlignment="1">
      <alignment horizontal="left"/>
    </xf>
    <xf numFmtId="0" fontId="2" fillId="0" borderId="0" xfId="0" applyFont="1" applyAlignment="1">
      <alignment horizontal="center"/>
    </xf>
    <xf numFmtId="0" fontId="2" fillId="7" borderId="0" xfId="0" applyFont="1" applyFill="1"/>
    <xf numFmtId="0" fontId="2" fillId="7" borderId="3" xfId="0" applyFont="1" applyFill="1" applyBorder="1"/>
    <xf numFmtId="0" fontId="3" fillId="6" borderId="4" xfId="0" applyFont="1" applyFill="1" applyBorder="1" applyAlignment="1">
      <alignment horizontal="center" vertical="center" wrapText="1"/>
    </xf>
    <xf numFmtId="0" fontId="2" fillId="7" borderId="5" xfId="0" applyFont="1" applyFill="1" applyBorder="1"/>
    <xf numFmtId="0" fontId="2" fillId="7" borderId="6" xfId="0" applyFont="1" applyFill="1" applyBorder="1"/>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7" borderId="9" xfId="0" applyFont="1" applyFill="1" applyBorder="1"/>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5" fillId="0" borderId="0" xfId="0" applyFont="1"/>
    <xf numFmtId="0" fontId="3" fillId="6" borderId="0" xfId="0" applyFont="1" applyFill="1" applyAlignment="1">
      <alignment horizontal="left" vertical="center" wrapText="1"/>
    </xf>
    <xf numFmtId="0" fontId="0" fillId="0" borderId="0" xfId="0" applyAlignment="1">
      <alignment vertical="center"/>
    </xf>
    <xf numFmtId="0" fontId="6" fillId="2" borderId="1" xfId="39">
      <alignment horizontal="center" vertical="center" wrapText="1"/>
    </xf>
    <xf numFmtId="0" fontId="6" fillId="0" borderId="1" xfId="41" applyProtection="1">
      <alignment horizontal="center" vertical="center"/>
      <protection locked="0"/>
    </xf>
    <xf numFmtId="0" fontId="6" fillId="3" borderId="1" xfId="43">
      <alignment horizontal="center" vertical="center"/>
    </xf>
    <xf numFmtId="0" fontId="2" fillId="5" borderId="2" xfId="45" applyProtection="1">
      <alignment horizontal="center" vertical="center"/>
      <protection locked="0"/>
    </xf>
    <xf numFmtId="0" fontId="2" fillId="5" borderId="2" xfId="47">
      <alignment horizontal="center" vertical="center" wrapText="1"/>
    </xf>
    <xf numFmtId="170" fontId="2" fillId="5" borderId="2" xfId="46">
      <alignment horizontal="center" vertical="center"/>
    </xf>
    <xf numFmtId="170" fontId="2" fillId="5" borderId="2" xfId="46" applyProtection="1">
      <alignment horizontal="center" vertical="center"/>
      <protection locked="0"/>
    </xf>
    <xf numFmtId="0" fontId="6" fillId="4" borderId="1" xfId="44">
      <alignment horizontal="center" vertical="center"/>
    </xf>
    <xf numFmtId="0" fontId="6" fillId="4" borderId="2" xfId="44" applyBorder="1">
      <alignment horizontal="center" vertical="center"/>
    </xf>
    <xf numFmtId="170" fontId="2" fillId="4" borderId="2" xfId="46" applyFill="1">
      <alignment horizontal="center" vertical="center"/>
    </xf>
    <xf numFmtId="171" fontId="6" fillId="0" borderId="1" xfId="42" applyNumberFormat="1" applyProtection="1">
      <alignment horizontal="center" vertical="center"/>
      <protection locked="0"/>
    </xf>
    <xf numFmtId="0" fontId="8" fillId="9" borderId="0" xfId="0" applyFont="1" applyFill="1" applyAlignment="1">
      <alignment horizontal="center" vertical="center"/>
    </xf>
    <xf numFmtId="0" fontId="8" fillId="9" borderId="14" xfId="0" applyFont="1" applyFill="1" applyBorder="1" applyAlignment="1">
      <alignment horizontal="center" vertical="center"/>
    </xf>
    <xf numFmtId="0" fontId="8" fillId="0" borderId="14" xfId="0" applyFont="1" applyBorder="1" applyAlignment="1" applyProtection="1">
      <alignment vertical="center"/>
      <protection hidden="1"/>
    </xf>
    <xf numFmtId="0" fontId="9" fillId="0" borderId="0" xfId="0" applyFont="1" applyAlignment="1" applyProtection="1">
      <alignment vertical="center"/>
      <protection hidden="1"/>
    </xf>
    <xf numFmtId="0" fontId="8" fillId="0" borderId="0" xfId="0" applyFont="1" applyAlignment="1" applyProtection="1">
      <alignment vertical="center"/>
      <protection hidden="1"/>
    </xf>
    <xf numFmtId="0" fontId="10" fillId="9" borderId="0" xfId="0" applyFont="1" applyFill="1" applyAlignment="1">
      <alignment vertical="top" wrapText="1"/>
    </xf>
    <xf numFmtId="0" fontId="10" fillId="9" borderId="0" xfId="0" applyFont="1" applyFill="1" applyAlignment="1">
      <alignment vertical="center" wrapText="1"/>
    </xf>
    <xf numFmtId="0" fontId="8" fillId="9" borderId="0" xfId="0" applyFont="1" applyFill="1" applyAlignment="1">
      <alignment vertical="center"/>
    </xf>
    <xf numFmtId="0" fontId="11" fillId="9" borderId="10" xfId="0" applyFont="1" applyFill="1" applyBorder="1" applyAlignment="1">
      <alignment vertical="center"/>
    </xf>
    <xf numFmtId="0" fontId="11" fillId="9" borderId="0" xfId="0" applyFont="1" applyFill="1" applyAlignment="1">
      <alignment vertical="center"/>
    </xf>
    <xf numFmtId="0" fontId="12" fillId="9" borderId="0" xfId="0" applyFont="1" applyFill="1" applyAlignment="1">
      <alignment horizontal="left" vertical="center"/>
    </xf>
    <xf numFmtId="0" fontId="9" fillId="9" borderId="0" xfId="0" applyFont="1" applyFill="1" applyAlignment="1" applyProtection="1">
      <alignment vertical="center"/>
      <protection hidden="1"/>
    </xf>
    <xf numFmtId="0" fontId="9" fillId="9" borderId="9" xfId="0" applyFont="1" applyFill="1" applyBorder="1" applyAlignment="1" applyProtection="1">
      <alignment vertical="center"/>
      <protection hidden="1"/>
    </xf>
    <xf numFmtId="38" fontId="13" fillId="8" borderId="11" xfId="0" applyNumberFormat="1" applyFont="1" applyFill="1" applyBorder="1" applyAlignment="1">
      <alignment vertical="center" wrapText="1"/>
    </xf>
    <xf numFmtId="0" fontId="12" fillId="9" borderId="0" xfId="0" applyFont="1" applyFill="1" applyAlignment="1">
      <alignment vertical="center"/>
    </xf>
    <xf numFmtId="0" fontId="13" fillId="10" borderId="11" xfId="0" applyFont="1" applyFill="1" applyBorder="1" applyAlignment="1">
      <alignment horizontal="left" vertical="center"/>
    </xf>
    <xf numFmtId="0" fontId="13" fillId="0" borderId="1" xfId="0" applyFont="1" applyBorder="1" applyAlignment="1">
      <alignment vertical="center"/>
    </xf>
    <xf numFmtId="0" fontId="13" fillId="10" borderId="7" xfId="0" applyFont="1" applyFill="1" applyBorder="1" applyAlignment="1">
      <alignment horizontal="left" vertical="center"/>
    </xf>
    <xf numFmtId="168" fontId="13" fillId="0" borderId="1" xfId="0" applyNumberFormat="1" applyFont="1" applyBorder="1" applyAlignment="1">
      <alignment vertical="center"/>
    </xf>
    <xf numFmtId="0" fontId="9" fillId="9" borderId="10" xfId="0" applyFont="1" applyFill="1" applyBorder="1" applyAlignment="1" applyProtection="1">
      <alignment vertical="center"/>
      <protection hidden="1"/>
    </xf>
    <xf numFmtId="0" fontId="2" fillId="0" borderId="0" xfId="0" applyFont="1" applyAlignment="1">
      <alignment vertical="center"/>
    </xf>
    <xf numFmtId="169" fontId="6" fillId="0" borderId="1" xfId="42" applyProtection="1">
      <alignment horizontal="center" vertical="center"/>
      <protection locked="0"/>
    </xf>
    <xf numFmtId="0" fontId="6" fillId="0" borderId="1" xfId="48">
      <alignment horizontal="center" vertical="center"/>
    </xf>
    <xf numFmtId="0" fontId="6" fillId="3" borderId="1" xfId="50">
      <alignment horizontal="center" vertical="center"/>
    </xf>
    <xf numFmtId="0" fontId="6" fillId="0" borderId="1" xfId="49" applyProtection="1">
      <alignment horizontal="left" vertical="center"/>
      <protection locked="0"/>
    </xf>
    <xf numFmtId="0" fontId="2" fillId="5" borderId="2" xfId="51" applyProtection="1">
      <alignment horizontal="left" vertical="center"/>
      <protection locked="0"/>
    </xf>
    <xf numFmtId="49" fontId="13" fillId="0" borderId="11" xfId="0" applyNumberFormat="1" applyFont="1" applyBorder="1" applyAlignment="1">
      <alignment horizontal="center" vertical="center" wrapText="1"/>
    </xf>
    <xf numFmtId="49" fontId="13" fillId="0" borderId="13" xfId="0" applyNumberFormat="1" applyFont="1" applyBorder="1" applyAlignment="1">
      <alignment horizontal="center" vertical="center" wrapText="1"/>
    </xf>
    <xf numFmtId="1" fontId="13" fillId="0" borderId="11" xfId="0" applyNumberFormat="1" applyFont="1" applyBorder="1" applyAlignment="1" applyProtection="1">
      <alignment horizontal="center" vertical="center" wrapText="1"/>
      <protection locked="0"/>
    </xf>
    <xf numFmtId="1" fontId="13" fillId="0" borderId="13" xfId="0" applyNumberFormat="1" applyFont="1" applyBorder="1" applyAlignment="1" applyProtection="1">
      <alignment horizontal="center" vertical="center" wrapText="1"/>
      <protection locked="0"/>
    </xf>
    <xf numFmtId="171" fontId="13" fillId="0" borderId="11" xfId="0" applyNumberFormat="1" applyFont="1" applyBorder="1" applyAlignment="1" applyProtection="1">
      <alignment horizontal="center" vertical="center" wrapText="1"/>
      <protection locked="0"/>
    </xf>
    <xf numFmtId="171" fontId="13" fillId="0" borderId="13" xfId="0" applyNumberFormat="1" applyFont="1" applyBorder="1" applyAlignment="1" applyProtection="1">
      <alignment horizontal="center" vertical="center" wrapText="1"/>
      <protection locked="0"/>
    </xf>
    <xf numFmtId="0" fontId="8" fillId="0" borderId="0" xfId="0" applyFont="1" applyAlignment="1" applyProtection="1">
      <alignment horizontal="center" vertical="center"/>
      <protection hidden="1"/>
    </xf>
    <xf numFmtId="0" fontId="14" fillId="11" borderId="0" xfId="0" applyFont="1" applyFill="1" applyAlignment="1">
      <alignment horizontal="center" vertical="top" wrapText="1"/>
    </xf>
    <xf numFmtId="0" fontId="14" fillId="11" borderId="0" xfId="0" applyFont="1" applyFill="1" applyAlignment="1">
      <alignment horizontal="center" vertical="center" wrapText="1"/>
    </xf>
    <xf numFmtId="0" fontId="6" fillId="2" borderId="1" xfId="40">
      <alignment horizontal="center" vertical="center" textRotation="90" wrapText="1"/>
    </xf>
    <xf numFmtId="0" fontId="6" fillId="0" borderId="1" xfId="4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56.xml><?xml version="1.0" encoding="utf-8"?>
<formControlPr xmlns="http://schemas.microsoft.com/office/spreadsheetml/2009/9/main" objectType="Button" lockText="1"/>
</file>

<file path=xl/ctrlProps/ctrlProp1157.xml><?xml version="1.0" encoding="utf-8"?>
<formControlPr xmlns="http://schemas.microsoft.com/office/spreadsheetml/2009/9/main" objectType="Button" lockText="1"/>
</file>

<file path=xl/ctrlProps/ctrlProp1158.xml><?xml version="1.0" encoding="utf-8"?>
<formControlPr xmlns="http://schemas.microsoft.com/office/spreadsheetml/2009/9/main" objectType="Button" lockText="1"/>
</file>

<file path=xl/ctrlProps/ctrlProp1159.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60.xml><?xml version="1.0" encoding="utf-8"?>
<formControlPr xmlns="http://schemas.microsoft.com/office/spreadsheetml/2009/9/main" objectType="Button" lockText="1"/>
</file>

<file path=xl/ctrlProps/ctrlProp1161.xml><?xml version="1.0" encoding="utf-8"?>
<formControlPr xmlns="http://schemas.microsoft.com/office/spreadsheetml/2009/9/main" objectType="Button" lockText="1"/>
</file>

<file path=xl/ctrlProps/ctrlProp1162.xml><?xml version="1.0" encoding="utf-8"?>
<formControlPr xmlns="http://schemas.microsoft.com/office/spreadsheetml/2009/9/main" objectType="Button" lockText="1"/>
</file>

<file path=xl/ctrlProps/ctrlProp1163.xml><?xml version="1.0" encoding="utf-8"?>
<formControlPr xmlns="http://schemas.microsoft.com/office/spreadsheetml/2009/9/main" objectType="Button" lockText="1"/>
</file>

<file path=xl/ctrlProps/ctrlProp1164.xml><?xml version="1.0" encoding="utf-8"?>
<formControlPr xmlns="http://schemas.microsoft.com/office/spreadsheetml/2009/9/main" objectType="Button" lockText="1"/>
</file>

<file path=xl/ctrlProps/ctrlProp1165.xml><?xml version="1.0" encoding="utf-8"?>
<formControlPr xmlns="http://schemas.microsoft.com/office/spreadsheetml/2009/9/main" objectType="Button" lockText="1"/>
</file>

<file path=xl/ctrlProps/ctrlProp1166.xml><?xml version="1.0" encoding="utf-8"?>
<formControlPr xmlns="http://schemas.microsoft.com/office/spreadsheetml/2009/9/main" objectType="Button" lockText="1"/>
</file>

<file path=xl/ctrlProps/ctrlProp1167.xml><?xml version="1.0" encoding="utf-8"?>
<formControlPr xmlns="http://schemas.microsoft.com/office/spreadsheetml/2009/9/main" objectType="Button" lockText="1"/>
</file>

<file path=xl/ctrlProps/ctrlProp1168.xml><?xml version="1.0" encoding="utf-8"?>
<formControlPr xmlns="http://schemas.microsoft.com/office/spreadsheetml/2009/9/main" objectType="Button" lockText="1"/>
</file>

<file path=xl/ctrlProps/ctrlProp1169.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70.xml><?xml version="1.0" encoding="utf-8"?>
<formControlPr xmlns="http://schemas.microsoft.com/office/spreadsheetml/2009/9/main" objectType="Button" lockText="1"/>
</file>

<file path=xl/ctrlProps/ctrlProp1171.xml><?xml version="1.0" encoding="utf-8"?>
<formControlPr xmlns="http://schemas.microsoft.com/office/spreadsheetml/2009/9/main" objectType="Button" lockText="1"/>
</file>

<file path=xl/ctrlProps/ctrlProp1172.xml><?xml version="1.0" encoding="utf-8"?>
<formControlPr xmlns="http://schemas.microsoft.com/office/spreadsheetml/2009/9/main" objectType="Button" lockText="1"/>
</file>

<file path=xl/ctrlProps/ctrlProp1173.xml><?xml version="1.0" encoding="utf-8"?>
<formControlPr xmlns="http://schemas.microsoft.com/office/spreadsheetml/2009/9/main" objectType="Button" lockText="1"/>
</file>

<file path=xl/ctrlProps/ctrlProp1174.xml><?xml version="1.0" encoding="utf-8"?>
<formControlPr xmlns="http://schemas.microsoft.com/office/spreadsheetml/2009/9/main" objectType="Button" lockText="1"/>
</file>

<file path=xl/ctrlProps/ctrlProp1175.xml><?xml version="1.0" encoding="utf-8"?>
<formControlPr xmlns="http://schemas.microsoft.com/office/spreadsheetml/2009/9/main" objectType="Button" lockText="1"/>
</file>

<file path=xl/ctrlProps/ctrlProp1176.xml><?xml version="1.0" encoding="utf-8"?>
<formControlPr xmlns="http://schemas.microsoft.com/office/spreadsheetml/2009/9/main" objectType="Button" lockText="1"/>
</file>

<file path=xl/ctrlProps/ctrlProp1177.xml><?xml version="1.0" encoding="utf-8"?>
<formControlPr xmlns="http://schemas.microsoft.com/office/spreadsheetml/2009/9/main" objectType="Button" lockText="1"/>
</file>

<file path=xl/ctrlProps/ctrlProp1178.xml><?xml version="1.0" encoding="utf-8"?>
<formControlPr xmlns="http://schemas.microsoft.com/office/spreadsheetml/2009/9/main" objectType="Button" lockText="1"/>
</file>

<file path=xl/ctrlProps/ctrlProp1179.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80.xml><?xml version="1.0" encoding="utf-8"?>
<formControlPr xmlns="http://schemas.microsoft.com/office/spreadsheetml/2009/9/main" objectType="Button" lockText="1"/>
</file>

<file path=xl/ctrlProps/ctrlProp1181.xml><?xml version="1.0" encoding="utf-8"?>
<formControlPr xmlns="http://schemas.microsoft.com/office/spreadsheetml/2009/9/main" objectType="Button" lockText="1"/>
</file>

<file path=xl/ctrlProps/ctrlProp1182.xml><?xml version="1.0" encoding="utf-8"?>
<formControlPr xmlns="http://schemas.microsoft.com/office/spreadsheetml/2009/9/main" objectType="Button" lockText="1"/>
</file>

<file path=xl/ctrlProps/ctrlProp1183.xml><?xml version="1.0" encoding="utf-8"?>
<formControlPr xmlns="http://schemas.microsoft.com/office/spreadsheetml/2009/9/main" objectType="Button" lockText="1"/>
</file>

<file path=xl/ctrlProps/ctrlProp1184.xml><?xml version="1.0" encoding="utf-8"?>
<formControlPr xmlns="http://schemas.microsoft.com/office/spreadsheetml/2009/9/main" objectType="Button" lockText="1"/>
</file>

<file path=xl/ctrlProps/ctrlProp1185.xml><?xml version="1.0" encoding="utf-8"?>
<formControlPr xmlns="http://schemas.microsoft.com/office/spreadsheetml/2009/9/main" objectType="Button" lockText="1"/>
</file>

<file path=xl/ctrlProps/ctrlProp1186.xml><?xml version="1.0" encoding="utf-8"?>
<formControlPr xmlns="http://schemas.microsoft.com/office/spreadsheetml/2009/9/main" objectType="Button" lockText="1"/>
</file>

<file path=xl/ctrlProps/ctrlProp1187.xml><?xml version="1.0" encoding="utf-8"?>
<formControlPr xmlns="http://schemas.microsoft.com/office/spreadsheetml/2009/9/main" objectType="Button" lockText="1"/>
</file>

<file path=xl/ctrlProps/ctrlProp1188.xml><?xml version="1.0" encoding="utf-8"?>
<formControlPr xmlns="http://schemas.microsoft.com/office/spreadsheetml/2009/9/main" objectType="Button" lockText="1"/>
</file>

<file path=xl/ctrlProps/ctrlProp1189.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190.xml><?xml version="1.0" encoding="utf-8"?>
<formControlPr xmlns="http://schemas.microsoft.com/office/spreadsheetml/2009/9/main" objectType="Button" lockText="1"/>
</file>

<file path=xl/ctrlProps/ctrlProp1191.xml><?xml version="1.0" encoding="utf-8"?>
<formControlPr xmlns="http://schemas.microsoft.com/office/spreadsheetml/2009/9/main" objectType="Button" lockText="1"/>
</file>

<file path=xl/ctrlProps/ctrlProp1192.xml><?xml version="1.0" encoding="utf-8"?>
<formControlPr xmlns="http://schemas.microsoft.com/office/spreadsheetml/2009/9/main" objectType="Button" lockText="1"/>
</file>

<file path=xl/ctrlProps/ctrlProp1193.xml><?xml version="1.0" encoding="utf-8"?>
<formControlPr xmlns="http://schemas.microsoft.com/office/spreadsheetml/2009/9/main" objectType="Button" lockText="1"/>
</file>

<file path=xl/ctrlProps/ctrlProp1194.xml><?xml version="1.0" encoding="utf-8"?>
<formControlPr xmlns="http://schemas.microsoft.com/office/spreadsheetml/2009/9/main" objectType="Button" lockText="1"/>
</file>

<file path=xl/ctrlProps/ctrlProp1195.xml><?xml version="1.0" encoding="utf-8"?>
<formControlPr xmlns="http://schemas.microsoft.com/office/spreadsheetml/2009/9/main" objectType="Button" lockText="1"/>
</file>

<file path=xl/ctrlProps/ctrlProp1196.xml><?xml version="1.0" encoding="utf-8"?>
<formControlPr xmlns="http://schemas.microsoft.com/office/spreadsheetml/2009/9/main" objectType="Button" lockText="1"/>
</file>

<file path=xl/ctrlProps/ctrlProp1197.xml><?xml version="1.0" encoding="utf-8"?>
<formControlPr xmlns="http://schemas.microsoft.com/office/spreadsheetml/2009/9/main" objectType="Button" lockText="1"/>
</file>

<file path=xl/ctrlProps/ctrlProp1198.xml><?xml version="1.0" encoding="utf-8"?>
<formControlPr xmlns="http://schemas.microsoft.com/office/spreadsheetml/2009/9/main" objectType="Button" lockText="1"/>
</file>

<file path=xl/ctrlProps/ctrlProp119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00.xml><?xml version="1.0" encoding="utf-8"?>
<formControlPr xmlns="http://schemas.microsoft.com/office/spreadsheetml/2009/9/main" objectType="Button" lockText="1"/>
</file>

<file path=xl/ctrlProps/ctrlProp1201.xml><?xml version="1.0" encoding="utf-8"?>
<formControlPr xmlns="http://schemas.microsoft.com/office/spreadsheetml/2009/9/main" objectType="Button" lockText="1"/>
</file>

<file path=xl/ctrlProps/ctrlProp1202.xml><?xml version="1.0" encoding="utf-8"?>
<formControlPr xmlns="http://schemas.microsoft.com/office/spreadsheetml/2009/9/main" objectType="Button" lockText="1"/>
</file>

<file path=xl/ctrlProps/ctrlProp1203.xml><?xml version="1.0" encoding="utf-8"?>
<formControlPr xmlns="http://schemas.microsoft.com/office/spreadsheetml/2009/9/main" objectType="Button" lockText="1"/>
</file>

<file path=xl/ctrlProps/ctrlProp1204.xml><?xml version="1.0" encoding="utf-8"?>
<formControlPr xmlns="http://schemas.microsoft.com/office/spreadsheetml/2009/9/main" objectType="Button" lockText="1"/>
</file>

<file path=xl/ctrlProps/ctrlProp1205.xml><?xml version="1.0" encoding="utf-8"?>
<formControlPr xmlns="http://schemas.microsoft.com/office/spreadsheetml/2009/9/main" objectType="Button" lockText="1"/>
</file>

<file path=xl/ctrlProps/ctrlProp1206.xml><?xml version="1.0" encoding="utf-8"?>
<formControlPr xmlns="http://schemas.microsoft.com/office/spreadsheetml/2009/9/main" objectType="Button" lockText="1"/>
</file>

<file path=xl/ctrlProps/ctrlProp1207.xml><?xml version="1.0" encoding="utf-8"?>
<formControlPr xmlns="http://schemas.microsoft.com/office/spreadsheetml/2009/9/main" objectType="Button" lockText="1"/>
</file>

<file path=xl/ctrlProps/ctrlProp1208.xml><?xml version="1.0" encoding="utf-8"?>
<formControlPr xmlns="http://schemas.microsoft.com/office/spreadsheetml/2009/9/main" objectType="Button" lockText="1"/>
</file>

<file path=xl/ctrlProps/ctrlProp1209.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10.xml><?xml version="1.0" encoding="utf-8"?>
<formControlPr xmlns="http://schemas.microsoft.com/office/spreadsheetml/2009/9/main" objectType="Button" lockText="1"/>
</file>

<file path=xl/ctrlProps/ctrlProp1211.xml><?xml version="1.0" encoding="utf-8"?>
<formControlPr xmlns="http://schemas.microsoft.com/office/spreadsheetml/2009/9/main" objectType="Button" lockText="1"/>
</file>

<file path=xl/ctrlProps/ctrlProp1212.xml><?xml version="1.0" encoding="utf-8"?>
<formControlPr xmlns="http://schemas.microsoft.com/office/spreadsheetml/2009/9/main" objectType="Button" lockText="1"/>
</file>

<file path=xl/ctrlProps/ctrlProp1213.xml><?xml version="1.0" encoding="utf-8"?>
<formControlPr xmlns="http://schemas.microsoft.com/office/spreadsheetml/2009/9/main" objectType="Button" lockText="1"/>
</file>

<file path=xl/ctrlProps/ctrlProp1214.xml><?xml version="1.0" encoding="utf-8"?>
<formControlPr xmlns="http://schemas.microsoft.com/office/spreadsheetml/2009/9/main" objectType="Button" lockText="1"/>
</file>

<file path=xl/ctrlProps/ctrlProp1215.xml><?xml version="1.0" encoding="utf-8"?>
<formControlPr xmlns="http://schemas.microsoft.com/office/spreadsheetml/2009/9/main" objectType="Button" lockText="1"/>
</file>

<file path=xl/ctrlProps/ctrlProp1216.xml><?xml version="1.0" encoding="utf-8"?>
<formControlPr xmlns="http://schemas.microsoft.com/office/spreadsheetml/2009/9/main" objectType="Button" lockText="1"/>
</file>

<file path=xl/ctrlProps/ctrlProp1217.xml><?xml version="1.0" encoding="utf-8"?>
<formControlPr xmlns="http://schemas.microsoft.com/office/spreadsheetml/2009/9/main" objectType="Button" lockText="1"/>
</file>

<file path=xl/ctrlProps/ctrlProp1218.xml><?xml version="1.0" encoding="utf-8"?>
<formControlPr xmlns="http://schemas.microsoft.com/office/spreadsheetml/2009/9/main" objectType="Button" lockText="1"/>
</file>

<file path=xl/ctrlProps/ctrlProp1219.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20.xml><?xml version="1.0" encoding="utf-8"?>
<formControlPr xmlns="http://schemas.microsoft.com/office/spreadsheetml/2009/9/main" objectType="Button" lockText="1"/>
</file>

<file path=xl/ctrlProps/ctrlProp1221.xml><?xml version="1.0" encoding="utf-8"?>
<formControlPr xmlns="http://schemas.microsoft.com/office/spreadsheetml/2009/9/main" objectType="Button" lockText="1"/>
</file>

<file path=xl/ctrlProps/ctrlProp1222.xml><?xml version="1.0" encoding="utf-8"?>
<formControlPr xmlns="http://schemas.microsoft.com/office/spreadsheetml/2009/9/main" objectType="Button" lockText="1"/>
</file>

<file path=xl/ctrlProps/ctrlProp1223.xml><?xml version="1.0" encoding="utf-8"?>
<formControlPr xmlns="http://schemas.microsoft.com/office/spreadsheetml/2009/9/main" objectType="Button" lockText="1"/>
</file>

<file path=xl/ctrlProps/ctrlProp1224.xml><?xml version="1.0" encoding="utf-8"?>
<formControlPr xmlns="http://schemas.microsoft.com/office/spreadsheetml/2009/9/main" objectType="Button" lockText="1"/>
</file>

<file path=xl/ctrlProps/ctrlProp1225.xml><?xml version="1.0" encoding="utf-8"?>
<formControlPr xmlns="http://schemas.microsoft.com/office/spreadsheetml/2009/9/main" objectType="Button" lockText="1"/>
</file>

<file path=xl/ctrlProps/ctrlProp1226.xml><?xml version="1.0" encoding="utf-8"?>
<formControlPr xmlns="http://schemas.microsoft.com/office/spreadsheetml/2009/9/main" objectType="Button" lockText="1"/>
</file>

<file path=xl/ctrlProps/ctrlProp1227.xml><?xml version="1.0" encoding="utf-8"?>
<formControlPr xmlns="http://schemas.microsoft.com/office/spreadsheetml/2009/9/main" objectType="Button" lockText="1"/>
</file>

<file path=xl/ctrlProps/ctrlProp1228.xml><?xml version="1.0" encoding="utf-8"?>
<formControlPr xmlns="http://schemas.microsoft.com/office/spreadsheetml/2009/9/main" objectType="Button" lockText="1"/>
</file>

<file path=xl/ctrlProps/ctrlProp1229.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30.xml><?xml version="1.0" encoding="utf-8"?>
<formControlPr xmlns="http://schemas.microsoft.com/office/spreadsheetml/2009/9/main" objectType="Button" lockText="1"/>
</file>

<file path=xl/ctrlProps/ctrlProp1231.xml><?xml version="1.0" encoding="utf-8"?>
<formControlPr xmlns="http://schemas.microsoft.com/office/spreadsheetml/2009/9/main" objectType="Button" lockText="1"/>
</file>

<file path=xl/ctrlProps/ctrlProp1232.xml><?xml version="1.0" encoding="utf-8"?>
<formControlPr xmlns="http://schemas.microsoft.com/office/spreadsheetml/2009/9/main" objectType="Button" lockText="1"/>
</file>

<file path=xl/ctrlProps/ctrlProp1233.xml><?xml version="1.0" encoding="utf-8"?>
<formControlPr xmlns="http://schemas.microsoft.com/office/spreadsheetml/2009/9/main" objectType="Button" lockText="1"/>
</file>

<file path=xl/ctrlProps/ctrlProp1234.xml><?xml version="1.0" encoding="utf-8"?>
<formControlPr xmlns="http://schemas.microsoft.com/office/spreadsheetml/2009/9/main" objectType="Button" lockText="1"/>
</file>

<file path=xl/ctrlProps/ctrlProp1235.xml><?xml version="1.0" encoding="utf-8"?>
<formControlPr xmlns="http://schemas.microsoft.com/office/spreadsheetml/2009/9/main" objectType="Button" lockText="1"/>
</file>

<file path=xl/ctrlProps/ctrlProp1236.xml><?xml version="1.0" encoding="utf-8"?>
<formControlPr xmlns="http://schemas.microsoft.com/office/spreadsheetml/2009/9/main" objectType="Button" lockText="1"/>
</file>

<file path=xl/ctrlProps/ctrlProp1237.xml><?xml version="1.0" encoding="utf-8"?>
<formControlPr xmlns="http://schemas.microsoft.com/office/spreadsheetml/2009/9/main" objectType="Button" lockText="1"/>
</file>

<file path=xl/ctrlProps/ctrlProp1238.xml><?xml version="1.0" encoding="utf-8"?>
<formControlPr xmlns="http://schemas.microsoft.com/office/spreadsheetml/2009/9/main" objectType="Button" lockText="1"/>
</file>

<file path=xl/ctrlProps/ctrlProp1239.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40.xml><?xml version="1.0" encoding="utf-8"?>
<formControlPr xmlns="http://schemas.microsoft.com/office/spreadsheetml/2009/9/main" objectType="Button" lockText="1"/>
</file>

<file path=xl/ctrlProps/ctrlProp1241.xml><?xml version="1.0" encoding="utf-8"?>
<formControlPr xmlns="http://schemas.microsoft.com/office/spreadsheetml/2009/9/main" objectType="Button" lockText="1"/>
</file>

<file path=xl/ctrlProps/ctrlProp1242.xml><?xml version="1.0" encoding="utf-8"?>
<formControlPr xmlns="http://schemas.microsoft.com/office/spreadsheetml/2009/9/main" objectType="Button" lockText="1"/>
</file>

<file path=xl/ctrlProps/ctrlProp1243.xml><?xml version="1.0" encoding="utf-8"?>
<formControlPr xmlns="http://schemas.microsoft.com/office/spreadsheetml/2009/9/main" objectType="Button" lockText="1"/>
</file>

<file path=xl/ctrlProps/ctrlProp1244.xml><?xml version="1.0" encoding="utf-8"?>
<formControlPr xmlns="http://schemas.microsoft.com/office/spreadsheetml/2009/9/main" objectType="Button" lockText="1"/>
</file>

<file path=xl/ctrlProps/ctrlProp1245.xml><?xml version="1.0" encoding="utf-8"?>
<formControlPr xmlns="http://schemas.microsoft.com/office/spreadsheetml/2009/9/main" objectType="Button" lockText="1"/>
</file>

<file path=xl/ctrlProps/ctrlProp1246.xml><?xml version="1.0" encoding="utf-8"?>
<formControlPr xmlns="http://schemas.microsoft.com/office/spreadsheetml/2009/9/main" objectType="Button" lockText="1"/>
</file>

<file path=xl/ctrlProps/ctrlProp1247.xml><?xml version="1.0" encoding="utf-8"?>
<formControlPr xmlns="http://schemas.microsoft.com/office/spreadsheetml/2009/9/main" objectType="Button" lockText="1"/>
</file>

<file path=xl/ctrlProps/ctrlProp1248.xml><?xml version="1.0" encoding="utf-8"?>
<formControlPr xmlns="http://schemas.microsoft.com/office/spreadsheetml/2009/9/main" objectType="Button" lockText="1"/>
</file>

<file path=xl/ctrlProps/ctrlProp1249.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50.xml><?xml version="1.0" encoding="utf-8"?>
<formControlPr xmlns="http://schemas.microsoft.com/office/spreadsheetml/2009/9/main" objectType="Button" lockText="1"/>
</file>

<file path=xl/ctrlProps/ctrlProp1251.xml><?xml version="1.0" encoding="utf-8"?>
<formControlPr xmlns="http://schemas.microsoft.com/office/spreadsheetml/2009/9/main" objectType="Button" lockText="1"/>
</file>

<file path=xl/ctrlProps/ctrlProp1252.xml><?xml version="1.0" encoding="utf-8"?>
<formControlPr xmlns="http://schemas.microsoft.com/office/spreadsheetml/2009/9/main" objectType="Button" lockText="1"/>
</file>

<file path=xl/ctrlProps/ctrlProp1253.xml><?xml version="1.0" encoding="utf-8"?>
<formControlPr xmlns="http://schemas.microsoft.com/office/spreadsheetml/2009/9/main" objectType="Button" lockText="1"/>
</file>

<file path=xl/ctrlProps/ctrlProp1254.xml><?xml version="1.0" encoding="utf-8"?>
<formControlPr xmlns="http://schemas.microsoft.com/office/spreadsheetml/2009/9/main" objectType="Button" lockText="1"/>
</file>

<file path=xl/ctrlProps/ctrlProp1255.xml><?xml version="1.0" encoding="utf-8"?>
<formControlPr xmlns="http://schemas.microsoft.com/office/spreadsheetml/2009/9/main" objectType="Button" lockText="1"/>
</file>

<file path=xl/ctrlProps/ctrlProp1256.xml><?xml version="1.0" encoding="utf-8"?>
<formControlPr xmlns="http://schemas.microsoft.com/office/spreadsheetml/2009/9/main" objectType="Button" lockText="1"/>
</file>

<file path=xl/ctrlProps/ctrlProp1257.xml><?xml version="1.0" encoding="utf-8"?>
<formControlPr xmlns="http://schemas.microsoft.com/office/spreadsheetml/2009/9/main" objectType="Button" lockText="1"/>
</file>

<file path=xl/ctrlProps/ctrlProp1258.xml><?xml version="1.0" encoding="utf-8"?>
<formControlPr xmlns="http://schemas.microsoft.com/office/spreadsheetml/2009/9/main" objectType="Button" lockText="1"/>
</file>

<file path=xl/ctrlProps/ctrlProp1259.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60.xml><?xml version="1.0" encoding="utf-8"?>
<formControlPr xmlns="http://schemas.microsoft.com/office/spreadsheetml/2009/9/main" objectType="Button" lockText="1"/>
</file>

<file path=xl/ctrlProps/ctrlProp1261.xml><?xml version="1.0" encoding="utf-8"?>
<formControlPr xmlns="http://schemas.microsoft.com/office/spreadsheetml/2009/9/main" objectType="Button" lockText="1"/>
</file>

<file path=xl/ctrlProps/ctrlProp1262.xml><?xml version="1.0" encoding="utf-8"?>
<formControlPr xmlns="http://schemas.microsoft.com/office/spreadsheetml/2009/9/main" objectType="Button" lockText="1"/>
</file>

<file path=xl/ctrlProps/ctrlProp1263.xml><?xml version="1.0" encoding="utf-8"?>
<formControlPr xmlns="http://schemas.microsoft.com/office/spreadsheetml/2009/9/main" objectType="Button" lockText="1"/>
</file>

<file path=xl/ctrlProps/ctrlProp1264.xml><?xml version="1.0" encoding="utf-8"?>
<formControlPr xmlns="http://schemas.microsoft.com/office/spreadsheetml/2009/9/main" objectType="Button" lockText="1"/>
</file>

<file path=xl/ctrlProps/ctrlProp1265.xml><?xml version="1.0" encoding="utf-8"?>
<formControlPr xmlns="http://schemas.microsoft.com/office/spreadsheetml/2009/9/main" objectType="Button" lockText="1"/>
</file>

<file path=xl/ctrlProps/ctrlProp1266.xml><?xml version="1.0" encoding="utf-8"?>
<formControlPr xmlns="http://schemas.microsoft.com/office/spreadsheetml/2009/9/main" objectType="Button" lockText="1"/>
</file>

<file path=xl/ctrlProps/ctrlProp1267.xml><?xml version="1.0" encoding="utf-8"?>
<formControlPr xmlns="http://schemas.microsoft.com/office/spreadsheetml/2009/9/main" objectType="Button" lockText="1"/>
</file>

<file path=xl/ctrlProps/ctrlProp1268.xml><?xml version="1.0" encoding="utf-8"?>
<formControlPr xmlns="http://schemas.microsoft.com/office/spreadsheetml/2009/9/main" objectType="Button" lockText="1"/>
</file>

<file path=xl/ctrlProps/ctrlProp1269.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70.xml><?xml version="1.0" encoding="utf-8"?>
<formControlPr xmlns="http://schemas.microsoft.com/office/spreadsheetml/2009/9/main" objectType="Button" lockText="1"/>
</file>

<file path=xl/ctrlProps/ctrlProp1271.xml><?xml version="1.0" encoding="utf-8"?>
<formControlPr xmlns="http://schemas.microsoft.com/office/spreadsheetml/2009/9/main" objectType="Button" lockText="1"/>
</file>

<file path=xl/ctrlProps/ctrlProp1272.xml><?xml version="1.0" encoding="utf-8"?>
<formControlPr xmlns="http://schemas.microsoft.com/office/spreadsheetml/2009/9/main" objectType="Button" lockText="1"/>
</file>

<file path=xl/ctrlProps/ctrlProp1273.xml><?xml version="1.0" encoding="utf-8"?>
<formControlPr xmlns="http://schemas.microsoft.com/office/spreadsheetml/2009/9/main" objectType="Button" lockText="1"/>
</file>

<file path=xl/ctrlProps/ctrlProp1274.xml><?xml version="1.0" encoding="utf-8"?>
<formControlPr xmlns="http://schemas.microsoft.com/office/spreadsheetml/2009/9/main" objectType="Button" lockText="1"/>
</file>

<file path=xl/ctrlProps/ctrlProp1275.xml><?xml version="1.0" encoding="utf-8"?>
<formControlPr xmlns="http://schemas.microsoft.com/office/spreadsheetml/2009/9/main" objectType="Button" lockText="1"/>
</file>

<file path=xl/ctrlProps/ctrlProp1276.xml><?xml version="1.0" encoding="utf-8"?>
<formControlPr xmlns="http://schemas.microsoft.com/office/spreadsheetml/2009/9/main" objectType="Button" lockText="1"/>
</file>

<file path=xl/ctrlProps/ctrlProp1277.xml><?xml version="1.0" encoding="utf-8"?>
<formControlPr xmlns="http://schemas.microsoft.com/office/spreadsheetml/2009/9/main" objectType="Button" lockText="1"/>
</file>

<file path=xl/ctrlProps/ctrlProp1278.xml><?xml version="1.0" encoding="utf-8"?>
<formControlPr xmlns="http://schemas.microsoft.com/office/spreadsheetml/2009/9/main" objectType="Button" lockText="1"/>
</file>

<file path=xl/ctrlProps/ctrlProp1279.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80.xml><?xml version="1.0" encoding="utf-8"?>
<formControlPr xmlns="http://schemas.microsoft.com/office/spreadsheetml/2009/9/main" objectType="Button" lockText="1"/>
</file>

<file path=xl/ctrlProps/ctrlProp1281.xml><?xml version="1.0" encoding="utf-8"?>
<formControlPr xmlns="http://schemas.microsoft.com/office/spreadsheetml/2009/9/main" objectType="Button" lockText="1"/>
</file>

<file path=xl/ctrlProps/ctrlProp1282.xml><?xml version="1.0" encoding="utf-8"?>
<formControlPr xmlns="http://schemas.microsoft.com/office/spreadsheetml/2009/9/main" objectType="Button" lockText="1"/>
</file>

<file path=xl/ctrlProps/ctrlProp1283.xml><?xml version="1.0" encoding="utf-8"?>
<formControlPr xmlns="http://schemas.microsoft.com/office/spreadsheetml/2009/9/main" objectType="Button" lockText="1"/>
</file>

<file path=xl/ctrlProps/ctrlProp1284.xml><?xml version="1.0" encoding="utf-8"?>
<formControlPr xmlns="http://schemas.microsoft.com/office/spreadsheetml/2009/9/main" objectType="Button" lockText="1"/>
</file>

<file path=xl/ctrlProps/ctrlProp1285.xml><?xml version="1.0" encoding="utf-8"?>
<formControlPr xmlns="http://schemas.microsoft.com/office/spreadsheetml/2009/9/main" objectType="Button" lockText="1"/>
</file>

<file path=xl/ctrlProps/ctrlProp1286.xml><?xml version="1.0" encoding="utf-8"?>
<formControlPr xmlns="http://schemas.microsoft.com/office/spreadsheetml/2009/9/main" objectType="Button" lockText="1"/>
</file>

<file path=xl/ctrlProps/ctrlProp1287.xml><?xml version="1.0" encoding="utf-8"?>
<formControlPr xmlns="http://schemas.microsoft.com/office/spreadsheetml/2009/9/main" objectType="Button" lockText="1"/>
</file>

<file path=xl/ctrlProps/ctrlProp1288.xml><?xml version="1.0" encoding="utf-8"?>
<formControlPr xmlns="http://schemas.microsoft.com/office/spreadsheetml/2009/9/main" objectType="Button" lockText="1"/>
</file>

<file path=xl/ctrlProps/ctrlProp1289.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290.xml><?xml version="1.0" encoding="utf-8"?>
<formControlPr xmlns="http://schemas.microsoft.com/office/spreadsheetml/2009/9/main" objectType="Button" lockText="1"/>
</file>

<file path=xl/ctrlProps/ctrlProp1291.xml><?xml version="1.0" encoding="utf-8"?>
<formControlPr xmlns="http://schemas.microsoft.com/office/spreadsheetml/2009/9/main" objectType="Button" lockText="1"/>
</file>

<file path=xl/ctrlProps/ctrlProp1292.xml><?xml version="1.0" encoding="utf-8"?>
<formControlPr xmlns="http://schemas.microsoft.com/office/spreadsheetml/2009/9/main" objectType="Button" lockText="1"/>
</file>

<file path=xl/ctrlProps/ctrlProp1293.xml><?xml version="1.0" encoding="utf-8"?>
<formControlPr xmlns="http://schemas.microsoft.com/office/spreadsheetml/2009/9/main" objectType="Button" lockText="1"/>
</file>

<file path=xl/ctrlProps/ctrlProp1294.xml><?xml version="1.0" encoding="utf-8"?>
<formControlPr xmlns="http://schemas.microsoft.com/office/spreadsheetml/2009/9/main" objectType="Button" lockText="1"/>
</file>

<file path=xl/ctrlProps/ctrlProp1295.xml><?xml version="1.0" encoding="utf-8"?>
<formControlPr xmlns="http://schemas.microsoft.com/office/spreadsheetml/2009/9/main" objectType="Button" lockText="1"/>
</file>

<file path=xl/ctrlProps/ctrlProp1296.xml><?xml version="1.0" encoding="utf-8"?>
<formControlPr xmlns="http://schemas.microsoft.com/office/spreadsheetml/2009/9/main" objectType="Button" lockText="1"/>
</file>

<file path=xl/ctrlProps/ctrlProp1297.xml><?xml version="1.0" encoding="utf-8"?>
<formControlPr xmlns="http://schemas.microsoft.com/office/spreadsheetml/2009/9/main" objectType="Button" lockText="1"/>
</file>

<file path=xl/ctrlProps/ctrlProp1298.xml><?xml version="1.0" encoding="utf-8"?>
<formControlPr xmlns="http://schemas.microsoft.com/office/spreadsheetml/2009/9/main" objectType="Button" lockText="1"/>
</file>

<file path=xl/ctrlProps/ctrlProp129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00.xml><?xml version="1.0" encoding="utf-8"?>
<formControlPr xmlns="http://schemas.microsoft.com/office/spreadsheetml/2009/9/main" objectType="Button" lockText="1"/>
</file>

<file path=xl/ctrlProps/ctrlProp1301.xml><?xml version="1.0" encoding="utf-8"?>
<formControlPr xmlns="http://schemas.microsoft.com/office/spreadsheetml/2009/9/main" objectType="Button" lockText="1"/>
</file>

<file path=xl/ctrlProps/ctrlProp1302.xml><?xml version="1.0" encoding="utf-8"?>
<formControlPr xmlns="http://schemas.microsoft.com/office/spreadsheetml/2009/9/main" objectType="Button" lockText="1"/>
</file>

<file path=xl/ctrlProps/ctrlProp1303.xml><?xml version="1.0" encoding="utf-8"?>
<formControlPr xmlns="http://schemas.microsoft.com/office/spreadsheetml/2009/9/main" objectType="Button" lockText="1"/>
</file>

<file path=xl/ctrlProps/ctrlProp1304.xml><?xml version="1.0" encoding="utf-8"?>
<formControlPr xmlns="http://schemas.microsoft.com/office/spreadsheetml/2009/9/main" objectType="Button" lockText="1"/>
</file>

<file path=xl/ctrlProps/ctrlProp1305.xml><?xml version="1.0" encoding="utf-8"?>
<formControlPr xmlns="http://schemas.microsoft.com/office/spreadsheetml/2009/9/main" objectType="Button" lockText="1"/>
</file>

<file path=xl/ctrlProps/ctrlProp1306.xml><?xml version="1.0" encoding="utf-8"?>
<formControlPr xmlns="http://schemas.microsoft.com/office/spreadsheetml/2009/9/main" objectType="Button" lockText="1"/>
</file>

<file path=xl/ctrlProps/ctrlProp1307.xml><?xml version="1.0" encoding="utf-8"?>
<formControlPr xmlns="http://schemas.microsoft.com/office/spreadsheetml/2009/9/main" objectType="Button" lockText="1"/>
</file>

<file path=xl/ctrlProps/ctrlProp1308.xml><?xml version="1.0" encoding="utf-8"?>
<formControlPr xmlns="http://schemas.microsoft.com/office/spreadsheetml/2009/9/main" objectType="Button" lockText="1"/>
</file>

<file path=xl/ctrlProps/ctrlProp1309.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10.xml><?xml version="1.0" encoding="utf-8"?>
<formControlPr xmlns="http://schemas.microsoft.com/office/spreadsheetml/2009/9/main" objectType="Button" lockText="1"/>
</file>

<file path=xl/ctrlProps/ctrlProp1311.xml><?xml version="1.0" encoding="utf-8"?>
<formControlPr xmlns="http://schemas.microsoft.com/office/spreadsheetml/2009/9/main" objectType="Button" lockText="1"/>
</file>

<file path=xl/ctrlProps/ctrlProp1312.xml><?xml version="1.0" encoding="utf-8"?>
<formControlPr xmlns="http://schemas.microsoft.com/office/spreadsheetml/2009/9/main" objectType="Button" lockText="1"/>
</file>

<file path=xl/ctrlProps/ctrlProp1313.xml><?xml version="1.0" encoding="utf-8"?>
<formControlPr xmlns="http://schemas.microsoft.com/office/spreadsheetml/2009/9/main" objectType="Button" lockText="1"/>
</file>

<file path=xl/ctrlProps/ctrlProp1314.xml><?xml version="1.0" encoding="utf-8"?>
<formControlPr xmlns="http://schemas.microsoft.com/office/spreadsheetml/2009/9/main" objectType="Button" lockText="1"/>
</file>

<file path=xl/ctrlProps/ctrlProp1315.xml><?xml version="1.0" encoding="utf-8"?>
<formControlPr xmlns="http://schemas.microsoft.com/office/spreadsheetml/2009/9/main" objectType="Button" lockText="1"/>
</file>

<file path=xl/ctrlProps/ctrlProp1316.xml><?xml version="1.0" encoding="utf-8"?>
<formControlPr xmlns="http://schemas.microsoft.com/office/spreadsheetml/2009/9/main" objectType="Button" lockText="1"/>
</file>

<file path=xl/ctrlProps/ctrlProp1317.xml><?xml version="1.0" encoding="utf-8"?>
<formControlPr xmlns="http://schemas.microsoft.com/office/spreadsheetml/2009/9/main" objectType="Button" lockText="1"/>
</file>

<file path=xl/ctrlProps/ctrlProp1318.xml><?xml version="1.0" encoding="utf-8"?>
<formControlPr xmlns="http://schemas.microsoft.com/office/spreadsheetml/2009/9/main" objectType="Button" lockText="1"/>
</file>

<file path=xl/ctrlProps/ctrlProp1319.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20.xml><?xml version="1.0" encoding="utf-8"?>
<formControlPr xmlns="http://schemas.microsoft.com/office/spreadsheetml/2009/9/main" objectType="Button" lockText="1"/>
</file>

<file path=xl/ctrlProps/ctrlProp1321.xml><?xml version="1.0" encoding="utf-8"?>
<formControlPr xmlns="http://schemas.microsoft.com/office/spreadsheetml/2009/9/main" objectType="Button" lockText="1"/>
</file>

<file path=xl/ctrlProps/ctrlProp1322.xml><?xml version="1.0" encoding="utf-8"?>
<formControlPr xmlns="http://schemas.microsoft.com/office/spreadsheetml/2009/9/main" objectType="Button" lockText="1"/>
</file>

<file path=xl/ctrlProps/ctrlProp1323.xml><?xml version="1.0" encoding="utf-8"?>
<formControlPr xmlns="http://schemas.microsoft.com/office/spreadsheetml/2009/9/main" objectType="Button" lockText="1"/>
</file>

<file path=xl/ctrlProps/ctrlProp1324.xml><?xml version="1.0" encoding="utf-8"?>
<formControlPr xmlns="http://schemas.microsoft.com/office/spreadsheetml/2009/9/main" objectType="Button" lockText="1"/>
</file>

<file path=xl/ctrlProps/ctrlProp1325.xml><?xml version="1.0" encoding="utf-8"?>
<formControlPr xmlns="http://schemas.microsoft.com/office/spreadsheetml/2009/9/main" objectType="Button" lockText="1"/>
</file>

<file path=xl/ctrlProps/ctrlProp1326.xml><?xml version="1.0" encoding="utf-8"?>
<formControlPr xmlns="http://schemas.microsoft.com/office/spreadsheetml/2009/9/main" objectType="Button" lockText="1"/>
</file>

<file path=xl/ctrlProps/ctrlProp1327.xml><?xml version="1.0" encoding="utf-8"?>
<formControlPr xmlns="http://schemas.microsoft.com/office/spreadsheetml/2009/9/main" objectType="Button" lockText="1"/>
</file>

<file path=xl/ctrlProps/ctrlProp1328.xml><?xml version="1.0" encoding="utf-8"?>
<formControlPr xmlns="http://schemas.microsoft.com/office/spreadsheetml/2009/9/main" objectType="Button" lockText="1"/>
</file>

<file path=xl/ctrlProps/ctrlProp1329.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30.xml><?xml version="1.0" encoding="utf-8"?>
<formControlPr xmlns="http://schemas.microsoft.com/office/spreadsheetml/2009/9/main" objectType="Button" lockText="1"/>
</file>

<file path=xl/ctrlProps/ctrlProp1331.xml><?xml version="1.0" encoding="utf-8"?>
<formControlPr xmlns="http://schemas.microsoft.com/office/spreadsheetml/2009/9/main" objectType="Button" lockText="1"/>
</file>

<file path=xl/ctrlProps/ctrlProp1332.xml><?xml version="1.0" encoding="utf-8"?>
<formControlPr xmlns="http://schemas.microsoft.com/office/spreadsheetml/2009/9/main" objectType="Button" lockText="1"/>
</file>

<file path=xl/ctrlProps/ctrlProp1333.xml><?xml version="1.0" encoding="utf-8"?>
<formControlPr xmlns="http://schemas.microsoft.com/office/spreadsheetml/2009/9/main" objectType="Button" lockText="1"/>
</file>

<file path=xl/ctrlProps/ctrlProp1334.xml><?xml version="1.0" encoding="utf-8"?>
<formControlPr xmlns="http://schemas.microsoft.com/office/spreadsheetml/2009/9/main" objectType="Button" lockText="1"/>
</file>

<file path=xl/ctrlProps/ctrlProp1335.xml><?xml version="1.0" encoding="utf-8"?>
<formControlPr xmlns="http://schemas.microsoft.com/office/spreadsheetml/2009/9/main" objectType="Button" lockText="1"/>
</file>

<file path=xl/ctrlProps/ctrlProp1336.xml><?xml version="1.0" encoding="utf-8"?>
<formControlPr xmlns="http://schemas.microsoft.com/office/spreadsheetml/2009/9/main" objectType="Button" lockText="1"/>
</file>

<file path=xl/ctrlProps/ctrlProp1337.xml><?xml version="1.0" encoding="utf-8"?>
<formControlPr xmlns="http://schemas.microsoft.com/office/spreadsheetml/2009/9/main" objectType="Button" lockText="1"/>
</file>

<file path=xl/ctrlProps/ctrlProp1338.xml><?xml version="1.0" encoding="utf-8"?>
<formControlPr xmlns="http://schemas.microsoft.com/office/spreadsheetml/2009/9/main" objectType="Button" lockText="1"/>
</file>

<file path=xl/ctrlProps/ctrlProp1339.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40.xml><?xml version="1.0" encoding="utf-8"?>
<formControlPr xmlns="http://schemas.microsoft.com/office/spreadsheetml/2009/9/main" objectType="Button" lockText="1"/>
</file>

<file path=xl/ctrlProps/ctrlProp1341.xml><?xml version="1.0" encoding="utf-8"?>
<formControlPr xmlns="http://schemas.microsoft.com/office/spreadsheetml/2009/9/main" objectType="Button" lockText="1"/>
</file>

<file path=xl/ctrlProps/ctrlProp1342.xml><?xml version="1.0" encoding="utf-8"?>
<formControlPr xmlns="http://schemas.microsoft.com/office/spreadsheetml/2009/9/main" objectType="Button" lockText="1"/>
</file>

<file path=xl/ctrlProps/ctrlProp1343.xml><?xml version="1.0" encoding="utf-8"?>
<formControlPr xmlns="http://schemas.microsoft.com/office/spreadsheetml/2009/9/main" objectType="Button" lockText="1"/>
</file>

<file path=xl/ctrlProps/ctrlProp1344.xml><?xml version="1.0" encoding="utf-8"?>
<formControlPr xmlns="http://schemas.microsoft.com/office/spreadsheetml/2009/9/main" objectType="Button" lockText="1"/>
</file>

<file path=xl/ctrlProps/ctrlProp1345.xml><?xml version="1.0" encoding="utf-8"?>
<formControlPr xmlns="http://schemas.microsoft.com/office/spreadsheetml/2009/9/main" objectType="Button" lockText="1"/>
</file>

<file path=xl/ctrlProps/ctrlProp1346.xml><?xml version="1.0" encoding="utf-8"?>
<formControlPr xmlns="http://schemas.microsoft.com/office/spreadsheetml/2009/9/main" objectType="Button" lockText="1"/>
</file>

<file path=xl/ctrlProps/ctrlProp1347.xml><?xml version="1.0" encoding="utf-8"?>
<formControlPr xmlns="http://schemas.microsoft.com/office/spreadsheetml/2009/9/main" objectType="Button" lockText="1"/>
</file>

<file path=xl/ctrlProps/ctrlProp1348.xml><?xml version="1.0" encoding="utf-8"?>
<formControlPr xmlns="http://schemas.microsoft.com/office/spreadsheetml/2009/9/main" objectType="Button" lockText="1"/>
</file>

<file path=xl/ctrlProps/ctrlProp1349.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50.xml><?xml version="1.0" encoding="utf-8"?>
<formControlPr xmlns="http://schemas.microsoft.com/office/spreadsheetml/2009/9/main" objectType="Button" lockText="1"/>
</file>

<file path=xl/ctrlProps/ctrlProp1351.xml><?xml version="1.0" encoding="utf-8"?>
<formControlPr xmlns="http://schemas.microsoft.com/office/spreadsheetml/2009/9/main" objectType="Button" lockText="1"/>
</file>

<file path=xl/ctrlProps/ctrlProp1352.xml><?xml version="1.0" encoding="utf-8"?>
<formControlPr xmlns="http://schemas.microsoft.com/office/spreadsheetml/2009/9/main" objectType="Button" lockText="1"/>
</file>

<file path=xl/ctrlProps/ctrlProp1353.xml><?xml version="1.0" encoding="utf-8"?>
<formControlPr xmlns="http://schemas.microsoft.com/office/spreadsheetml/2009/9/main" objectType="Button" lockText="1"/>
</file>

<file path=xl/ctrlProps/ctrlProp1354.xml><?xml version="1.0" encoding="utf-8"?>
<formControlPr xmlns="http://schemas.microsoft.com/office/spreadsheetml/2009/9/main" objectType="Button" lockText="1"/>
</file>

<file path=xl/ctrlProps/ctrlProp1355.xml><?xml version="1.0" encoding="utf-8"?>
<formControlPr xmlns="http://schemas.microsoft.com/office/spreadsheetml/2009/9/main" objectType="Button" lockText="1"/>
</file>

<file path=xl/ctrlProps/ctrlProp1356.xml><?xml version="1.0" encoding="utf-8"?>
<formControlPr xmlns="http://schemas.microsoft.com/office/spreadsheetml/2009/9/main" objectType="Button" lockText="1"/>
</file>

<file path=xl/ctrlProps/ctrlProp1357.xml><?xml version="1.0" encoding="utf-8"?>
<formControlPr xmlns="http://schemas.microsoft.com/office/spreadsheetml/2009/9/main" objectType="Button" lockText="1"/>
</file>

<file path=xl/ctrlProps/ctrlProp1358.xml><?xml version="1.0" encoding="utf-8"?>
<formControlPr xmlns="http://schemas.microsoft.com/office/spreadsheetml/2009/9/main" objectType="Button" lockText="1"/>
</file>

<file path=xl/ctrlProps/ctrlProp1359.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60.xml><?xml version="1.0" encoding="utf-8"?>
<formControlPr xmlns="http://schemas.microsoft.com/office/spreadsheetml/2009/9/main" objectType="Button" lockText="1"/>
</file>

<file path=xl/ctrlProps/ctrlProp1361.xml><?xml version="1.0" encoding="utf-8"?>
<formControlPr xmlns="http://schemas.microsoft.com/office/spreadsheetml/2009/9/main" objectType="Button" lockText="1"/>
</file>

<file path=xl/ctrlProps/ctrlProp1362.xml><?xml version="1.0" encoding="utf-8"?>
<formControlPr xmlns="http://schemas.microsoft.com/office/spreadsheetml/2009/9/main" objectType="Button" lockText="1"/>
</file>

<file path=xl/ctrlProps/ctrlProp1363.xml><?xml version="1.0" encoding="utf-8"?>
<formControlPr xmlns="http://schemas.microsoft.com/office/spreadsheetml/2009/9/main" objectType="Button" lockText="1"/>
</file>

<file path=xl/ctrlProps/ctrlProp1364.xml><?xml version="1.0" encoding="utf-8"?>
<formControlPr xmlns="http://schemas.microsoft.com/office/spreadsheetml/2009/9/main" objectType="Button" lockText="1"/>
</file>

<file path=xl/ctrlProps/ctrlProp1365.xml><?xml version="1.0" encoding="utf-8"?>
<formControlPr xmlns="http://schemas.microsoft.com/office/spreadsheetml/2009/9/main" objectType="Button" lockText="1"/>
</file>

<file path=xl/ctrlProps/ctrlProp1366.xml><?xml version="1.0" encoding="utf-8"?>
<formControlPr xmlns="http://schemas.microsoft.com/office/spreadsheetml/2009/9/main" objectType="Button" lockText="1"/>
</file>

<file path=xl/ctrlProps/ctrlProp1367.xml><?xml version="1.0" encoding="utf-8"?>
<formControlPr xmlns="http://schemas.microsoft.com/office/spreadsheetml/2009/9/main" objectType="Button" lockText="1"/>
</file>

<file path=xl/ctrlProps/ctrlProp1368.xml><?xml version="1.0" encoding="utf-8"?>
<formControlPr xmlns="http://schemas.microsoft.com/office/spreadsheetml/2009/9/main" objectType="Button" lockText="1"/>
</file>

<file path=xl/ctrlProps/ctrlProp1369.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70.xml><?xml version="1.0" encoding="utf-8"?>
<formControlPr xmlns="http://schemas.microsoft.com/office/spreadsheetml/2009/9/main" objectType="Button" lockText="1"/>
</file>

<file path=xl/ctrlProps/ctrlProp1371.xml><?xml version="1.0" encoding="utf-8"?>
<formControlPr xmlns="http://schemas.microsoft.com/office/spreadsheetml/2009/9/main" objectType="Button" lockText="1"/>
</file>

<file path=xl/ctrlProps/ctrlProp1372.xml><?xml version="1.0" encoding="utf-8"?>
<formControlPr xmlns="http://schemas.microsoft.com/office/spreadsheetml/2009/9/main" objectType="Button" lockText="1"/>
</file>

<file path=xl/ctrlProps/ctrlProp1373.xml><?xml version="1.0" encoding="utf-8"?>
<formControlPr xmlns="http://schemas.microsoft.com/office/spreadsheetml/2009/9/main" objectType="Button" lockText="1"/>
</file>

<file path=xl/ctrlProps/ctrlProp1374.xml><?xml version="1.0" encoding="utf-8"?>
<formControlPr xmlns="http://schemas.microsoft.com/office/spreadsheetml/2009/9/main" objectType="Button" lockText="1"/>
</file>

<file path=xl/ctrlProps/ctrlProp1375.xml><?xml version="1.0" encoding="utf-8"?>
<formControlPr xmlns="http://schemas.microsoft.com/office/spreadsheetml/2009/9/main" objectType="Button" lockText="1"/>
</file>

<file path=xl/ctrlProps/ctrlProp1376.xml><?xml version="1.0" encoding="utf-8"?>
<formControlPr xmlns="http://schemas.microsoft.com/office/spreadsheetml/2009/9/main" objectType="Button" lockText="1"/>
</file>

<file path=xl/ctrlProps/ctrlProp1377.xml><?xml version="1.0" encoding="utf-8"?>
<formControlPr xmlns="http://schemas.microsoft.com/office/spreadsheetml/2009/9/main" objectType="Button" lockText="1"/>
</file>

<file path=xl/ctrlProps/ctrlProp1378.xml><?xml version="1.0" encoding="utf-8"?>
<formControlPr xmlns="http://schemas.microsoft.com/office/spreadsheetml/2009/9/main" objectType="Button" lockText="1"/>
</file>

<file path=xl/ctrlProps/ctrlProp1379.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80.xml><?xml version="1.0" encoding="utf-8"?>
<formControlPr xmlns="http://schemas.microsoft.com/office/spreadsheetml/2009/9/main" objectType="Button" lockText="1"/>
</file>

<file path=xl/ctrlProps/ctrlProp1381.xml><?xml version="1.0" encoding="utf-8"?>
<formControlPr xmlns="http://schemas.microsoft.com/office/spreadsheetml/2009/9/main" objectType="Button" lockText="1"/>
</file>

<file path=xl/ctrlProps/ctrlProp1382.xml><?xml version="1.0" encoding="utf-8"?>
<formControlPr xmlns="http://schemas.microsoft.com/office/spreadsheetml/2009/9/main" objectType="Button" lockText="1"/>
</file>

<file path=xl/ctrlProps/ctrlProp1383.xml><?xml version="1.0" encoding="utf-8"?>
<formControlPr xmlns="http://schemas.microsoft.com/office/spreadsheetml/2009/9/main" objectType="Button" lockText="1"/>
</file>

<file path=xl/ctrlProps/ctrlProp1384.xml><?xml version="1.0" encoding="utf-8"?>
<formControlPr xmlns="http://schemas.microsoft.com/office/spreadsheetml/2009/9/main" objectType="Button" lockText="1"/>
</file>

<file path=xl/ctrlProps/ctrlProp1385.xml><?xml version="1.0" encoding="utf-8"?>
<formControlPr xmlns="http://schemas.microsoft.com/office/spreadsheetml/2009/9/main" objectType="Button" lockText="1"/>
</file>

<file path=xl/ctrlProps/ctrlProp1386.xml><?xml version="1.0" encoding="utf-8"?>
<formControlPr xmlns="http://schemas.microsoft.com/office/spreadsheetml/2009/9/main" objectType="Button" lockText="1"/>
</file>

<file path=xl/ctrlProps/ctrlProp1387.xml><?xml version="1.0" encoding="utf-8"?>
<formControlPr xmlns="http://schemas.microsoft.com/office/spreadsheetml/2009/9/main" objectType="Button" lockText="1"/>
</file>

<file path=xl/ctrlProps/ctrlProp1388.xml><?xml version="1.0" encoding="utf-8"?>
<formControlPr xmlns="http://schemas.microsoft.com/office/spreadsheetml/2009/9/main" objectType="Button" lockText="1"/>
</file>

<file path=xl/ctrlProps/ctrlProp1389.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390.xml><?xml version="1.0" encoding="utf-8"?>
<formControlPr xmlns="http://schemas.microsoft.com/office/spreadsheetml/2009/9/main" objectType="Button" lockText="1"/>
</file>

<file path=xl/ctrlProps/ctrlProp1391.xml><?xml version="1.0" encoding="utf-8"?>
<formControlPr xmlns="http://schemas.microsoft.com/office/spreadsheetml/2009/9/main" objectType="Button" lockText="1"/>
</file>

<file path=xl/ctrlProps/ctrlProp1392.xml><?xml version="1.0" encoding="utf-8"?>
<formControlPr xmlns="http://schemas.microsoft.com/office/spreadsheetml/2009/9/main" objectType="Button" lockText="1"/>
</file>

<file path=xl/ctrlProps/ctrlProp1393.xml><?xml version="1.0" encoding="utf-8"?>
<formControlPr xmlns="http://schemas.microsoft.com/office/spreadsheetml/2009/9/main" objectType="Button" lockText="1"/>
</file>

<file path=xl/ctrlProps/ctrlProp1394.xml><?xml version="1.0" encoding="utf-8"?>
<formControlPr xmlns="http://schemas.microsoft.com/office/spreadsheetml/2009/9/main" objectType="Button" lockText="1"/>
</file>

<file path=xl/ctrlProps/ctrlProp1395.xml><?xml version="1.0" encoding="utf-8"?>
<formControlPr xmlns="http://schemas.microsoft.com/office/spreadsheetml/2009/9/main" objectType="Button" lockText="1"/>
</file>

<file path=xl/ctrlProps/ctrlProp1396.xml><?xml version="1.0" encoding="utf-8"?>
<formControlPr xmlns="http://schemas.microsoft.com/office/spreadsheetml/2009/9/main" objectType="Button" lockText="1"/>
</file>

<file path=xl/ctrlProps/ctrlProp1397.xml><?xml version="1.0" encoding="utf-8"?>
<formControlPr xmlns="http://schemas.microsoft.com/office/spreadsheetml/2009/9/main" objectType="Button" lockText="1"/>
</file>

<file path=xl/ctrlProps/ctrlProp1398.xml><?xml version="1.0" encoding="utf-8"?>
<formControlPr xmlns="http://schemas.microsoft.com/office/spreadsheetml/2009/9/main" objectType="Button" lockText="1"/>
</file>

<file path=xl/ctrlProps/ctrlProp139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00.xml><?xml version="1.0" encoding="utf-8"?>
<formControlPr xmlns="http://schemas.microsoft.com/office/spreadsheetml/2009/9/main" objectType="Button" lockText="1"/>
</file>

<file path=xl/ctrlProps/ctrlProp1401.xml><?xml version="1.0" encoding="utf-8"?>
<formControlPr xmlns="http://schemas.microsoft.com/office/spreadsheetml/2009/9/main" objectType="Button" lockText="1"/>
</file>

<file path=xl/ctrlProps/ctrlProp1402.xml><?xml version="1.0" encoding="utf-8"?>
<formControlPr xmlns="http://schemas.microsoft.com/office/spreadsheetml/2009/9/main" objectType="Button" lockText="1"/>
</file>

<file path=xl/ctrlProps/ctrlProp1403.xml><?xml version="1.0" encoding="utf-8"?>
<formControlPr xmlns="http://schemas.microsoft.com/office/spreadsheetml/2009/9/main" objectType="Button" lockText="1"/>
</file>

<file path=xl/ctrlProps/ctrlProp1404.xml><?xml version="1.0" encoding="utf-8"?>
<formControlPr xmlns="http://schemas.microsoft.com/office/spreadsheetml/2009/9/main" objectType="Button" lockText="1"/>
</file>

<file path=xl/ctrlProps/ctrlProp1405.xml><?xml version="1.0" encoding="utf-8"?>
<formControlPr xmlns="http://schemas.microsoft.com/office/spreadsheetml/2009/9/main" objectType="Button" lockText="1"/>
</file>

<file path=xl/ctrlProps/ctrlProp1406.xml><?xml version="1.0" encoding="utf-8"?>
<formControlPr xmlns="http://schemas.microsoft.com/office/spreadsheetml/2009/9/main" objectType="Button" lockText="1"/>
</file>

<file path=xl/ctrlProps/ctrlProp1407.xml><?xml version="1.0" encoding="utf-8"?>
<formControlPr xmlns="http://schemas.microsoft.com/office/spreadsheetml/2009/9/main" objectType="Button" lockText="1"/>
</file>

<file path=xl/ctrlProps/ctrlProp1408.xml><?xml version="1.0" encoding="utf-8"?>
<formControlPr xmlns="http://schemas.microsoft.com/office/spreadsheetml/2009/9/main" objectType="Button" lockText="1"/>
</file>

<file path=xl/ctrlProps/ctrlProp1409.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10.xml><?xml version="1.0" encoding="utf-8"?>
<formControlPr xmlns="http://schemas.microsoft.com/office/spreadsheetml/2009/9/main" objectType="Button" lockText="1"/>
</file>

<file path=xl/ctrlProps/ctrlProp1411.xml><?xml version="1.0" encoding="utf-8"?>
<formControlPr xmlns="http://schemas.microsoft.com/office/spreadsheetml/2009/9/main" objectType="Button" lockText="1"/>
</file>

<file path=xl/ctrlProps/ctrlProp1412.xml><?xml version="1.0" encoding="utf-8"?>
<formControlPr xmlns="http://schemas.microsoft.com/office/spreadsheetml/2009/9/main" objectType="Button" lockText="1"/>
</file>

<file path=xl/ctrlProps/ctrlProp1413.xml><?xml version="1.0" encoding="utf-8"?>
<formControlPr xmlns="http://schemas.microsoft.com/office/spreadsheetml/2009/9/main" objectType="Button" lockText="1"/>
</file>

<file path=xl/ctrlProps/ctrlProp1414.xml><?xml version="1.0" encoding="utf-8"?>
<formControlPr xmlns="http://schemas.microsoft.com/office/spreadsheetml/2009/9/main" objectType="Button" lockText="1"/>
</file>

<file path=xl/ctrlProps/ctrlProp1415.xml><?xml version="1.0" encoding="utf-8"?>
<formControlPr xmlns="http://schemas.microsoft.com/office/spreadsheetml/2009/9/main" objectType="Button" lockText="1"/>
</file>

<file path=xl/ctrlProps/ctrlProp1416.xml><?xml version="1.0" encoding="utf-8"?>
<formControlPr xmlns="http://schemas.microsoft.com/office/spreadsheetml/2009/9/main" objectType="Button" lockText="1"/>
</file>

<file path=xl/ctrlProps/ctrlProp1417.xml><?xml version="1.0" encoding="utf-8"?>
<formControlPr xmlns="http://schemas.microsoft.com/office/spreadsheetml/2009/9/main" objectType="Button" lockText="1"/>
</file>

<file path=xl/ctrlProps/ctrlProp1418.xml><?xml version="1.0" encoding="utf-8"?>
<formControlPr xmlns="http://schemas.microsoft.com/office/spreadsheetml/2009/9/main" objectType="Button" lockText="1"/>
</file>

<file path=xl/ctrlProps/ctrlProp1419.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20.xml><?xml version="1.0" encoding="utf-8"?>
<formControlPr xmlns="http://schemas.microsoft.com/office/spreadsheetml/2009/9/main" objectType="Button" lockText="1"/>
</file>

<file path=xl/ctrlProps/ctrlProp1421.xml><?xml version="1.0" encoding="utf-8"?>
<formControlPr xmlns="http://schemas.microsoft.com/office/spreadsheetml/2009/9/main" objectType="Button" lockText="1"/>
</file>

<file path=xl/ctrlProps/ctrlProp1422.xml><?xml version="1.0" encoding="utf-8"?>
<formControlPr xmlns="http://schemas.microsoft.com/office/spreadsheetml/2009/9/main" objectType="Button" lockText="1"/>
</file>

<file path=xl/ctrlProps/ctrlProp1423.xml><?xml version="1.0" encoding="utf-8"?>
<formControlPr xmlns="http://schemas.microsoft.com/office/spreadsheetml/2009/9/main" objectType="Button" lockText="1"/>
</file>

<file path=xl/ctrlProps/ctrlProp1424.xml><?xml version="1.0" encoding="utf-8"?>
<formControlPr xmlns="http://schemas.microsoft.com/office/spreadsheetml/2009/9/main" objectType="Button" lockText="1"/>
</file>

<file path=xl/ctrlProps/ctrlProp1425.xml><?xml version="1.0" encoding="utf-8"?>
<formControlPr xmlns="http://schemas.microsoft.com/office/spreadsheetml/2009/9/main" objectType="Button" lockText="1"/>
</file>

<file path=xl/ctrlProps/ctrlProp1426.xml><?xml version="1.0" encoding="utf-8"?>
<formControlPr xmlns="http://schemas.microsoft.com/office/spreadsheetml/2009/9/main" objectType="Button" lockText="1"/>
</file>

<file path=xl/ctrlProps/ctrlProp1427.xml><?xml version="1.0" encoding="utf-8"?>
<formControlPr xmlns="http://schemas.microsoft.com/office/spreadsheetml/2009/9/main" objectType="Button" lockText="1"/>
</file>

<file path=xl/ctrlProps/ctrlProp1428.xml><?xml version="1.0" encoding="utf-8"?>
<formControlPr xmlns="http://schemas.microsoft.com/office/spreadsheetml/2009/9/main" objectType="Button" lockText="1"/>
</file>

<file path=xl/ctrlProps/ctrlProp1429.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30.xml><?xml version="1.0" encoding="utf-8"?>
<formControlPr xmlns="http://schemas.microsoft.com/office/spreadsheetml/2009/9/main" objectType="Button" lockText="1"/>
</file>

<file path=xl/ctrlProps/ctrlProp1431.xml><?xml version="1.0" encoding="utf-8"?>
<formControlPr xmlns="http://schemas.microsoft.com/office/spreadsheetml/2009/9/main" objectType="Button" lockText="1"/>
</file>

<file path=xl/ctrlProps/ctrlProp1432.xml><?xml version="1.0" encoding="utf-8"?>
<formControlPr xmlns="http://schemas.microsoft.com/office/spreadsheetml/2009/9/main" objectType="Button" lockText="1"/>
</file>

<file path=xl/ctrlProps/ctrlProp1433.xml><?xml version="1.0" encoding="utf-8"?>
<formControlPr xmlns="http://schemas.microsoft.com/office/spreadsheetml/2009/9/main" objectType="Button" lockText="1"/>
</file>

<file path=xl/ctrlProps/ctrlProp1434.xml><?xml version="1.0" encoding="utf-8"?>
<formControlPr xmlns="http://schemas.microsoft.com/office/spreadsheetml/2009/9/main" objectType="Button" lockText="1"/>
</file>

<file path=xl/ctrlProps/ctrlProp1435.xml><?xml version="1.0" encoding="utf-8"?>
<formControlPr xmlns="http://schemas.microsoft.com/office/spreadsheetml/2009/9/main" objectType="Button" lockText="1"/>
</file>

<file path=xl/ctrlProps/ctrlProp1436.xml><?xml version="1.0" encoding="utf-8"?>
<formControlPr xmlns="http://schemas.microsoft.com/office/spreadsheetml/2009/9/main" objectType="Button" lockText="1"/>
</file>

<file path=xl/ctrlProps/ctrlProp1437.xml><?xml version="1.0" encoding="utf-8"?>
<formControlPr xmlns="http://schemas.microsoft.com/office/spreadsheetml/2009/9/main" objectType="Button" lockText="1"/>
</file>

<file path=xl/ctrlProps/ctrlProp1438.xml><?xml version="1.0" encoding="utf-8"?>
<formControlPr xmlns="http://schemas.microsoft.com/office/spreadsheetml/2009/9/main" objectType="Button" lockText="1"/>
</file>

<file path=xl/ctrlProps/ctrlProp1439.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40.xml><?xml version="1.0" encoding="utf-8"?>
<formControlPr xmlns="http://schemas.microsoft.com/office/spreadsheetml/2009/9/main" objectType="Button" lockText="1"/>
</file>

<file path=xl/ctrlProps/ctrlProp1441.xml><?xml version="1.0" encoding="utf-8"?>
<formControlPr xmlns="http://schemas.microsoft.com/office/spreadsheetml/2009/9/main" objectType="Button" lockText="1"/>
</file>

<file path=xl/ctrlProps/ctrlProp1442.xml><?xml version="1.0" encoding="utf-8"?>
<formControlPr xmlns="http://schemas.microsoft.com/office/spreadsheetml/2009/9/main" objectType="Button" lockText="1"/>
</file>

<file path=xl/ctrlProps/ctrlProp1443.xml><?xml version="1.0" encoding="utf-8"?>
<formControlPr xmlns="http://schemas.microsoft.com/office/spreadsheetml/2009/9/main" objectType="Button" lockText="1"/>
</file>

<file path=xl/ctrlProps/ctrlProp1444.xml><?xml version="1.0" encoding="utf-8"?>
<formControlPr xmlns="http://schemas.microsoft.com/office/spreadsheetml/2009/9/main" objectType="Button" lockText="1"/>
</file>

<file path=xl/ctrlProps/ctrlProp1445.xml><?xml version="1.0" encoding="utf-8"?>
<formControlPr xmlns="http://schemas.microsoft.com/office/spreadsheetml/2009/9/main" objectType="Button" lockText="1"/>
</file>

<file path=xl/ctrlProps/ctrlProp1446.xml><?xml version="1.0" encoding="utf-8"?>
<formControlPr xmlns="http://schemas.microsoft.com/office/spreadsheetml/2009/9/main" objectType="Button" lockText="1"/>
</file>

<file path=xl/ctrlProps/ctrlProp1447.xml><?xml version="1.0" encoding="utf-8"?>
<formControlPr xmlns="http://schemas.microsoft.com/office/spreadsheetml/2009/9/main" objectType="Button" lockText="1"/>
</file>

<file path=xl/ctrlProps/ctrlProp1448.xml><?xml version="1.0" encoding="utf-8"?>
<formControlPr xmlns="http://schemas.microsoft.com/office/spreadsheetml/2009/9/main" objectType="Button" lockText="1"/>
</file>

<file path=xl/ctrlProps/ctrlProp1449.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50.xml><?xml version="1.0" encoding="utf-8"?>
<formControlPr xmlns="http://schemas.microsoft.com/office/spreadsheetml/2009/9/main" objectType="Button" lockText="1"/>
</file>

<file path=xl/ctrlProps/ctrlProp1451.xml><?xml version="1.0" encoding="utf-8"?>
<formControlPr xmlns="http://schemas.microsoft.com/office/spreadsheetml/2009/9/main" objectType="Button" lockText="1"/>
</file>

<file path=xl/ctrlProps/ctrlProp1452.xml><?xml version="1.0" encoding="utf-8"?>
<formControlPr xmlns="http://schemas.microsoft.com/office/spreadsheetml/2009/9/main" objectType="Button" lockText="1"/>
</file>

<file path=xl/ctrlProps/ctrlProp1453.xml><?xml version="1.0" encoding="utf-8"?>
<formControlPr xmlns="http://schemas.microsoft.com/office/spreadsheetml/2009/9/main" objectType="Button" lockText="1"/>
</file>

<file path=xl/ctrlProps/ctrlProp1454.xml><?xml version="1.0" encoding="utf-8"?>
<formControlPr xmlns="http://schemas.microsoft.com/office/spreadsheetml/2009/9/main" objectType="Button" lockText="1"/>
</file>

<file path=xl/ctrlProps/ctrlProp1455.xml><?xml version="1.0" encoding="utf-8"?>
<formControlPr xmlns="http://schemas.microsoft.com/office/spreadsheetml/2009/9/main" objectType="Button" lockText="1"/>
</file>

<file path=xl/ctrlProps/ctrlProp1456.xml><?xml version="1.0" encoding="utf-8"?>
<formControlPr xmlns="http://schemas.microsoft.com/office/spreadsheetml/2009/9/main" objectType="Button" lockText="1"/>
</file>

<file path=xl/ctrlProps/ctrlProp1457.xml><?xml version="1.0" encoding="utf-8"?>
<formControlPr xmlns="http://schemas.microsoft.com/office/spreadsheetml/2009/9/main" objectType="Button" lockText="1"/>
</file>

<file path=xl/ctrlProps/ctrlProp1458.xml><?xml version="1.0" encoding="utf-8"?>
<formControlPr xmlns="http://schemas.microsoft.com/office/spreadsheetml/2009/9/main" objectType="Button" lockText="1"/>
</file>

<file path=xl/ctrlProps/ctrlProp1459.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60.xml><?xml version="1.0" encoding="utf-8"?>
<formControlPr xmlns="http://schemas.microsoft.com/office/spreadsheetml/2009/9/main" objectType="Button" lockText="1"/>
</file>

<file path=xl/ctrlProps/ctrlProp1461.xml><?xml version="1.0" encoding="utf-8"?>
<formControlPr xmlns="http://schemas.microsoft.com/office/spreadsheetml/2009/9/main" objectType="Button" lockText="1"/>
</file>

<file path=xl/ctrlProps/ctrlProp1462.xml><?xml version="1.0" encoding="utf-8"?>
<formControlPr xmlns="http://schemas.microsoft.com/office/spreadsheetml/2009/9/main" objectType="Button" lockText="1"/>
</file>

<file path=xl/ctrlProps/ctrlProp1463.xml><?xml version="1.0" encoding="utf-8"?>
<formControlPr xmlns="http://schemas.microsoft.com/office/spreadsheetml/2009/9/main" objectType="Button" lockText="1"/>
</file>

<file path=xl/ctrlProps/ctrlProp1464.xml><?xml version="1.0" encoding="utf-8"?>
<formControlPr xmlns="http://schemas.microsoft.com/office/spreadsheetml/2009/9/main" objectType="Button" lockText="1"/>
</file>

<file path=xl/ctrlProps/ctrlProp1465.xml><?xml version="1.0" encoding="utf-8"?>
<formControlPr xmlns="http://schemas.microsoft.com/office/spreadsheetml/2009/9/main" objectType="Button" lockText="1"/>
</file>

<file path=xl/ctrlProps/ctrlProp1466.xml><?xml version="1.0" encoding="utf-8"?>
<formControlPr xmlns="http://schemas.microsoft.com/office/spreadsheetml/2009/9/main" objectType="Button" lockText="1"/>
</file>

<file path=xl/ctrlProps/ctrlProp1467.xml><?xml version="1.0" encoding="utf-8"?>
<formControlPr xmlns="http://schemas.microsoft.com/office/spreadsheetml/2009/9/main" objectType="Button" lockText="1"/>
</file>

<file path=xl/ctrlProps/ctrlProp1468.xml><?xml version="1.0" encoding="utf-8"?>
<formControlPr xmlns="http://schemas.microsoft.com/office/spreadsheetml/2009/9/main" objectType="Button" lockText="1"/>
</file>

<file path=xl/ctrlProps/ctrlProp1469.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70.xml><?xml version="1.0" encoding="utf-8"?>
<formControlPr xmlns="http://schemas.microsoft.com/office/spreadsheetml/2009/9/main" objectType="Button" lockText="1"/>
</file>

<file path=xl/ctrlProps/ctrlProp1471.xml><?xml version="1.0" encoding="utf-8"?>
<formControlPr xmlns="http://schemas.microsoft.com/office/spreadsheetml/2009/9/main" objectType="Button" lockText="1"/>
</file>

<file path=xl/ctrlProps/ctrlProp1472.xml><?xml version="1.0" encoding="utf-8"?>
<formControlPr xmlns="http://schemas.microsoft.com/office/spreadsheetml/2009/9/main" objectType="Button" lockText="1"/>
</file>

<file path=xl/ctrlProps/ctrlProp1473.xml><?xml version="1.0" encoding="utf-8"?>
<formControlPr xmlns="http://schemas.microsoft.com/office/spreadsheetml/2009/9/main" objectType="Button" lockText="1"/>
</file>

<file path=xl/ctrlProps/ctrlProp1474.xml><?xml version="1.0" encoding="utf-8"?>
<formControlPr xmlns="http://schemas.microsoft.com/office/spreadsheetml/2009/9/main" objectType="Button" lockText="1"/>
</file>

<file path=xl/ctrlProps/ctrlProp1475.xml><?xml version="1.0" encoding="utf-8"?>
<formControlPr xmlns="http://schemas.microsoft.com/office/spreadsheetml/2009/9/main" objectType="Button" lockText="1"/>
</file>

<file path=xl/ctrlProps/ctrlProp1476.xml><?xml version="1.0" encoding="utf-8"?>
<formControlPr xmlns="http://schemas.microsoft.com/office/spreadsheetml/2009/9/main" objectType="Button" lockText="1"/>
</file>

<file path=xl/ctrlProps/ctrlProp1477.xml><?xml version="1.0" encoding="utf-8"?>
<formControlPr xmlns="http://schemas.microsoft.com/office/spreadsheetml/2009/9/main" objectType="Button" lockText="1"/>
</file>

<file path=xl/ctrlProps/ctrlProp1478.xml><?xml version="1.0" encoding="utf-8"?>
<formControlPr xmlns="http://schemas.microsoft.com/office/spreadsheetml/2009/9/main" objectType="Button" lockText="1"/>
</file>

<file path=xl/ctrlProps/ctrlProp1479.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80.xml><?xml version="1.0" encoding="utf-8"?>
<formControlPr xmlns="http://schemas.microsoft.com/office/spreadsheetml/2009/9/main" objectType="Button" lockText="1"/>
</file>

<file path=xl/ctrlProps/ctrlProp1481.xml><?xml version="1.0" encoding="utf-8"?>
<formControlPr xmlns="http://schemas.microsoft.com/office/spreadsheetml/2009/9/main" objectType="Button" lockText="1"/>
</file>

<file path=xl/ctrlProps/ctrlProp1482.xml><?xml version="1.0" encoding="utf-8"?>
<formControlPr xmlns="http://schemas.microsoft.com/office/spreadsheetml/2009/9/main" objectType="Button" lockText="1"/>
</file>

<file path=xl/ctrlProps/ctrlProp1483.xml><?xml version="1.0" encoding="utf-8"?>
<formControlPr xmlns="http://schemas.microsoft.com/office/spreadsheetml/2009/9/main" objectType="Button" lockText="1"/>
</file>

<file path=xl/ctrlProps/ctrlProp1484.xml><?xml version="1.0" encoding="utf-8"?>
<formControlPr xmlns="http://schemas.microsoft.com/office/spreadsheetml/2009/9/main" objectType="Button" lockText="1"/>
</file>

<file path=xl/ctrlProps/ctrlProp1485.xml><?xml version="1.0" encoding="utf-8"?>
<formControlPr xmlns="http://schemas.microsoft.com/office/spreadsheetml/2009/9/main" objectType="Button" lockText="1"/>
</file>

<file path=xl/ctrlProps/ctrlProp1486.xml><?xml version="1.0" encoding="utf-8"?>
<formControlPr xmlns="http://schemas.microsoft.com/office/spreadsheetml/2009/9/main" objectType="Button" lockText="1"/>
</file>

<file path=xl/ctrlProps/ctrlProp1487.xml><?xml version="1.0" encoding="utf-8"?>
<formControlPr xmlns="http://schemas.microsoft.com/office/spreadsheetml/2009/9/main" objectType="Button" lockText="1"/>
</file>

<file path=xl/ctrlProps/ctrlProp1488.xml><?xml version="1.0" encoding="utf-8"?>
<formControlPr xmlns="http://schemas.microsoft.com/office/spreadsheetml/2009/9/main" objectType="Button" lockText="1"/>
</file>

<file path=xl/ctrlProps/ctrlProp1489.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490.xml><?xml version="1.0" encoding="utf-8"?>
<formControlPr xmlns="http://schemas.microsoft.com/office/spreadsheetml/2009/9/main" objectType="Button" lockText="1"/>
</file>

<file path=xl/ctrlProps/ctrlProp1491.xml><?xml version="1.0" encoding="utf-8"?>
<formControlPr xmlns="http://schemas.microsoft.com/office/spreadsheetml/2009/9/main" objectType="Button" lockText="1"/>
</file>

<file path=xl/ctrlProps/ctrlProp1492.xml><?xml version="1.0" encoding="utf-8"?>
<formControlPr xmlns="http://schemas.microsoft.com/office/spreadsheetml/2009/9/main" objectType="Button" lockText="1"/>
</file>

<file path=xl/ctrlProps/ctrlProp1493.xml><?xml version="1.0" encoding="utf-8"?>
<formControlPr xmlns="http://schemas.microsoft.com/office/spreadsheetml/2009/9/main" objectType="Button" lockText="1"/>
</file>

<file path=xl/ctrlProps/ctrlProp1494.xml><?xml version="1.0" encoding="utf-8"?>
<formControlPr xmlns="http://schemas.microsoft.com/office/spreadsheetml/2009/9/main" objectType="Button" lockText="1"/>
</file>

<file path=xl/ctrlProps/ctrlProp1495.xml><?xml version="1.0" encoding="utf-8"?>
<formControlPr xmlns="http://schemas.microsoft.com/office/spreadsheetml/2009/9/main" objectType="Button" lockText="1"/>
</file>

<file path=xl/ctrlProps/ctrlProp1496.xml><?xml version="1.0" encoding="utf-8"?>
<formControlPr xmlns="http://schemas.microsoft.com/office/spreadsheetml/2009/9/main" objectType="Button" lockText="1"/>
</file>

<file path=xl/ctrlProps/ctrlProp1497.xml><?xml version="1.0" encoding="utf-8"?>
<formControlPr xmlns="http://schemas.microsoft.com/office/spreadsheetml/2009/9/main" objectType="Button" lockText="1"/>
</file>

<file path=xl/ctrlProps/ctrlProp1498.xml><?xml version="1.0" encoding="utf-8"?>
<formControlPr xmlns="http://schemas.microsoft.com/office/spreadsheetml/2009/9/main" objectType="Button" lockText="1"/>
</file>

<file path=xl/ctrlProps/ctrlProp149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00.xml><?xml version="1.0" encoding="utf-8"?>
<formControlPr xmlns="http://schemas.microsoft.com/office/spreadsheetml/2009/9/main" objectType="Button" lockText="1"/>
</file>

<file path=xl/ctrlProps/ctrlProp1501.xml><?xml version="1.0" encoding="utf-8"?>
<formControlPr xmlns="http://schemas.microsoft.com/office/spreadsheetml/2009/9/main" objectType="Button" lockText="1"/>
</file>

<file path=xl/ctrlProps/ctrlProp1502.xml><?xml version="1.0" encoding="utf-8"?>
<formControlPr xmlns="http://schemas.microsoft.com/office/spreadsheetml/2009/9/main" objectType="Button" lockText="1"/>
</file>

<file path=xl/ctrlProps/ctrlProp1503.xml><?xml version="1.0" encoding="utf-8"?>
<formControlPr xmlns="http://schemas.microsoft.com/office/spreadsheetml/2009/9/main" objectType="Button" lockText="1"/>
</file>

<file path=xl/ctrlProps/ctrlProp1504.xml><?xml version="1.0" encoding="utf-8"?>
<formControlPr xmlns="http://schemas.microsoft.com/office/spreadsheetml/2009/9/main" objectType="Button" lockText="1"/>
</file>

<file path=xl/ctrlProps/ctrlProp1505.xml><?xml version="1.0" encoding="utf-8"?>
<formControlPr xmlns="http://schemas.microsoft.com/office/spreadsheetml/2009/9/main" objectType="Button" lockText="1"/>
</file>

<file path=xl/ctrlProps/ctrlProp1506.xml><?xml version="1.0" encoding="utf-8"?>
<formControlPr xmlns="http://schemas.microsoft.com/office/spreadsheetml/2009/9/main" objectType="Button" lockText="1"/>
</file>

<file path=xl/ctrlProps/ctrlProp1507.xml><?xml version="1.0" encoding="utf-8"?>
<formControlPr xmlns="http://schemas.microsoft.com/office/spreadsheetml/2009/9/main" objectType="Button" lockText="1"/>
</file>

<file path=xl/ctrlProps/ctrlProp1508.xml><?xml version="1.0" encoding="utf-8"?>
<formControlPr xmlns="http://schemas.microsoft.com/office/spreadsheetml/2009/9/main" objectType="Button" lockText="1"/>
</file>

<file path=xl/ctrlProps/ctrlProp1509.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10.xml><?xml version="1.0" encoding="utf-8"?>
<formControlPr xmlns="http://schemas.microsoft.com/office/spreadsheetml/2009/9/main" objectType="Button" lockText="1"/>
</file>

<file path=xl/ctrlProps/ctrlProp1511.xml><?xml version="1.0" encoding="utf-8"?>
<formControlPr xmlns="http://schemas.microsoft.com/office/spreadsheetml/2009/9/main" objectType="Button" lockText="1"/>
</file>

<file path=xl/ctrlProps/ctrlProp1512.xml><?xml version="1.0" encoding="utf-8"?>
<formControlPr xmlns="http://schemas.microsoft.com/office/spreadsheetml/2009/9/main" objectType="Button" lockText="1"/>
</file>

<file path=xl/ctrlProps/ctrlProp1513.xml><?xml version="1.0" encoding="utf-8"?>
<formControlPr xmlns="http://schemas.microsoft.com/office/spreadsheetml/2009/9/main" objectType="Button" lockText="1"/>
</file>

<file path=xl/ctrlProps/ctrlProp1514.xml><?xml version="1.0" encoding="utf-8"?>
<formControlPr xmlns="http://schemas.microsoft.com/office/spreadsheetml/2009/9/main" objectType="Button" lockText="1"/>
</file>

<file path=xl/ctrlProps/ctrlProp1515.xml><?xml version="1.0" encoding="utf-8"?>
<formControlPr xmlns="http://schemas.microsoft.com/office/spreadsheetml/2009/9/main" objectType="Button" lockText="1"/>
</file>

<file path=xl/ctrlProps/ctrlProp1516.xml><?xml version="1.0" encoding="utf-8"?>
<formControlPr xmlns="http://schemas.microsoft.com/office/spreadsheetml/2009/9/main" objectType="Button" lockText="1"/>
</file>

<file path=xl/ctrlProps/ctrlProp1517.xml><?xml version="1.0" encoding="utf-8"?>
<formControlPr xmlns="http://schemas.microsoft.com/office/spreadsheetml/2009/9/main" objectType="Button" lockText="1"/>
</file>

<file path=xl/ctrlProps/ctrlProp1518.xml><?xml version="1.0" encoding="utf-8"?>
<formControlPr xmlns="http://schemas.microsoft.com/office/spreadsheetml/2009/9/main" objectType="Button" lockText="1"/>
</file>

<file path=xl/ctrlProps/ctrlProp1519.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20.xml><?xml version="1.0" encoding="utf-8"?>
<formControlPr xmlns="http://schemas.microsoft.com/office/spreadsheetml/2009/9/main" objectType="Button" lockText="1"/>
</file>

<file path=xl/ctrlProps/ctrlProp1521.xml><?xml version="1.0" encoding="utf-8"?>
<formControlPr xmlns="http://schemas.microsoft.com/office/spreadsheetml/2009/9/main" objectType="Button" lockText="1"/>
</file>

<file path=xl/ctrlProps/ctrlProp1522.xml><?xml version="1.0" encoding="utf-8"?>
<formControlPr xmlns="http://schemas.microsoft.com/office/spreadsheetml/2009/9/main" objectType="Button" lockText="1"/>
</file>

<file path=xl/ctrlProps/ctrlProp1523.xml><?xml version="1.0" encoding="utf-8"?>
<formControlPr xmlns="http://schemas.microsoft.com/office/spreadsheetml/2009/9/main" objectType="Button" lockText="1"/>
</file>

<file path=xl/ctrlProps/ctrlProp1524.xml><?xml version="1.0" encoding="utf-8"?>
<formControlPr xmlns="http://schemas.microsoft.com/office/spreadsheetml/2009/9/main" objectType="Button" lockText="1"/>
</file>

<file path=xl/ctrlProps/ctrlProp1525.xml><?xml version="1.0" encoding="utf-8"?>
<formControlPr xmlns="http://schemas.microsoft.com/office/spreadsheetml/2009/9/main" objectType="Button" lockText="1"/>
</file>

<file path=xl/ctrlProps/ctrlProp1526.xml><?xml version="1.0" encoding="utf-8"?>
<formControlPr xmlns="http://schemas.microsoft.com/office/spreadsheetml/2009/9/main" objectType="Button" lockText="1"/>
</file>

<file path=xl/ctrlProps/ctrlProp1527.xml><?xml version="1.0" encoding="utf-8"?>
<formControlPr xmlns="http://schemas.microsoft.com/office/spreadsheetml/2009/9/main" objectType="Button" lockText="1"/>
</file>

<file path=xl/ctrlProps/ctrlProp1528.xml><?xml version="1.0" encoding="utf-8"?>
<formControlPr xmlns="http://schemas.microsoft.com/office/spreadsheetml/2009/9/main" objectType="Button" lockText="1"/>
</file>

<file path=xl/ctrlProps/ctrlProp1529.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30.xml><?xml version="1.0" encoding="utf-8"?>
<formControlPr xmlns="http://schemas.microsoft.com/office/spreadsheetml/2009/9/main" objectType="Button" lockText="1"/>
</file>

<file path=xl/ctrlProps/ctrlProp1531.xml><?xml version="1.0" encoding="utf-8"?>
<formControlPr xmlns="http://schemas.microsoft.com/office/spreadsheetml/2009/9/main" objectType="Button" lockText="1"/>
</file>

<file path=xl/ctrlProps/ctrlProp1532.xml><?xml version="1.0" encoding="utf-8"?>
<formControlPr xmlns="http://schemas.microsoft.com/office/spreadsheetml/2009/9/main" objectType="Button" lockText="1"/>
</file>

<file path=xl/ctrlProps/ctrlProp1533.xml><?xml version="1.0" encoding="utf-8"?>
<formControlPr xmlns="http://schemas.microsoft.com/office/spreadsheetml/2009/9/main" objectType="Button" lockText="1"/>
</file>

<file path=xl/ctrlProps/ctrlProp1534.xml><?xml version="1.0" encoding="utf-8"?>
<formControlPr xmlns="http://schemas.microsoft.com/office/spreadsheetml/2009/9/main" objectType="Button" lockText="1"/>
</file>

<file path=xl/ctrlProps/ctrlProp1535.xml><?xml version="1.0" encoding="utf-8"?>
<formControlPr xmlns="http://schemas.microsoft.com/office/spreadsheetml/2009/9/main" objectType="Button" lockText="1"/>
</file>

<file path=xl/ctrlProps/ctrlProp1536.xml><?xml version="1.0" encoding="utf-8"?>
<formControlPr xmlns="http://schemas.microsoft.com/office/spreadsheetml/2009/9/main" objectType="Button" lockText="1"/>
</file>

<file path=xl/ctrlProps/ctrlProp1537.xml><?xml version="1.0" encoding="utf-8"?>
<formControlPr xmlns="http://schemas.microsoft.com/office/spreadsheetml/2009/9/main" objectType="Button" lockText="1"/>
</file>

<file path=xl/ctrlProps/ctrlProp1538.xml><?xml version="1.0" encoding="utf-8"?>
<formControlPr xmlns="http://schemas.microsoft.com/office/spreadsheetml/2009/9/main" objectType="Button" lockText="1"/>
</file>

<file path=xl/ctrlProps/ctrlProp1539.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40.xml><?xml version="1.0" encoding="utf-8"?>
<formControlPr xmlns="http://schemas.microsoft.com/office/spreadsheetml/2009/9/main" objectType="Button" lockText="1"/>
</file>

<file path=xl/ctrlProps/ctrlProp1541.xml><?xml version="1.0" encoding="utf-8"?>
<formControlPr xmlns="http://schemas.microsoft.com/office/spreadsheetml/2009/9/main" objectType="Button" lockText="1"/>
</file>

<file path=xl/ctrlProps/ctrlProp1542.xml><?xml version="1.0" encoding="utf-8"?>
<formControlPr xmlns="http://schemas.microsoft.com/office/spreadsheetml/2009/9/main" objectType="Button" lockText="1"/>
</file>

<file path=xl/ctrlProps/ctrlProp1543.xml><?xml version="1.0" encoding="utf-8"?>
<formControlPr xmlns="http://schemas.microsoft.com/office/spreadsheetml/2009/9/main" objectType="Button" lockText="1"/>
</file>

<file path=xl/ctrlProps/ctrlProp1544.xml><?xml version="1.0" encoding="utf-8"?>
<formControlPr xmlns="http://schemas.microsoft.com/office/spreadsheetml/2009/9/main" objectType="Button" lockText="1"/>
</file>

<file path=xl/ctrlProps/ctrlProp1545.xml><?xml version="1.0" encoding="utf-8"?>
<formControlPr xmlns="http://schemas.microsoft.com/office/spreadsheetml/2009/9/main" objectType="Button" lockText="1"/>
</file>

<file path=xl/ctrlProps/ctrlProp1546.xml><?xml version="1.0" encoding="utf-8"?>
<formControlPr xmlns="http://schemas.microsoft.com/office/spreadsheetml/2009/9/main" objectType="Button" lockText="1"/>
</file>

<file path=xl/ctrlProps/ctrlProp1547.xml><?xml version="1.0" encoding="utf-8"?>
<formControlPr xmlns="http://schemas.microsoft.com/office/spreadsheetml/2009/9/main" objectType="Button" lockText="1"/>
</file>

<file path=xl/ctrlProps/ctrlProp1548.xml><?xml version="1.0" encoding="utf-8"?>
<formControlPr xmlns="http://schemas.microsoft.com/office/spreadsheetml/2009/9/main" objectType="Button" lockText="1"/>
</file>

<file path=xl/ctrlProps/ctrlProp1549.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50.xml><?xml version="1.0" encoding="utf-8"?>
<formControlPr xmlns="http://schemas.microsoft.com/office/spreadsheetml/2009/9/main" objectType="Button" lockText="1"/>
</file>

<file path=xl/ctrlProps/ctrlProp1551.xml><?xml version="1.0" encoding="utf-8"?>
<formControlPr xmlns="http://schemas.microsoft.com/office/spreadsheetml/2009/9/main" objectType="Button" lockText="1"/>
</file>

<file path=xl/ctrlProps/ctrlProp1552.xml><?xml version="1.0" encoding="utf-8"?>
<formControlPr xmlns="http://schemas.microsoft.com/office/spreadsheetml/2009/9/main" objectType="Button" lockText="1"/>
</file>

<file path=xl/ctrlProps/ctrlProp1553.xml><?xml version="1.0" encoding="utf-8"?>
<formControlPr xmlns="http://schemas.microsoft.com/office/spreadsheetml/2009/9/main" objectType="Button" lockText="1"/>
</file>

<file path=xl/ctrlProps/ctrlProp1554.xml><?xml version="1.0" encoding="utf-8"?>
<formControlPr xmlns="http://schemas.microsoft.com/office/spreadsheetml/2009/9/main" objectType="Button" lockText="1"/>
</file>

<file path=xl/ctrlProps/ctrlProp1555.xml><?xml version="1.0" encoding="utf-8"?>
<formControlPr xmlns="http://schemas.microsoft.com/office/spreadsheetml/2009/9/main" objectType="Button" lockText="1"/>
</file>

<file path=xl/ctrlProps/ctrlProp1556.xml><?xml version="1.0" encoding="utf-8"?>
<formControlPr xmlns="http://schemas.microsoft.com/office/spreadsheetml/2009/9/main" objectType="Button" lockText="1"/>
</file>

<file path=xl/ctrlProps/ctrlProp1557.xml><?xml version="1.0" encoding="utf-8"?>
<formControlPr xmlns="http://schemas.microsoft.com/office/spreadsheetml/2009/9/main" objectType="Button" lockText="1"/>
</file>

<file path=xl/ctrlProps/ctrlProp1558.xml><?xml version="1.0" encoding="utf-8"?>
<formControlPr xmlns="http://schemas.microsoft.com/office/spreadsheetml/2009/9/main" objectType="Button" lockText="1"/>
</file>

<file path=xl/ctrlProps/ctrlProp1559.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60.xml><?xml version="1.0" encoding="utf-8"?>
<formControlPr xmlns="http://schemas.microsoft.com/office/spreadsheetml/2009/9/main" objectType="Button" lockText="1"/>
</file>

<file path=xl/ctrlProps/ctrlProp1561.xml><?xml version="1.0" encoding="utf-8"?>
<formControlPr xmlns="http://schemas.microsoft.com/office/spreadsheetml/2009/9/main" objectType="Button" lockText="1"/>
</file>

<file path=xl/ctrlProps/ctrlProp1562.xml><?xml version="1.0" encoding="utf-8"?>
<formControlPr xmlns="http://schemas.microsoft.com/office/spreadsheetml/2009/9/main" objectType="Button" lockText="1"/>
</file>

<file path=xl/ctrlProps/ctrlProp1563.xml><?xml version="1.0" encoding="utf-8"?>
<formControlPr xmlns="http://schemas.microsoft.com/office/spreadsheetml/2009/9/main" objectType="Button" lockText="1"/>
</file>

<file path=xl/ctrlProps/ctrlProp1564.xml><?xml version="1.0" encoding="utf-8"?>
<formControlPr xmlns="http://schemas.microsoft.com/office/spreadsheetml/2009/9/main" objectType="Button" lockText="1"/>
</file>

<file path=xl/ctrlProps/ctrlProp1565.xml><?xml version="1.0" encoding="utf-8"?>
<formControlPr xmlns="http://schemas.microsoft.com/office/spreadsheetml/2009/9/main" objectType="Button" lockText="1"/>
</file>

<file path=xl/ctrlProps/ctrlProp1566.xml><?xml version="1.0" encoding="utf-8"?>
<formControlPr xmlns="http://schemas.microsoft.com/office/spreadsheetml/2009/9/main" objectType="Button" lockText="1"/>
</file>

<file path=xl/ctrlProps/ctrlProp1567.xml><?xml version="1.0" encoding="utf-8"?>
<formControlPr xmlns="http://schemas.microsoft.com/office/spreadsheetml/2009/9/main" objectType="Button" lockText="1"/>
</file>

<file path=xl/ctrlProps/ctrlProp1568.xml><?xml version="1.0" encoding="utf-8"?>
<formControlPr xmlns="http://schemas.microsoft.com/office/spreadsheetml/2009/9/main" objectType="Button" lockText="1"/>
</file>

<file path=xl/ctrlProps/ctrlProp1569.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70.xml><?xml version="1.0" encoding="utf-8"?>
<formControlPr xmlns="http://schemas.microsoft.com/office/spreadsheetml/2009/9/main" objectType="Button" lockText="1"/>
</file>

<file path=xl/ctrlProps/ctrlProp1571.xml><?xml version="1.0" encoding="utf-8"?>
<formControlPr xmlns="http://schemas.microsoft.com/office/spreadsheetml/2009/9/main" objectType="Button" lockText="1"/>
</file>

<file path=xl/ctrlProps/ctrlProp1572.xml><?xml version="1.0" encoding="utf-8"?>
<formControlPr xmlns="http://schemas.microsoft.com/office/spreadsheetml/2009/9/main" objectType="Button" lockText="1"/>
</file>

<file path=xl/ctrlProps/ctrlProp1573.xml><?xml version="1.0" encoding="utf-8"?>
<formControlPr xmlns="http://schemas.microsoft.com/office/spreadsheetml/2009/9/main" objectType="Button" lockText="1"/>
</file>

<file path=xl/ctrlProps/ctrlProp1574.xml><?xml version="1.0" encoding="utf-8"?>
<formControlPr xmlns="http://schemas.microsoft.com/office/spreadsheetml/2009/9/main" objectType="Button" lockText="1"/>
</file>

<file path=xl/ctrlProps/ctrlProp1575.xml><?xml version="1.0" encoding="utf-8"?>
<formControlPr xmlns="http://schemas.microsoft.com/office/spreadsheetml/2009/9/main" objectType="Button" lockText="1"/>
</file>

<file path=xl/ctrlProps/ctrlProp1576.xml><?xml version="1.0" encoding="utf-8"?>
<formControlPr xmlns="http://schemas.microsoft.com/office/spreadsheetml/2009/9/main" objectType="Button" lockText="1"/>
</file>

<file path=xl/ctrlProps/ctrlProp1577.xml><?xml version="1.0" encoding="utf-8"?>
<formControlPr xmlns="http://schemas.microsoft.com/office/spreadsheetml/2009/9/main" objectType="Button" lockText="1"/>
</file>

<file path=xl/ctrlProps/ctrlProp1578.xml><?xml version="1.0" encoding="utf-8"?>
<formControlPr xmlns="http://schemas.microsoft.com/office/spreadsheetml/2009/9/main" objectType="Button" lockText="1"/>
</file>

<file path=xl/ctrlProps/ctrlProp1579.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80.xml><?xml version="1.0" encoding="utf-8"?>
<formControlPr xmlns="http://schemas.microsoft.com/office/spreadsheetml/2009/9/main" objectType="Button" lockText="1"/>
</file>

<file path=xl/ctrlProps/ctrlProp1581.xml><?xml version="1.0" encoding="utf-8"?>
<formControlPr xmlns="http://schemas.microsoft.com/office/spreadsheetml/2009/9/main" objectType="Button" lockText="1"/>
</file>

<file path=xl/ctrlProps/ctrlProp1582.xml><?xml version="1.0" encoding="utf-8"?>
<formControlPr xmlns="http://schemas.microsoft.com/office/spreadsheetml/2009/9/main" objectType="Button" lockText="1"/>
</file>

<file path=xl/ctrlProps/ctrlProp1583.xml><?xml version="1.0" encoding="utf-8"?>
<formControlPr xmlns="http://schemas.microsoft.com/office/spreadsheetml/2009/9/main" objectType="Button" lockText="1"/>
</file>

<file path=xl/ctrlProps/ctrlProp1584.xml><?xml version="1.0" encoding="utf-8"?>
<formControlPr xmlns="http://schemas.microsoft.com/office/spreadsheetml/2009/9/main" objectType="Button" lockText="1"/>
</file>

<file path=xl/ctrlProps/ctrlProp1585.xml><?xml version="1.0" encoding="utf-8"?>
<formControlPr xmlns="http://schemas.microsoft.com/office/spreadsheetml/2009/9/main" objectType="Button" lockText="1"/>
</file>

<file path=xl/ctrlProps/ctrlProp1586.xml><?xml version="1.0" encoding="utf-8"?>
<formControlPr xmlns="http://schemas.microsoft.com/office/spreadsheetml/2009/9/main" objectType="Button" lockText="1"/>
</file>

<file path=xl/ctrlProps/ctrlProp1587.xml><?xml version="1.0" encoding="utf-8"?>
<formControlPr xmlns="http://schemas.microsoft.com/office/spreadsheetml/2009/9/main" objectType="Button" lockText="1"/>
</file>

<file path=xl/ctrlProps/ctrlProp1588.xml><?xml version="1.0" encoding="utf-8"?>
<formControlPr xmlns="http://schemas.microsoft.com/office/spreadsheetml/2009/9/main" objectType="Button" lockText="1"/>
</file>

<file path=xl/ctrlProps/ctrlProp1589.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590.xml><?xml version="1.0" encoding="utf-8"?>
<formControlPr xmlns="http://schemas.microsoft.com/office/spreadsheetml/2009/9/main" objectType="Button" lockText="1"/>
</file>

<file path=xl/ctrlProps/ctrlProp1591.xml><?xml version="1.0" encoding="utf-8"?>
<formControlPr xmlns="http://schemas.microsoft.com/office/spreadsheetml/2009/9/main" objectType="Button" lockText="1"/>
</file>

<file path=xl/ctrlProps/ctrlProp1592.xml><?xml version="1.0" encoding="utf-8"?>
<formControlPr xmlns="http://schemas.microsoft.com/office/spreadsheetml/2009/9/main" objectType="Button" lockText="1"/>
</file>

<file path=xl/ctrlProps/ctrlProp1593.xml><?xml version="1.0" encoding="utf-8"?>
<formControlPr xmlns="http://schemas.microsoft.com/office/spreadsheetml/2009/9/main" objectType="Button" lockText="1"/>
</file>

<file path=xl/ctrlProps/ctrlProp1594.xml><?xml version="1.0" encoding="utf-8"?>
<formControlPr xmlns="http://schemas.microsoft.com/office/spreadsheetml/2009/9/main" objectType="Button" lockText="1"/>
</file>

<file path=xl/ctrlProps/ctrlProp1595.xml><?xml version="1.0" encoding="utf-8"?>
<formControlPr xmlns="http://schemas.microsoft.com/office/spreadsheetml/2009/9/main" objectType="Button" lockText="1"/>
</file>

<file path=xl/ctrlProps/ctrlProp1596.xml><?xml version="1.0" encoding="utf-8"?>
<formControlPr xmlns="http://schemas.microsoft.com/office/spreadsheetml/2009/9/main" objectType="Button" lockText="1"/>
</file>

<file path=xl/ctrlProps/ctrlProp1597.xml><?xml version="1.0" encoding="utf-8"?>
<formControlPr xmlns="http://schemas.microsoft.com/office/spreadsheetml/2009/9/main" objectType="Button" lockText="1"/>
</file>

<file path=xl/ctrlProps/ctrlProp1598.xml><?xml version="1.0" encoding="utf-8"?>
<formControlPr xmlns="http://schemas.microsoft.com/office/spreadsheetml/2009/9/main" objectType="Button" lockText="1"/>
</file>

<file path=xl/ctrlProps/ctrlProp159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00.xml><?xml version="1.0" encoding="utf-8"?>
<formControlPr xmlns="http://schemas.microsoft.com/office/spreadsheetml/2009/9/main" objectType="Button" lockText="1"/>
</file>

<file path=xl/ctrlProps/ctrlProp1601.xml><?xml version="1.0" encoding="utf-8"?>
<formControlPr xmlns="http://schemas.microsoft.com/office/spreadsheetml/2009/9/main" objectType="Button" lockText="1"/>
</file>

<file path=xl/ctrlProps/ctrlProp1602.xml><?xml version="1.0" encoding="utf-8"?>
<formControlPr xmlns="http://schemas.microsoft.com/office/spreadsheetml/2009/9/main" objectType="Button" lockText="1"/>
</file>

<file path=xl/ctrlProps/ctrlProp1603.xml><?xml version="1.0" encoding="utf-8"?>
<formControlPr xmlns="http://schemas.microsoft.com/office/spreadsheetml/2009/9/main" objectType="Button" lockText="1"/>
</file>

<file path=xl/ctrlProps/ctrlProp1604.xml><?xml version="1.0" encoding="utf-8"?>
<formControlPr xmlns="http://schemas.microsoft.com/office/spreadsheetml/2009/9/main" objectType="Button" lockText="1"/>
</file>

<file path=xl/ctrlProps/ctrlProp1605.xml><?xml version="1.0" encoding="utf-8"?>
<formControlPr xmlns="http://schemas.microsoft.com/office/spreadsheetml/2009/9/main" objectType="Button" lockText="1"/>
</file>

<file path=xl/ctrlProps/ctrlProp1606.xml><?xml version="1.0" encoding="utf-8"?>
<formControlPr xmlns="http://schemas.microsoft.com/office/spreadsheetml/2009/9/main" objectType="Button" lockText="1"/>
</file>

<file path=xl/ctrlProps/ctrlProp1607.xml><?xml version="1.0" encoding="utf-8"?>
<formControlPr xmlns="http://schemas.microsoft.com/office/spreadsheetml/2009/9/main" objectType="Button" lockText="1"/>
</file>

<file path=xl/ctrlProps/ctrlProp1608.xml><?xml version="1.0" encoding="utf-8"?>
<formControlPr xmlns="http://schemas.microsoft.com/office/spreadsheetml/2009/9/main" objectType="Button" lockText="1"/>
</file>

<file path=xl/ctrlProps/ctrlProp1609.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10.xml><?xml version="1.0" encoding="utf-8"?>
<formControlPr xmlns="http://schemas.microsoft.com/office/spreadsheetml/2009/9/main" objectType="Button" lockText="1"/>
</file>

<file path=xl/ctrlProps/ctrlProp1611.xml><?xml version="1.0" encoding="utf-8"?>
<formControlPr xmlns="http://schemas.microsoft.com/office/spreadsheetml/2009/9/main" objectType="Button" lockText="1"/>
</file>

<file path=xl/ctrlProps/ctrlProp1612.xml><?xml version="1.0" encoding="utf-8"?>
<formControlPr xmlns="http://schemas.microsoft.com/office/spreadsheetml/2009/9/main" objectType="Button" lockText="1"/>
</file>

<file path=xl/ctrlProps/ctrlProp1613.xml><?xml version="1.0" encoding="utf-8"?>
<formControlPr xmlns="http://schemas.microsoft.com/office/spreadsheetml/2009/9/main" objectType="Button" lockText="1"/>
</file>

<file path=xl/ctrlProps/ctrlProp1614.xml><?xml version="1.0" encoding="utf-8"?>
<formControlPr xmlns="http://schemas.microsoft.com/office/spreadsheetml/2009/9/main" objectType="Button" lockText="1"/>
</file>

<file path=xl/ctrlProps/ctrlProp1615.xml><?xml version="1.0" encoding="utf-8"?>
<formControlPr xmlns="http://schemas.microsoft.com/office/spreadsheetml/2009/9/main" objectType="Button" lockText="1"/>
</file>

<file path=xl/ctrlProps/ctrlProp1616.xml><?xml version="1.0" encoding="utf-8"?>
<formControlPr xmlns="http://schemas.microsoft.com/office/spreadsheetml/2009/9/main" objectType="Button" lockText="1"/>
</file>

<file path=xl/ctrlProps/ctrlProp1617.xml><?xml version="1.0" encoding="utf-8"?>
<formControlPr xmlns="http://schemas.microsoft.com/office/spreadsheetml/2009/9/main" objectType="Button" lockText="1"/>
</file>

<file path=xl/ctrlProps/ctrlProp1618.xml><?xml version="1.0" encoding="utf-8"?>
<formControlPr xmlns="http://schemas.microsoft.com/office/spreadsheetml/2009/9/main" objectType="Button" lockText="1"/>
</file>

<file path=xl/ctrlProps/ctrlProp1619.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20.xml><?xml version="1.0" encoding="utf-8"?>
<formControlPr xmlns="http://schemas.microsoft.com/office/spreadsheetml/2009/9/main" objectType="Button" lockText="1"/>
</file>

<file path=xl/ctrlProps/ctrlProp1621.xml><?xml version="1.0" encoding="utf-8"?>
<formControlPr xmlns="http://schemas.microsoft.com/office/spreadsheetml/2009/9/main" objectType="Button" lockText="1"/>
</file>

<file path=xl/ctrlProps/ctrlProp1622.xml><?xml version="1.0" encoding="utf-8"?>
<formControlPr xmlns="http://schemas.microsoft.com/office/spreadsheetml/2009/9/main" objectType="Button" lockText="1"/>
</file>

<file path=xl/ctrlProps/ctrlProp1623.xml><?xml version="1.0" encoding="utf-8"?>
<formControlPr xmlns="http://schemas.microsoft.com/office/spreadsheetml/2009/9/main" objectType="Button" lockText="1"/>
</file>

<file path=xl/ctrlProps/ctrlProp1624.xml><?xml version="1.0" encoding="utf-8"?>
<formControlPr xmlns="http://schemas.microsoft.com/office/spreadsheetml/2009/9/main" objectType="Button" lockText="1"/>
</file>

<file path=xl/ctrlProps/ctrlProp1625.xml><?xml version="1.0" encoding="utf-8"?>
<formControlPr xmlns="http://schemas.microsoft.com/office/spreadsheetml/2009/9/main" objectType="Button" lockText="1"/>
</file>

<file path=xl/ctrlProps/ctrlProp1626.xml><?xml version="1.0" encoding="utf-8"?>
<formControlPr xmlns="http://schemas.microsoft.com/office/spreadsheetml/2009/9/main" objectType="Button" lockText="1"/>
</file>

<file path=xl/ctrlProps/ctrlProp1627.xml><?xml version="1.0" encoding="utf-8"?>
<formControlPr xmlns="http://schemas.microsoft.com/office/spreadsheetml/2009/9/main" objectType="Button" lockText="1"/>
</file>

<file path=xl/ctrlProps/ctrlProp1628.xml><?xml version="1.0" encoding="utf-8"?>
<formControlPr xmlns="http://schemas.microsoft.com/office/spreadsheetml/2009/9/main" objectType="Button" lockText="1"/>
</file>

<file path=xl/ctrlProps/ctrlProp1629.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30.xml><?xml version="1.0" encoding="utf-8"?>
<formControlPr xmlns="http://schemas.microsoft.com/office/spreadsheetml/2009/9/main" objectType="Button" lockText="1"/>
</file>

<file path=xl/ctrlProps/ctrlProp1631.xml><?xml version="1.0" encoding="utf-8"?>
<formControlPr xmlns="http://schemas.microsoft.com/office/spreadsheetml/2009/9/main" objectType="Button" lockText="1"/>
</file>

<file path=xl/ctrlProps/ctrlProp1632.xml><?xml version="1.0" encoding="utf-8"?>
<formControlPr xmlns="http://schemas.microsoft.com/office/spreadsheetml/2009/9/main" objectType="Button" lockText="1"/>
</file>

<file path=xl/ctrlProps/ctrlProp1633.xml><?xml version="1.0" encoding="utf-8"?>
<formControlPr xmlns="http://schemas.microsoft.com/office/spreadsheetml/2009/9/main" objectType="Button" lockText="1"/>
</file>

<file path=xl/ctrlProps/ctrlProp1634.xml><?xml version="1.0" encoding="utf-8"?>
<formControlPr xmlns="http://schemas.microsoft.com/office/spreadsheetml/2009/9/main" objectType="Button" lockText="1"/>
</file>

<file path=xl/ctrlProps/ctrlProp1635.xml><?xml version="1.0" encoding="utf-8"?>
<formControlPr xmlns="http://schemas.microsoft.com/office/spreadsheetml/2009/9/main" objectType="Button" lockText="1"/>
</file>

<file path=xl/ctrlProps/ctrlProp1636.xml><?xml version="1.0" encoding="utf-8"?>
<formControlPr xmlns="http://schemas.microsoft.com/office/spreadsheetml/2009/9/main" objectType="Button" lockText="1"/>
</file>

<file path=xl/ctrlProps/ctrlProp1637.xml><?xml version="1.0" encoding="utf-8"?>
<formControlPr xmlns="http://schemas.microsoft.com/office/spreadsheetml/2009/9/main" objectType="Button" lockText="1"/>
</file>

<file path=xl/ctrlProps/ctrlProp1638.xml><?xml version="1.0" encoding="utf-8"?>
<formControlPr xmlns="http://schemas.microsoft.com/office/spreadsheetml/2009/9/main" objectType="Button" lockText="1"/>
</file>

<file path=xl/ctrlProps/ctrlProp1639.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40.xml><?xml version="1.0" encoding="utf-8"?>
<formControlPr xmlns="http://schemas.microsoft.com/office/spreadsheetml/2009/9/main" objectType="Button" lockText="1"/>
</file>

<file path=xl/ctrlProps/ctrlProp1641.xml><?xml version="1.0" encoding="utf-8"?>
<formControlPr xmlns="http://schemas.microsoft.com/office/spreadsheetml/2009/9/main" objectType="Button" lockText="1"/>
</file>

<file path=xl/ctrlProps/ctrlProp1642.xml><?xml version="1.0" encoding="utf-8"?>
<formControlPr xmlns="http://schemas.microsoft.com/office/spreadsheetml/2009/9/main" objectType="Button" lockText="1"/>
</file>

<file path=xl/ctrlProps/ctrlProp1643.xml><?xml version="1.0" encoding="utf-8"?>
<formControlPr xmlns="http://schemas.microsoft.com/office/spreadsheetml/2009/9/main" objectType="Button" lockText="1"/>
</file>

<file path=xl/ctrlProps/ctrlProp1644.xml><?xml version="1.0" encoding="utf-8"?>
<formControlPr xmlns="http://schemas.microsoft.com/office/spreadsheetml/2009/9/main" objectType="Button" lockText="1"/>
</file>

<file path=xl/ctrlProps/ctrlProp1645.xml><?xml version="1.0" encoding="utf-8"?>
<formControlPr xmlns="http://schemas.microsoft.com/office/spreadsheetml/2009/9/main" objectType="Button" lockText="1"/>
</file>

<file path=xl/ctrlProps/ctrlProp1646.xml><?xml version="1.0" encoding="utf-8"?>
<formControlPr xmlns="http://schemas.microsoft.com/office/spreadsheetml/2009/9/main" objectType="Button" lockText="1"/>
</file>

<file path=xl/ctrlProps/ctrlProp1647.xml><?xml version="1.0" encoding="utf-8"?>
<formControlPr xmlns="http://schemas.microsoft.com/office/spreadsheetml/2009/9/main" objectType="Button" lockText="1"/>
</file>

<file path=xl/ctrlProps/ctrlProp1648.xml><?xml version="1.0" encoding="utf-8"?>
<formControlPr xmlns="http://schemas.microsoft.com/office/spreadsheetml/2009/9/main" objectType="Button" lockText="1"/>
</file>

<file path=xl/ctrlProps/ctrlProp1649.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50.xml><?xml version="1.0" encoding="utf-8"?>
<formControlPr xmlns="http://schemas.microsoft.com/office/spreadsheetml/2009/9/main" objectType="Button" lockText="1"/>
</file>

<file path=xl/ctrlProps/ctrlProp1651.xml><?xml version="1.0" encoding="utf-8"?>
<formControlPr xmlns="http://schemas.microsoft.com/office/spreadsheetml/2009/9/main" objectType="Button" lockText="1"/>
</file>

<file path=xl/ctrlProps/ctrlProp1652.xml><?xml version="1.0" encoding="utf-8"?>
<formControlPr xmlns="http://schemas.microsoft.com/office/spreadsheetml/2009/9/main" objectType="Button" lockText="1"/>
</file>

<file path=xl/ctrlProps/ctrlProp1653.xml><?xml version="1.0" encoding="utf-8"?>
<formControlPr xmlns="http://schemas.microsoft.com/office/spreadsheetml/2009/9/main" objectType="Button" lockText="1"/>
</file>

<file path=xl/ctrlProps/ctrlProp1654.xml><?xml version="1.0" encoding="utf-8"?>
<formControlPr xmlns="http://schemas.microsoft.com/office/spreadsheetml/2009/9/main" objectType="Button" lockText="1"/>
</file>

<file path=xl/ctrlProps/ctrlProp1655.xml><?xml version="1.0" encoding="utf-8"?>
<formControlPr xmlns="http://schemas.microsoft.com/office/spreadsheetml/2009/9/main" objectType="Button" lockText="1"/>
</file>

<file path=xl/ctrlProps/ctrlProp1656.xml><?xml version="1.0" encoding="utf-8"?>
<formControlPr xmlns="http://schemas.microsoft.com/office/spreadsheetml/2009/9/main" objectType="Button" lockText="1"/>
</file>

<file path=xl/ctrlProps/ctrlProp1657.xml><?xml version="1.0" encoding="utf-8"?>
<formControlPr xmlns="http://schemas.microsoft.com/office/spreadsheetml/2009/9/main" objectType="Button" lockText="1"/>
</file>

<file path=xl/ctrlProps/ctrlProp1658.xml><?xml version="1.0" encoding="utf-8"?>
<formControlPr xmlns="http://schemas.microsoft.com/office/spreadsheetml/2009/9/main" objectType="Button" lockText="1"/>
</file>

<file path=xl/ctrlProps/ctrlProp1659.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60.xml><?xml version="1.0" encoding="utf-8"?>
<formControlPr xmlns="http://schemas.microsoft.com/office/spreadsheetml/2009/9/main" objectType="Button" lockText="1"/>
</file>

<file path=xl/ctrlProps/ctrlProp1661.xml><?xml version="1.0" encoding="utf-8"?>
<formControlPr xmlns="http://schemas.microsoft.com/office/spreadsheetml/2009/9/main" objectType="Button" lockText="1"/>
</file>

<file path=xl/ctrlProps/ctrlProp1662.xml><?xml version="1.0" encoding="utf-8"?>
<formControlPr xmlns="http://schemas.microsoft.com/office/spreadsheetml/2009/9/main" objectType="Button" lockText="1"/>
</file>

<file path=xl/ctrlProps/ctrlProp1663.xml><?xml version="1.0" encoding="utf-8"?>
<formControlPr xmlns="http://schemas.microsoft.com/office/spreadsheetml/2009/9/main" objectType="Button" lockText="1"/>
</file>

<file path=xl/ctrlProps/ctrlProp1664.xml><?xml version="1.0" encoding="utf-8"?>
<formControlPr xmlns="http://schemas.microsoft.com/office/spreadsheetml/2009/9/main" objectType="Button" lockText="1"/>
</file>

<file path=xl/ctrlProps/ctrlProp1665.xml><?xml version="1.0" encoding="utf-8"?>
<formControlPr xmlns="http://schemas.microsoft.com/office/spreadsheetml/2009/9/main" objectType="Button" lockText="1"/>
</file>

<file path=xl/ctrlProps/ctrlProp1666.xml><?xml version="1.0" encoding="utf-8"?>
<formControlPr xmlns="http://schemas.microsoft.com/office/spreadsheetml/2009/9/main" objectType="Button" lockText="1"/>
</file>

<file path=xl/ctrlProps/ctrlProp1667.xml><?xml version="1.0" encoding="utf-8"?>
<formControlPr xmlns="http://schemas.microsoft.com/office/spreadsheetml/2009/9/main" objectType="Button" lockText="1"/>
</file>

<file path=xl/ctrlProps/ctrlProp1668.xml><?xml version="1.0" encoding="utf-8"?>
<formControlPr xmlns="http://schemas.microsoft.com/office/spreadsheetml/2009/9/main" objectType="Button" lockText="1"/>
</file>

<file path=xl/ctrlProps/ctrlProp1669.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70.xml><?xml version="1.0" encoding="utf-8"?>
<formControlPr xmlns="http://schemas.microsoft.com/office/spreadsheetml/2009/9/main" objectType="Button" lockText="1"/>
</file>

<file path=xl/ctrlProps/ctrlProp1671.xml><?xml version="1.0" encoding="utf-8"?>
<formControlPr xmlns="http://schemas.microsoft.com/office/spreadsheetml/2009/9/main" objectType="Button" lockText="1"/>
</file>

<file path=xl/ctrlProps/ctrlProp1672.xml><?xml version="1.0" encoding="utf-8"?>
<formControlPr xmlns="http://schemas.microsoft.com/office/spreadsheetml/2009/9/main" objectType="Button" lockText="1"/>
</file>

<file path=xl/ctrlProps/ctrlProp1673.xml><?xml version="1.0" encoding="utf-8"?>
<formControlPr xmlns="http://schemas.microsoft.com/office/spreadsheetml/2009/9/main" objectType="Button" lockText="1"/>
</file>

<file path=xl/ctrlProps/ctrlProp1674.xml><?xml version="1.0" encoding="utf-8"?>
<formControlPr xmlns="http://schemas.microsoft.com/office/spreadsheetml/2009/9/main" objectType="Button" lockText="1"/>
</file>

<file path=xl/ctrlProps/ctrlProp1675.xml><?xml version="1.0" encoding="utf-8"?>
<formControlPr xmlns="http://schemas.microsoft.com/office/spreadsheetml/2009/9/main" objectType="Button" lockText="1"/>
</file>

<file path=xl/ctrlProps/ctrlProp1676.xml><?xml version="1.0" encoding="utf-8"?>
<formControlPr xmlns="http://schemas.microsoft.com/office/spreadsheetml/2009/9/main" objectType="Button" lockText="1"/>
</file>

<file path=xl/ctrlProps/ctrlProp1677.xml><?xml version="1.0" encoding="utf-8"?>
<formControlPr xmlns="http://schemas.microsoft.com/office/spreadsheetml/2009/9/main" objectType="Button" lockText="1"/>
</file>

<file path=xl/ctrlProps/ctrlProp1678.xml><?xml version="1.0" encoding="utf-8"?>
<formControlPr xmlns="http://schemas.microsoft.com/office/spreadsheetml/2009/9/main" objectType="Button" lockText="1"/>
</file>

<file path=xl/ctrlProps/ctrlProp1679.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80.xml><?xml version="1.0" encoding="utf-8"?>
<formControlPr xmlns="http://schemas.microsoft.com/office/spreadsheetml/2009/9/main" objectType="Button" lockText="1"/>
</file>

<file path=xl/ctrlProps/ctrlProp1681.xml><?xml version="1.0" encoding="utf-8"?>
<formControlPr xmlns="http://schemas.microsoft.com/office/spreadsheetml/2009/9/main" objectType="Button" lockText="1"/>
</file>

<file path=xl/ctrlProps/ctrlProp1682.xml><?xml version="1.0" encoding="utf-8"?>
<formControlPr xmlns="http://schemas.microsoft.com/office/spreadsheetml/2009/9/main" objectType="Button" lockText="1"/>
</file>

<file path=xl/ctrlProps/ctrlProp1683.xml><?xml version="1.0" encoding="utf-8"?>
<formControlPr xmlns="http://schemas.microsoft.com/office/spreadsheetml/2009/9/main" objectType="Button" lockText="1"/>
</file>

<file path=xl/ctrlProps/ctrlProp1684.xml><?xml version="1.0" encoding="utf-8"?>
<formControlPr xmlns="http://schemas.microsoft.com/office/spreadsheetml/2009/9/main" objectType="Button" lockText="1"/>
</file>

<file path=xl/ctrlProps/ctrlProp1685.xml><?xml version="1.0" encoding="utf-8"?>
<formControlPr xmlns="http://schemas.microsoft.com/office/spreadsheetml/2009/9/main" objectType="Button" lockText="1"/>
</file>

<file path=xl/ctrlProps/ctrlProp1686.xml><?xml version="1.0" encoding="utf-8"?>
<formControlPr xmlns="http://schemas.microsoft.com/office/spreadsheetml/2009/9/main" objectType="Button" lockText="1"/>
</file>

<file path=xl/ctrlProps/ctrlProp1687.xml><?xml version="1.0" encoding="utf-8"?>
<formControlPr xmlns="http://schemas.microsoft.com/office/spreadsheetml/2009/9/main" objectType="Button" lockText="1"/>
</file>

<file path=xl/ctrlProps/ctrlProp1688.xml><?xml version="1.0" encoding="utf-8"?>
<formControlPr xmlns="http://schemas.microsoft.com/office/spreadsheetml/2009/9/main" objectType="Button" lockText="1"/>
</file>

<file path=xl/ctrlProps/ctrlProp1689.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690.xml><?xml version="1.0" encoding="utf-8"?>
<formControlPr xmlns="http://schemas.microsoft.com/office/spreadsheetml/2009/9/main" objectType="Button" lockText="1"/>
</file>

<file path=xl/ctrlProps/ctrlProp1691.xml><?xml version="1.0" encoding="utf-8"?>
<formControlPr xmlns="http://schemas.microsoft.com/office/spreadsheetml/2009/9/main" objectType="Button" lockText="1"/>
</file>

<file path=xl/ctrlProps/ctrlProp1692.xml><?xml version="1.0" encoding="utf-8"?>
<formControlPr xmlns="http://schemas.microsoft.com/office/spreadsheetml/2009/9/main" objectType="Button" lockText="1"/>
</file>

<file path=xl/ctrlProps/ctrlProp1693.xml><?xml version="1.0" encoding="utf-8"?>
<formControlPr xmlns="http://schemas.microsoft.com/office/spreadsheetml/2009/9/main" objectType="Button" lockText="1"/>
</file>

<file path=xl/ctrlProps/ctrlProp1694.xml><?xml version="1.0" encoding="utf-8"?>
<formControlPr xmlns="http://schemas.microsoft.com/office/spreadsheetml/2009/9/main" objectType="Button" lockText="1"/>
</file>

<file path=xl/ctrlProps/ctrlProp1695.xml><?xml version="1.0" encoding="utf-8"?>
<formControlPr xmlns="http://schemas.microsoft.com/office/spreadsheetml/2009/9/main" objectType="Button" lockText="1"/>
</file>

<file path=xl/ctrlProps/ctrlProp1696.xml><?xml version="1.0" encoding="utf-8"?>
<formControlPr xmlns="http://schemas.microsoft.com/office/spreadsheetml/2009/9/main" objectType="Button" lockText="1"/>
</file>

<file path=xl/ctrlProps/ctrlProp1697.xml><?xml version="1.0" encoding="utf-8"?>
<formControlPr xmlns="http://schemas.microsoft.com/office/spreadsheetml/2009/9/main" objectType="Button" lockText="1"/>
</file>

<file path=xl/ctrlProps/ctrlProp1698.xml><?xml version="1.0" encoding="utf-8"?>
<formControlPr xmlns="http://schemas.microsoft.com/office/spreadsheetml/2009/9/main" objectType="Button" lockText="1"/>
</file>

<file path=xl/ctrlProps/ctrlProp169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00.xml><?xml version="1.0" encoding="utf-8"?>
<formControlPr xmlns="http://schemas.microsoft.com/office/spreadsheetml/2009/9/main" objectType="Button" lockText="1"/>
</file>

<file path=xl/ctrlProps/ctrlProp1701.xml><?xml version="1.0" encoding="utf-8"?>
<formControlPr xmlns="http://schemas.microsoft.com/office/spreadsheetml/2009/9/main" objectType="Button" lockText="1"/>
</file>

<file path=xl/ctrlProps/ctrlProp1702.xml><?xml version="1.0" encoding="utf-8"?>
<formControlPr xmlns="http://schemas.microsoft.com/office/spreadsheetml/2009/9/main" objectType="Button" lockText="1"/>
</file>

<file path=xl/ctrlProps/ctrlProp1703.xml><?xml version="1.0" encoding="utf-8"?>
<formControlPr xmlns="http://schemas.microsoft.com/office/spreadsheetml/2009/9/main" objectType="Button" lockText="1"/>
</file>

<file path=xl/ctrlProps/ctrlProp1704.xml><?xml version="1.0" encoding="utf-8"?>
<formControlPr xmlns="http://schemas.microsoft.com/office/spreadsheetml/2009/9/main" objectType="Button" lockText="1"/>
</file>

<file path=xl/ctrlProps/ctrlProp1705.xml><?xml version="1.0" encoding="utf-8"?>
<formControlPr xmlns="http://schemas.microsoft.com/office/spreadsheetml/2009/9/main" objectType="Button" lockText="1"/>
</file>

<file path=xl/ctrlProps/ctrlProp1706.xml><?xml version="1.0" encoding="utf-8"?>
<formControlPr xmlns="http://schemas.microsoft.com/office/spreadsheetml/2009/9/main" objectType="Button" lockText="1"/>
</file>

<file path=xl/ctrlProps/ctrlProp1707.xml><?xml version="1.0" encoding="utf-8"?>
<formControlPr xmlns="http://schemas.microsoft.com/office/spreadsheetml/2009/9/main" objectType="Button" lockText="1"/>
</file>

<file path=xl/ctrlProps/ctrlProp1708.xml><?xml version="1.0" encoding="utf-8"?>
<formControlPr xmlns="http://schemas.microsoft.com/office/spreadsheetml/2009/9/main" objectType="Button" lockText="1"/>
</file>

<file path=xl/ctrlProps/ctrlProp1709.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10.xml><?xml version="1.0" encoding="utf-8"?>
<formControlPr xmlns="http://schemas.microsoft.com/office/spreadsheetml/2009/9/main" objectType="Button" lockText="1"/>
</file>

<file path=xl/ctrlProps/ctrlProp1711.xml><?xml version="1.0" encoding="utf-8"?>
<formControlPr xmlns="http://schemas.microsoft.com/office/spreadsheetml/2009/9/main" objectType="Button" lockText="1"/>
</file>

<file path=xl/ctrlProps/ctrlProp1712.xml><?xml version="1.0" encoding="utf-8"?>
<formControlPr xmlns="http://schemas.microsoft.com/office/spreadsheetml/2009/9/main" objectType="Button" lockText="1"/>
</file>

<file path=xl/ctrlProps/ctrlProp1713.xml><?xml version="1.0" encoding="utf-8"?>
<formControlPr xmlns="http://schemas.microsoft.com/office/spreadsheetml/2009/9/main" objectType="Button" lockText="1"/>
</file>

<file path=xl/ctrlProps/ctrlProp1714.xml><?xml version="1.0" encoding="utf-8"?>
<formControlPr xmlns="http://schemas.microsoft.com/office/spreadsheetml/2009/9/main" objectType="Button" lockText="1"/>
</file>

<file path=xl/ctrlProps/ctrlProp1715.xml><?xml version="1.0" encoding="utf-8"?>
<formControlPr xmlns="http://schemas.microsoft.com/office/spreadsheetml/2009/9/main" objectType="Button" lockText="1"/>
</file>

<file path=xl/ctrlProps/ctrlProp1716.xml><?xml version="1.0" encoding="utf-8"?>
<formControlPr xmlns="http://schemas.microsoft.com/office/spreadsheetml/2009/9/main" objectType="Button" lockText="1"/>
</file>

<file path=xl/ctrlProps/ctrlProp1717.xml><?xml version="1.0" encoding="utf-8"?>
<formControlPr xmlns="http://schemas.microsoft.com/office/spreadsheetml/2009/9/main" objectType="Button" lockText="1"/>
</file>

<file path=xl/ctrlProps/ctrlProp1718.xml><?xml version="1.0" encoding="utf-8"?>
<formControlPr xmlns="http://schemas.microsoft.com/office/spreadsheetml/2009/9/main" objectType="Button" lockText="1"/>
</file>

<file path=xl/ctrlProps/ctrlProp1719.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20.xml><?xml version="1.0" encoding="utf-8"?>
<formControlPr xmlns="http://schemas.microsoft.com/office/spreadsheetml/2009/9/main" objectType="Button" lockText="1"/>
</file>

<file path=xl/ctrlProps/ctrlProp1721.xml><?xml version="1.0" encoding="utf-8"?>
<formControlPr xmlns="http://schemas.microsoft.com/office/spreadsheetml/2009/9/main" objectType="Button" lockText="1"/>
</file>

<file path=xl/ctrlProps/ctrlProp1722.xml><?xml version="1.0" encoding="utf-8"?>
<formControlPr xmlns="http://schemas.microsoft.com/office/spreadsheetml/2009/9/main" objectType="Button" lockText="1"/>
</file>

<file path=xl/ctrlProps/ctrlProp1723.xml><?xml version="1.0" encoding="utf-8"?>
<formControlPr xmlns="http://schemas.microsoft.com/office/spreadsheetml/2009/9/main" objectType="Button" lockText="1"/>
</file>

<file path=xl/ctrlProps/ctrlProp1724.xml><?xml version="1.0" encoding="utf-8"?>
<formControlPr xmlns="http://schemas.microsoft.com/office/spreadsheetml/2009/9/main" objectType="Button" lockText="1"/>
</file>

<file path=xl/ctrlProps/ctrlProp1725.xml><?xml version="1.0" encoding="utf-8"?>
<formControlPr xmlns="http://schemas.microsoft.com/office/spreadsheetml/2009/9/main" objectType="Button" lockText="1"/>
</file>

<file path=xl/ctrlProps/ctrlProp1726.xml><?xml version="1.0" encoding="utf-8"?>
<formControlPr xmlns="http://schemas.microsoft.com/office/spreadsheetml/2009/9/main" objectType="Button" lockText="1"/>
</file>

<file path=xl/ctrlProps/ctrlProp1727.xml><?xml version="1.0" encoding="utf-8"?>
<formControlPr xmlns="http://schemas.microsoft.com/office/spreadsheetml/2009/9/main" objectType="Button" lockText="1"/>
</file>

<file path=xl/ctrlProps/ctrlProp1728.xml><?xml version="1.0" encoding="utf-8"?>
<formControlPr xmlns="http://schemas.microsoft.com/office/spreadsheetml/2009/9/main" objectType="Button" lockText="1"/>
</file>

<file path=xl/ctrlProps/ctrlProp1729.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30.xml><?xml version="1.0" encoding="utf-8"?>
<formControlPr xmlns="http://schemas.microsoft.com/office/spreadsheetml/2009/9/main" objectType="Button" lockText="1"/>
</file>

<file path=xl/ctrlProps/ctrlProp1731.xml><?xml version="1.0" encoding="utf-8"?>
<formControlPr xmlns="http://schemas.microsoft.com/office/spreadsheetml/2009/9/main" objectType="Button" lockText="1"/>
</file>

<file path=xl/ctrlProps/ctrlProp1732.xml><?xml version="1.0" encoding="utf-8"?>
<formControlPr xmlns="http://schemas.microsoft.com/office/spreadsheetml/2009/9/main" objectType="Button" lockText="1"/>
</file>

<file path=xl/ctrlProps/ctrlProp1733.xml><?xml version="1.0" encoding="utf-8"?>
<formControlPr xmlns="http://schemas.microsoft.com/office/spreadsheetml/2009/9/main" objectType="Button" lockText="1"/>
</file>

<file path=xl/ctrlProps/ctrlProp1734.xml><?xml version="1.0" encoding="utf-8"?>
<formControlPr xmlns="http://schemas.microsoft.com/office/spreadsheetml/2009/9/main" objectType="Button" lockText="1"/>
</file>

<file path=xl/ctrlProps/ctrlProp1735.xml><?xml version="1.0" encoding="utf-8"?>
<formControlPr xmlns="http://schemas.microsoft.com/office/spreadsheetml/2009/9/main" objectType="Button" lockText="1"/>
</file>

<file path=xl/ctrlProps/ctrlProp1736.xml><?xml version="1.0" encoding="utf-8"?>
<formControlPr xmlns="http://schemas.microsoft.com/office/spreadsheetml/2009/9/main" objectType="Button" lockText="1"/>
</file>

<file path=xl/ctrlProps/ctrlProp1737.xml><?xml version="1.0" encoding="utf-8"?>
<formControlPr xmlns="http://schemas.microsoft.com/office/spreadsheetml/2009/9/main" objectType="Button" lockText="1"/>
</file>

<file path=xl/ctrlProps/ctrlProp1738.xml><?xml version="1.0" encoding="utf-8"?>
<formControlPr xmlns="http://schemas.microsoft.com/office/spreadsheetml/2009/9/main" objectType="Button" lockText="1"/>
</file>

<file path=xl/ctrlProps/ctrlProp1739.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40.xml><?xml version="1.0" encoding="utf-8"?>
<formControlPr xmlns="http://schemas.microsoft.com/office/spreadsheetml/2009/9/main" objectType="Button" lockText="1"/>
</file>

<file path=xl/ctrlProps/ctrlProp1741.xml><?xml version="1.0" encoding="utf-8"?>
<formControlPr xmlns="http://schemas.microsoft.com/office/spreadsheetml/2009/9/main" objectType="Button" lockText="1"/>
</file>

<file path=xl/ctrlProps/ctrlProp1742.xml><?xml version="1.0" encoding="utf-8"?>
<formControlPr xmlns="http://schemas.microsoft.com/office/spreadsheetml/2009/9/main" objectType="Button" lockText="1"/>
</file>

<file path=xl/ctrlProps/ctrlProp1743.xml><?xml version="1.0" encoding="utf-8"?>
<formControlPr xmlns="http://schemas.microsoft.com/office/spreadsheetml/2009/9/main" objectType="Button" lockText="1"/>
</file>

<file path=xl/ctrlProps/ctrlProp1744.xml><?xml version="1.0" encoding="utf-8"?>
<formControlPr xmlns="http://schemas.microsoft.com/office/spreadsheetml/2009/9/main" objectType="Button" lockText="1"/>
</file>

<file path=xl/ctrlProps/ctrlProp1745.xml><?xml version="1.0" encoding="utf-8"?>
<formControlPr xmlns="http://schemas.microsoft.com/office/spreadsheetml/2009/9/main" objectType="Button" lockText="1"/>
</file>

<file path=xl/ctrlProps/ctrlProp1746.xml><?xml version="1.0" encoding="utf-8"?>
<formControlPr xmlns="http://schemas.microsoft.com/office/spreadsheetml/2009/9/main" objectType="Button" lockText="1"/>
</file>

<file path=xl/ctrlProps/ctrlProp1747.xml><?xml version="1.0" encoding="utf-8"?>
<formControlPr xmlns="http://schemas.microsoft.com/office/spreadsheetml/2009/9/main" objectType="Button" lockText="1"/>
</file>

<file path=xl/ctrlProps/ctrlProp1748.xml><?xml version="1.0" encoding="utf-8"?>
<formControlPr xmlns="http://schemas.microsoft.com/office/spreadsheetml/2009/9/main" objectType="Button" lockText="1"/>
</file>

<file path=xl/ctrlProps/ctrlProp1749.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50.xml><?xml version="1.0" encoding="utf-8"?>
<formControlPr xmlns="http://schemas.microsoft.com/office/spreadsheetml/2009/9/main" objectType="Button" lockText="1"/>
</file>

<file path=xl/ctrlProps/ctrlProp1751.xml><?xml version="1.0" encoding="utf-8"?>
<formControlPr xmlns="http://schemas.microsoft.com/office/spreadsheetml/2009/9/main" objectType="Button" lockText="1"/>
</file>

<file path=xl/ctrlProps/ctrlProp1752.xml><?xml version="1.0" encoding="utf-8"?>
<formControlPr xmlns="http://schemas.microsoft.com/office/spreadsheetml/2009/9/main" objectType="Button" lockText="1"/>
</file>

<file path=xl/ctrlProps/ctrlProp1753.xml><?xml version="1.0" encoding="utf-8"?>
<formControlPr xmlns="http://schemas.microsoft.com/office/spreadsheetml/2009/9/main" objectType="Button" lockText="1"/>
</file>

<file path=xl/ctrlProps/ctrlProp1754.xml><?xml version="1.0" encoding="utf-8"?>
<formControlPr xmlns="http://schemas.microsoft.com/office/spreadsheetml/2009/9/main" objectType="Button" lockText="1"/>
</file>

<file path=xl/ctrlProps/ctrlProp1755.xml><?xml version="1.0" encoding="utf-8"?>
<formControlPr xmlns="http://schemas.microsoft.com/office/spreadsheetml/2009/9/main" objectType="Button" lockText="1"/>
</file>

<file path=xl/ctrlProps/ctrlProp1756.xml><?xml version="1.0" encoding="utf-8"?>
<formControlPr xmlns="http://schemas.microsoft.com/office/spreadsheetml/2009/9/main" objectType="Button" lockText="1"/>
</file>

<file path=xl/ctrlProps/ctrlProp1757.xml><?xml version="1.0" encoding="utf-8"?>
<formControlPr xmlns="http://schemas.microsoft.com/office/spreadsheetml/2009/9/main" objectType="Button" lockText="1"/>
</file>

<file path=xl/ctrlProps/ctrlProp1758.xml><?xml version="1.0" encoding="utf-8"?>
<formControlPr xmlns="http://schemas.microsoft.com/office/spreadsheetml/2009/9/main" objectType="Button" lockText="1"/>
</file>

<file path=xl/ctrlProps/ctrlProp1759.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60.xml><?xml version="1.0" encoding="utf-8"?>
<formControlPr xmlns="http://schemas.microsoft.com/office/spreadsheetml/2009/9/main" objectType="Button" lockText="1"/>
</file>

<file path=xl/ctrlProps/ctrlProp1761.xml><?xml version="1.0" encoding="utf-8"?>
<formControlPr xmlns="http://schemas.microsoft.com/office/spreadsheetml/2009/9/main" objectType="Button" lockText="1"/>
</file>

<file path=xl/ctrlProps/ctrlProp1762.xml><?xml version="1.0" encoding="utf-8"?>
<formControlPr xmlns="http://schemas.microsoft.com/office/spreadsheetml/2009/9/main" objectType="Button" lockText="1"/>
</file>

<file path=xl/ctrlProps/ctrlProp1763.xml><?xml version="1.0" encoding="utf-8"?>
<formControlPr xmlns="http://schemas.microsoft.com/office/spreadsheetml/2009/9/main" objectType="Button" lockText="1"/>
</file>

<file path=xl/ctrlProps/ctrlProp1764.xml><?xml version="1.0" encoding="utf-8"?>
<formControlPr xmlns="http://schemas.microsoft.com/office/spreadsheetml/2009/9/main" objectType="Button" lockText="1"/>
</file>

<file path=xl/ctrlProps/ctrlProp1765.xml><?xml version="1.0" encoding="utf-8"?>
<formControlPr xmlns="http://schemas.microsoft.com/office/spreadsheetml/2009/9/main" objectType="Button" lockText="1"/>
</file>

<file path=xl/ctrlProps/ctrlProp1766.xml><?xml version="1.0" encoding="utf-8"?>
<formControlPr xmlns="http://schemas.microsoft.com/office/spreadsheetml/2009/9/main" objectType="Button" lockText="1"/>
</file>

<file path=xl/ctrlProps/ctrlProp1767.xml><?xml version="1.0" encoding="utf-8"?>
<formControlPr xmlns="http://schemas.microsoft.com/office/spreadsheetml/2009/9/main" objectType="Button" lockText="1"/>
</file>

<file path=xl/ctrlProps/ctrlProp1768.xml><?xml version="1.0" encoding="utf-8"?>
<formControlPr xmlns="http://schemas.microsoft.com/office/spreadsheetml/2009/9/main" objectType="Button" lockText="1"/>
</file>

<file path=xl/ctrlProps/ctrlProp1769.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70.xml><?xml version="1.0" encoding="utf-8"?>
<formControlPr xmlns="http://schemas.microsoft.com/office/spreadsheetml/2009/9/main" objectType="Button" lockText="1"/>
</file>

<file path=xl/ctrlProps/ctrlProp1771.xml><?xml version="1.0" encoding="utf-8"?>
<formControlPr xmlns="http://schemas.microsoft.com/office/spreadsheetml/2009/9/main" objectType="Button" lockText="1"/>
</file>

<file path=xl/ctrlProps/ctrlProp1772.xml><?xml version="1.0" encoding="utf-8"?>
<formControlPr xmlns="http://schemas.microsoft.com/office/spreadsheetml/2009/9/main" objectType="Button" lockText="1"/>
</file>

<file path=xl/ctrlProps/ctrlProp1773.xml><?xml version="1.0" encoding="utf-8"?>
<formControlPr xmlns="http://schemas.microsoft.com/office/spreadsheetml/2009/9/main" objectType="Button" lockText="1"/>
</file>

<file path=xl/ctrlProps/ctrlProp1774.xml><?xml version="1.0" encoding="utf-8"?>
<formControlPr xmlns="http://schemas.microsoft.com/office/spreadsheetml/2009/9/main" objectType="Button" lockText="1"/>
</file>

<file path=xl/ctrlProps/ctrlProp1775.xml><?xml version="1.0" encoding="utf-8"?>
<formControlPr xmlns="http://schemas.microsoft.com/office/spreadsheetml/2009/9/main" objectType="Button" lockText="1"/>
</file>

<file path=xl/ctrlProps/ctrlProp1776.xml><?xml version="1.0" encoding="utf-8"?>
<formControlPr xmlns="http://schemas.microsoft.com/office/spreadsheetml/2009/9/main" objectType="Button" lockText="1"/>
</file>

<file path=xl/ctrlProps/ctrlProp1777.xml><?xml version="1.0" encoding="utf-8"?>
<formControlPr xmlns="http://schemas.microsoft.com/office/spreadsheetml/2009/9/main" objectType="Button" lockText="1"/>
</file>

<file path=xl/ctrlProps/ctrlProp1778.xml><?xml version="1.0" encoding="utf-8"?>
<formControlPr xmlns="http://schemas.microsoft.com/office/spreadsheetml/2009/9/main" objectType="Button" lockText="1"/>
</file>

<file path=xl/ctrlProps/ctrlProp1779.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80.xml><?xml version="1.0" encoding="utf-8"?>
<formControlPr xmlns="http://schemas.microsoft.com/office/spreadsheetml/2009/9/main" objectType="Button" lockText="1"/>
</file>

<file path=xl/ctrlProps/ctrlProp1781.xml><?xml version="1.0" encoding="utf-8"?>
<formControlPr xmlns="http://schemas.microsoft.com/office/spreadsheetml/2009/9/main" objectType="Button" lockText="1"/>
</file>

<file path=xl/ctrlProps/ctrlProp1782.xml><?xml version="1.0" encoding="utf-8"?>
<formControlPr xmlns="http://schemas.microsoft.com/office/spreadsheetml/2009/9/main" objectType="Button" lockText="1"/>
</file>

<file path=xl/ctrlProps/ctrlProp1783.xml><?xml version="1.0" encoding="utf-8"?>
<formControlPr xmlns="http://schemas.microsoft.com/office/spreadsheetml/2009/9/main" objectType="Button" lockText="1"/>
</file>

<file path=xl/ctrlProps/ctrlProp1784.xml><?xml version="1.0" encoding="utf-8"?>
<formControlPr xmlns="http://schemas.microsoft.com/office/spreadsheetml/2009/9/main" objectType="Button" lockText="1"/>
</file>

<file path=xl/ctrlProps/ctrlProp1785.xml><?xml version="1.0" encoding="utf-8"?>
<formControlPr xmlns="http://schemas.microsoft.com/office/spreadsheetml/2009/9/main" objectType="Button" lockText="1"/>
</file>

<file path=xl/ctrlProps/ctrlProp1786.xml><?xml version="1.0" encoding="utf-8"?>
<formControlPr xmlns="http://schemas.microsoft.com/office/spreadsheetml/2009/9/main" objectType="Button" lockText="1"/>
</file>

<file path=xl/ctrlProps/ctrlProp1787.xml><?xml version="1.0" encoding="utf-8"?>
<formControlPr xmlns="http://schemas.microsoft.com/office/spreadsheetml/2009/9/main" objectType="Button" lockText="1"/>
</file>

<file path=xl/ctrlProps/ctrlProp1788.xml><?xml version="1.0" encoding="utf-8"?>
<formControlPr xmlns="http://schemas.microsoft.com/office/spreadsheetml/2009/9/main" objectType="Button" lockText="1"/>
</file>

<file path=xl/ctrlProps/ctrlProp1789.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790.xml><?xml version="1.0" encoding="utf-8"?>
<formControlPr xmlns="http://schemas.microsoft.com/office/spreadsheetml/2009/9/main" objectType="Button" lockText="1"/>
</file>

<file path=xl/ctrlProps/ctrlProp1791.xml><?xml version="1.0" encoding="utf-8"?>
<formControlPr xmlns="http://schemas.microsoft.com/office/spreadsheetml/2009/9/main" objectType="Button" lockText="1"/>
</file>

<file path=xl/ctrlProps/ctrlProp1792.xml><?xml version="1.0" encoding="utf-8"?>
<formControlPr xmlns="http://schemas.microsoft.com/office/spreadsheetml/2009/9/main" objectType="Button" lockText="1"/>
</file>

<file path=xl/ctrlProps/ctrlProp1793.xml><?xml version="1.0" encoding="utf-8"?>
<formControlPr xmlns="http://schemas.microsoft.com/office/spreadsheetml/2009/9/main" objectType="Button" lockText="1"/>
</file>

<file path=xl/ctrlProps/ctrlProp1794.xml><?xml version="1.0" encoding="utf-8"?>
<formControlPr xmlns="http://schemas.microsoft.com/office/spreadsheetml/2009/9/main" objectType="Button" lockText="1"/>
</file>

<file path=xl/ctrlProps/ctrlProp1795.xml><?xml version="1.0" encoding="utf-8"?>
<formControlPr xmlns="http://schemas.microsoft.com/office/spreadsheetml/2009/9/main" objectType="Button" lockText="1"/>
</file>

<file path=xl/ctrlProps/ctrlProp1796.xml><?xml version="1.0" encoding="utf-8"?>
<formControlPr xmlns="http://schemas.microsoft.com/office/spreadsheetml/2009/9/main" objectType="Button" lockText="1"/>
</file>

<file path=xl/ctrlProps/ctrlProp1797.xml><?xml version="1.0" encoding="utf-8"?>
<formControlPr xmlns="http://schemas.microsoft.com/office/spreadsheetml/2009/9/main" objectType="Button" lockText="1"/>
</file>

<file path=xl/ctrlProps/ctrlProp1798.xml><?xml version="1.0" encoding="utf-8"?>
<formControlPr xmlns="http://schemas.microsoft.com/office/spreadsheetml/2009/9/main" objectType="Button" lockText="1"/>
</file>

<file path=xl/ctrlProps/ctrlProp179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00.xml><?xml version="1.0" encoding="utf-8"?>
<formControlPr xmlns="http://schemas.microsoft.com/office/spreadsheetml/2009/9/main" objectType="Button" lockText="1"/>
</file>

<file path=xl/ctrlProps/ctrlProp1801.xml><?xml version="1.0" encoding="utf-8"?>
<formControlPr xmlns="http://schemas.microsoft.com/office/spreadsheetml/2009/9/main" objectType="Button" lockText="1"/>
</file>

<file path=xl/ctrlProps/ctrlProp1802.xml><?xml version="1.0" encoding="utf-8"?>
<formControlPr xmlns="http://schemas.microsoft.com/office/spreadsheetml/2009/9/main" objectType="Button" lockText="1"/>
</file>

<file path=xl/ctrlProps/ctrlProp1803.xml><?xml version="1.0" encoding="utf-8"?>
<formControlPr xmlns="http://schemas.microsoft.com/office/spreadsheetml/2009/9/main" objectType="Button" lockText="1"/>
</file>

<file path=xl/ctrlProps/ctrlProp1804.xml><?xml version="1.0" encoding="utf-8"?>
<formControlPr xmlns="http://schemas.microsoft.com/office/spreadsheetml/2009/9/main" objectType="Button" lockText="1"/>
</file>

<file path=xl/ctrlProps/ctrlProp1805.xml><?xml version="1.0" encoding="utf-8"?>
<formControlPr xmlns="http://schemas.microsoft.com/office/spreadsheetml/2009/9/main" objectType="Button" lockText="1"/>
</file>

<file path=xl/ctrlProps/ctrlProp1806.xml><?xml version="1.0" encoding="utf-8"?>
<formControlPr xmlns="http://schemas.microsoft.com/office/spreadsheetml/2009/9/main" objectType="Button" lockText="1"/>
</file>

<file path=xl/ctrlProps/ctrlProp1807.xml><?xml version="1.0" encoding="utf-8"?>
<formControlPr xmlns="http://schemas.microsoft.com/office/spreadsheetml/2009/9/main" objectType="Button" lockText="1"/>
</file>

<file path=xl/ctrlProps/ctrlProp1808.xml><?xml version="1.0" encoding="utf-8"?>
<formControlPr xmlns="http://schemas.microsoft.com/office/spreadsheetml/2009/9/main" objectType="Button" lockText="1"/>
</file>

<file path=xl/ctrlProps/ctrlProp1809.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10.xml><?xml version="1.0" encoding="utf-8"?>
<formControlPr xmlns="http://schemas.microsoft.com/office/spreadsheetml/2009/9/main" objectType="Button" lockText="1"/>
</file>

<file path=xl/ctrlProps/ctrlProp1811.xml><?xml version="1.0" encoding="utf-8"?>
<formControlPr xmlns="http://schemas.microsoft.com/office/spreadsheetml/2009/9/main" objectType="Button" lockText="1"/>
</file>

<file path=xl/ctrlProps/ctrlProp1812.xml><?xml version="1.0" encoding="utf-8"?>
<formControlPr xmlns="http://schemas.microsoft.com/office/spreadsheetml/2009/9/main" objectType="Button" lockText="1"/>
</file>

<file path=xl/ctrlProps/ctrlProp1813.xml><?xml version="1.0" encoding="utf-8"?>
<formControlPr xmlns="http://schemas.microsoft.com/office/spreadsheetml/2009/9/main" objectType="Button" lockText="1"/>
</file>

<file path=xl/ctrlProps/ctrlProp1814.xml><?xml version="1.0" encoding="utf-8"?>
<formControlPr xmlns="http://schemas.microsoft.com/office/spreadsheetml/2009/9/main" objectType="Button" lockText="1"/>
</file>

<file path=xl/ctrlProps/ctrlProp1815.xml><?xml version="1.0" encoding="utf-8"?>
<formControlPr xmlns="http://schemas.microsoft.com/office/spreadsheetml/2009/9/main" objectType="Button" lockText="1"/>
</file>

<file path=xl/ctrlProps/ctrlProp1816.xml><?xml version="1.0" encoding="utf-8"?>
<formControlPr xmlns="http://schemas.microsoft.com/office/spreadsheetml/2009/9/main" objectType="Button" lockText="1"/>
</file>

<file path=xl/ctrlProps/ctrlProp1817.xml><?xml version="1.0" encoding="utf-8"?>
<formControlPr xmlns="http://schemas.microsoft.com/office/spreadsheetml/2009/9/main" objectType="Button" lockText="1"/>
</file>

<file path=xl/ctrlProps/ctrlProp1818.xml><?xml version="1.0" encoding="utf-8"?>
<formControlPr xmlns="http://schemas.microsoft.com/office/spreadsheetml/2009/9/main" objectType="Button" lockText="1"/>
</file>

<file path=xl/ctrlProps/ctrlProp1819.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20.xml><?xml version="1.0" encoding="utf-8"?>
<formControlPr xmlns="http://schemas.microsoft.com/office/spreadsheetml/2009/9/main" objectType="Button" lockText="1"/>
</file>

<file path=xl/ctrlProps/ctrlProp1821.xml><?xml version="1.0" encoding="utf-8"?>
<formControlPr xmlns="http://schemas.microsoft.com/office/spreadsheetml/2009/9/main" objectType="Button" lockText="1"/>
</file>

<file path=xl/ctrlProps/ctrlProp1822.xml><?xml version="1.0" encoding="utf-8"?>
<formControlPr xmlns="http://schemas.microsoft.com/office/spreadsheetml/2009/9/main" objectType="Button" lockText="1"/>
</file>

<file path=xl/ctrlProps/ctrlProp1823.xml><?xml version="1.0" encoding="utf-8"?>
<formControlPr xmlns="http://schemas.microsoft.com/office/spreadsheetml/2009/9/main" objectType="Button" lockText="1"/>
</file>

<file path=xl/ctrlProps/ctrlProp1824.xml><?xml version="1.0" encoding="utf-8"?>
<formControlPr xmlns="http://schemas.microsoft.com/office/spreadsheetml/2009/9/main" objectType="Button" lockText="1"/>
</file>

<file path=xl/ctrlProps/ctrlProp1825.xml><?xml version="1.0" encoding="utf-8"?>
<formControlPr xmlns="http://schemas.microsoft.com/office/spreadsheetml/2009/9/main" objectType="Button" lockText="1"/>
</file>

<file path=xl/ctrlProps/ctrlProp1826.xml><?xml version="1.0" encoding="utf-8"?>
<formControlPr xmlns="http://schemas.microsoft.com/office/spreadsheetml/2009/9/main" objectType="Button" lockText="1"/>
</file>

<file path=xl/ctrlProps/ctrlProp1827.xml><?xml version="1.0" encoding="utf-8"?>
<formControlPr xmlns="http://schemas.microsoft.com/office/spreadsheetml/2009/9/main" objectType="Button" lockText="1"/>
</file>

<file path=xl/ctrlProps/ctrlProp1828.xml><?xml version="1.0" encoding="utf-8"?>
<formControlPr xmlns="http://schemas.microsoft.com/office/spreadsheetml/2009/9/main" objectType="Button" lockText="1"/>
</file>

<file path=xl/ctrlProps/ctrlProp1829.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30.xml><?xml version="1.0" encoding="utf-8"?>
<formControlPr xmlns="http://schemas.microsoft.com/office/spreadsheetml/2009/9/main" objectType="Button" lockText="1"/>
</file>

<file path=xl/ctrlProps/ctrlProp1831.xml><?xml version="1.0" encoding="utf-8"?>
<formControlPr xmlns="http://schemas.microsoft.com/office/spreadsheetml/2009/9/main" objectType="Button" lockText="1"/>
</file>

<file path=xl/ctrlProps/ctrlProp1832.xml><?xml version="1.0" encoding="utf-8"?>
<formControlPr xmlns="http://schemas.microsoft.com/office/spreadsheetml/2009/9/main" objectType="Button" lockText="1"/>
</file>

<file path=xl/ctrlProps/ctrlProp1833.xml><?xml version="1.0" encoding="utf-8"?>
<formControlPr xmlns="http://schemas.microsoft.com/office/spreadsheetml/2009/9/main" objectType="Button" lockText="1"/>
</file>

<file path=xl/ctrlProps/ctrlProp1834.xml><?xml version="1.0" encoding="utf-8"?>
<formControlPr xmlns="http://schemas.microsoft.com/office/spreadsheetml/2009/9/main" objectType="Button" lockText="1"/>
</file>

<file path=xl/ctrlProps/ctrlProp1835.xml><?xml version="1.0" encoding="utf-8"?>
<formControlPr xmlns="http://schemas.microsoft.com/office/spreadsheetml/2009/9/main" objectType="Button" lockText="1"/>
</file>

<file path=xl/ctrlProps/ctrlProp1836.xml><?xml version="1.0" encoding="utf-8"?>
<formControlPr xmlns="http://schemas.microsoft.com/office/spreadsheetml/2009/9/main" objectType="Button" lockText="1"/>
</file>

<file path=xl/ctrlProps/ctrlProp1837.xml><?xml version="1.0" encoding="utf-8"?>
<formControlPr xmlns="http://schemas.microsoft.com/office/spreadsheetml/2009/9/main" objectType="Button" lockText="1"/>
</file>

<file path=xl/ctrlProps/ctrlProp1838.xml><?xml version="1.0" encoding="utf-8"?>
<formControlPr xmlns="http://schemas.microsoft.com/office/spreadsheetml/2009/9/main" objectType="Button" lockText="1"/>
</file>

<file path=xl/ctrlProps/ctrlProp1839.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40.xml><?xml version="1.0" encoding="utf-8"?>
<formControlPr xmlns="http://schemas.microsoft.com/office/spreadsheetml/2009/9/main" objectType="Button" lockText="1"/>
</file>

<file path=xl/ctrlProps/ctrlProp1841.xml><?xml version="1.0" encoding="utf-8"?>
<formControlPr xmlns="http://schemas.microsoft.com/office/spreadsheetml/2009/9/main" objectType="Button" lockText="1"/>
</file>

<file path=xl/ctrlProps/ctrlProp1842.xml><?xml version="1.0" encoding="utf-8"?>
<formControlPr xmlns="http://schemas.microsoft.com/office/spreadsheetml/2009/9/main" objectType="Button" lockText="1"/>
</file>

<file path=xl/ctrlProps/ctrlProp1843.xml><?xml version="1.0" encoding="utf-8"?>
<formControlPr xmlns="http://schemas.microsoft.com/office/spreadsheetml/2009/9/main" objectType="Button" lockText="1"/>
</file>

<file path=xl/ctrlProps/ctrlProp1844.xml><?xml version="1.0" encoding="utf-8"?>
<formControlPr xmlns="http://schemas.microsoft.com/office/spreadsheetml/2009/9/main" objectType="Button" lockText="1"/>
</file>

<file path=xl/ctrlProps/ctrlProp1845.xml><?xml version="1.0" encoding="utf-8"?>
<formControlPr xmlns="http://schemas.microsoft.com/office/spreadsheetml/2009/9/main" objectType="Button" lockText="1"/>
</file>

<file path=xl/ctrlProps/ctrlProp1846.xml><?xml version="1.0" encoding="utf-8"?>
<formControlPr xmlns="http://schemas.microsoft.com/office/spreadsheetml/2009/9/main" objectType="Button" lockText="1"/>
</file>

<file path=xl/ctrlProps/ctrlProp1847.xml><?xml version="1.0" encoding="utf-8"?>
<formControlPr xmlns="http://schemas.microsoft.com/office/spreadsheetml/2009/9/main" objectType="Button" lockText="1"/>
</file>

<file path=xl/ctrlProps/ctrlProp1848.xml><?xml version="1.0" encoding="utf-8"?>
<formControlPr xmlns="http://schemas.microsoft.com/office/spreadsheetml/2009/9/main" objectType="Button" lockText="1"/>
</file>

<file path=xl/ctrlProps/ctrlProp1849.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50.xml><?xml version="1.0" encoding="utf-8"?>
<formControlPr xmlns="http://schemas.microsoft.com/office/spreadsheetml/2009/9/main" objectType="Button" lockText="1"/>
</file>

<file path=xl/ctrlProps/ctrlProp1851.xml><?xml version="1.0" encoding="utf-8"?>
<formControlPr xmlns="http://schemas.microsoft.com/office/spreadsheetml/2009/9/main" objectType="Button" lockText="1"/>
</file>

<file path=xl/ctrlProps/ctrlProp1852.xml><?xml version="1.0" encoding="utf-8"?>
<formControlPr xmlns="http://schemas.microsoft.com/office/spreadsheetml/2009/9/main" objectType="Button" lockText="1"/>
</file>

<file path=xl/ctrlProps/ctrlProp1853.xml><?xml version="1.0" encoding="utf-8"?>
<formControlPr xmlns="http://schemas.microsoft.com/office/spreadsheetml/2009/9/main" objectType="Button" lockText="1"/>
</file>

<file path=xl/ctrlProps/ctrlProp1854.xml><?xml version="1.0" encoding="utf-8"?>
<formControlPr xmlns="http://schemas.microsoft.com/office/spreadsheetml/2009/9/main" objectType="Button" lockText="1"/>
</file>

<file path=xl/ctrlProps/ctrlProp1855.xml><?xml version="1.0" encoding="utf-8"?>
<formControlPr xmlns="http://schemas.microsoft.com/office/spreadsheetml/2009/9/main" objectType="Button" lockText="1"/>
</file>

<file path=xl/ctrlProps/ctrlProp1856.xml><?xml version="1.0" encoding="utf-8"?>
<formControlPr xmlns="http://schemas.microsoft.com/office/spreadsheetml/2009/9/main" objectType="Button" lockText="1"/>
</file>

<file path=xl/ctrlProps/ctrlProp1857.xml><?xml version="1.0" encoding="utf-8"?>
<formControlPr xmlns="http://schemas.microsoft.com/office/spreadsheetml/2009/9/main" objectType="Button" lockText="1"/>
</file>

<file path=xl/ctrlProps/ctrlProp1858.xml><?xml version="1.0" encoding="utf-8"?>
<formControlPr xmlns="http://schemas.microsoft.com/office/spreadsheetml/2009/9/main" objectType="Button" lockText="1"/>
</file>

<file path=xl/ctrlProps/ctrlProp1859.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60.xml><?xml version="1.0" encoding="utf-8"?>
<formControlPr xmlns="http://schemas.microsoft.com/office/spreadsheetml/2009/9/main" objectType="Button" lockText="1"/>
</file>

<file path=xl/ctrlProps/ctrlProp1861.xml><?xml version="1.0" encoding="utf-8"?>
<formControlPr xmlns="http://schemas.microsoft.com/office/spreadsheetml/2009/9/main" objectType="Button" lockText="1"/>
</file>

<file path=xl/ctrlProps/ctrlProp1862.xml><?xml version="1.0" encoding="utf-8"?>
<formControlPr xmlns="http://schemas.microsoft.com/office/spreadsheetml/2009/9/main" objectType="Button" lockText="1"/>
</file>

<file path=xl/ctrlProps/ctrlProp1863.xml><?xml version="1.0" encoding="utf-8"?>
<formControlPr xmlns="http://schemas.microsoft.com/office/spreadsheetml/2009/9/main" objectType="Button" lockText="1"/>
</file>

<file path=xl/ctrlProps/ctrlProp1864.xml><?xml version="1.0" encoding="utf-8"?>
<formControlPr xmlns="http://schemas.microsoft.com/office/spreadsheetml/2009/9/main" objectType="Button" lockText="1"/>
</file>

<file path=xl/ctrlProps/ctrlProp1865.xml><?xml version="1.0" encoding="utf-8"?>
<formControlPr xmlns="http://schemas.microsoft.com/office/spreadsheetml/2009/9/main" objectType="Button" lockText="1"/>
</file>

<file path=xl/ctrlProps/ctrlProp1866.xml><?xml version="1.0" encoding="utf-8"?>
<formControlPr xmlns="http://schemas.microsoft.com/office/spreadsheetml/2009/9/main" objectType="Button" lockText="1"/>
</file>

<file path=xl/ctrlProps/ctrlProp1867.xml><?xml version="1.0" encoding="utf-8"?>
<formControlPr xmlns="http://schemas.microsoft.com/office/spreadsheetml/2009/9/main" objectType="Button" lockText="1"/>
</file>

<file path=xl/ctrlProps/ctrlProp1868.xml><?xml version="1.0" encoding="utf-8"?>
<formControlPr xmlns="http://schemas.microsoft.com/office/spreadsheetml/2009/9/main" objectType="Button" lockText="1"/>
</file>

<file path=xl/ctrlProps/ctrlProp1869.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70.xml><?xml version="1.0" encoding="utf-8"?>
<formControlPr xmlns="http://schemas.microsoft.com/office/spreadsheetml/2009/9/main" objectType="Button" lockText="1"/>
</file>

<file path=xl/ctrlProps/ctrlProp1871.xml><?xml version="1.0" encoding="utf-8"?>
<formControlPr xmlns="http://schemas.microsoft.com/office/spreadsheetml/2009/9/main" objectType="Button" lockText="1"/>
</file>

<file path=xl/ctrlProps/ctrlProp1872.xml><?xml version="1.0" encoding="utf-8"?>
<formControlPr xmlns="http://schemas.microsoft.com/office/spreadsheetml/2009/9/main" objectType="Button" lockText="1"/>
</file>

<file path=xl/ctrlProps/ctrlProp1873.xml><?xml version="1.0" encoding="utf-8"?>
<formControlPr xmlns="http://schemas.microsoft.com/office/spreadsheetml/2009/9/main" objectType="Button" lockText="1"/>
</file>

<file path=xl/ctrlProps/ctrlProp1874.xml><?xml version="1.0" encoding="utf-8"?>
<formControlPr xmlns="http://schemas.microsoft.com/office/spreadsheetml/2009/9/main" objectType="Button" lockText="1"/>
</file>

<file path=xl/ctrlProps/ctrlProp1875.xml><?xml version="1.0" encoding="utf-8"?>
<formControlPr xmlns="http://schemas.microsoft.com/office/spreadsheetml/2009/9/main" objectType="Button" lockText="1"/>
</file>

<file path=xl/ctrlProps/ctrlProp1876.xml><?xml version="1.0" encoding="utf-8"?>
<formControlPr xmlns="http://schemas.microsoft.com/office/spreadsheetml/2009/9/main" objectType="Button" lockText="1"/>
</file>

<file path=xl/ctrlProps/ctrlProp1877.xml><?xml version="1.0" encoding="utf-8"?>
<formControlPr xmlns="http://schemas.microsoft.com/office/spreadsheetml/2009/9/main" objectType="Button" lockText="1"/>
</file>

<file path=xl/ctrlProps/ctrlProp1878.xml><?xml version="1.0" encoding="utf-8"?>
<formControlPr xmlns="http://schemas.microsoft.com/office/spreadsheetml/2009/9/main" objectType="Button" lockText="1"/>
</file>

<file path=xl/ctrlProps/ctrlProp1879.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80.xml><?xml version="1.0" encoding="utf-8"?>
<formControlPr xmlns="http://schemas.microsoft.com/office/spreadsheetml/2009/9/main" objectType="Button" lockText="1"/>
</file>

<file path=xl/ctrlProps/ctrlProp1881.xml><?xml version="1.0" encoding="utf-8"?>
<formControlPr xmlns="http://schemas.microsoft.com/office/spreadsheetml/2009/9/main" objectType="Button" lockText="1"/>
</file>

<file path=xl/ctrlProps/ctrlProp1882.xml><?xml version="1.0" encoding="utf-8"?>
<formControlPr xmlns="http://schemas.microsoft.com/office/spreadsheetml/2009/9/main" objectType="Button" lockText="1"/>
</file>

<file path=xl/ctrlProps/ctrlProp1883.xml><?xml version="1.0" encoding="utf-8"?>
<formControlPr xmlns="http://schemas.microsoft.com/office/spreadsheetml/2009/9/main" objectType="Button" lockText="1"/>
</file>

<file path=xl/ctrlProps/ctrlProp1884.xml><?xml version="1.0" encoding="utf-8"?>
<formControlPr xmlns="http://schemas.microsoft.com/office/spreadsheetml/2009/9/main" objectType="Button" lockText="1"/>
</file>

<file path=xl/ctrlProps/ctrlProp1885.xml><?xml version="1.0" encoding="utf-8"?>
<formControlPr xmlns="http://schemas.microsoft.com/office/spreadsheetml/2009/9/main" objectType="Button" lockText="1"/>
</file>

<file path=xl/ctrlProps/ctrlProp1886.xml><?xml version="1.0" encoding="utf-8"?>
<formControlPr xmlns="http://schemas.microsoft.com/office/spreadsheetml/2009/9/main" objectType="Button" lockText="1"/>
</file>

<file path=xl/ctrlProps/ctrlProp1887.xml><?xml version="1.0" encoding="utf-8"?>
<formControlPr xmlns="http://schemas.microsoft.com/office/spreadsheetml/2009/9/main" objectType="Button" lockText="1"/>
</file>

<file path=xl/ctrlProps/ctrlProp1888.xml><?xml version="1.0" encoding="utf-8"?>
<formControlPr xmlns="http://schemas.microsoft.com/office/spreadsheetml/2009/9/main" objectType="Button" lockText="1"/>
</file>

<file path=xl/ctrlProps/ctrlProp1889.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890.xml><?xml version="1.0" encoding="utf-8"?>
<formControlPr xmlns="http://schemas.microsoft.com/office/spreadsheetml/2009/9/main" objectType="Button" lockText="1"/>
</file>

<file path=xl/ctrlProps/ctrlProp1891.xml><?xml version="1.0" encoding="utf-8"?>
<formControlPr xmlns="http://schemas.microsoft.com/office/spreadsheetml/2009/9/main" objectType="Button" lockText="1"/>
</file>

<file path=xl/ctrlProps/ctrlProp1892.xml><?xml version="1.0" encoding="utf-8"?>
<formControlPr xmlns="http://schemas.microsoft.com/office/spreadsheetml/2009/9/main" objectType="Button" lockText="1"/>
</file>

<file path=xl/ctrlProps/ctrlProp1893.xml><?xml version="1.0" encoding="utf-8"?>
<formControlPr xmlns="http://schemas.microsoft.com/office/spreadsheetml/2009/9/main" objectType="Button" lockText="1"/>
</file>

<file path=xl/ctrlProps/ctrlProp1894.xml><?xml version="1.0" encoding="utf-8"?>
<formControlPr xmlns="http://schemas.microsoft.com/office/spreadsheetml/2009/9/main" objectType="Button" lockText="1"/>
</file>

<file path=xl/ctrlProps/ctrlProp1895.xml><?xml version="1.0" encoding="utf-8"?>
<formControlPr xmlns="http://schemas.microsoft.com/office/spreadsheetml/2009/9/main" objectType="Button" lockText="1"/>
</file>

<file path=xl/ctrlProps/ctrlProp1896.xml><?xml version="1.0" encoding="utf-8"?>
<formControlPr xmlns="http://schemas.microsoft.com/office/spreadsheetml/2009/9/main" objectType="Button" lockText="1"/>
</file>

<file path=xl/ctrlProps/ctrlProp1897.xml><?xml version="1.0" encoding="utf-8"?>
<formControlPr xmlns="http://schemas.microsoft.com/office/spreadsheetml/2009/9/main" objectType="Button" lockText="1"/>
</file>

<file path=xl/ctrlProps/ctrlProp1898.xml><?xml version="1.0" encoding="utf-8"?>
<formControlPr xmlns="http://schemas.microsoft.com/office/spreadsheetml/2009/9/main" objectType="Button" lockText="1"/>
</file>

<file path=xl/ctrlProps/ctrlProp189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00.xml><?xml version="1.0" encoding="utf-8"?>
<formControlPr xmlns="http://schemas.microsoft.com/office/spreadsheetml/2009/9/main" objectType="Button" lockText="1"/>
</file>

<file path=xl/ctrlProps/ctrlProp1901.xml><?xml version="1.0" encoding="utf-8"?>
<formControlPr xmlns="http://schemas.microsoft.com/office/spreadsheetml/2009/9/main" objectType="Button" lockText="1"/>
</file>

<file path=xl/ctrlProps/ctrlProp1902.xml><?xml version="1.0" encoding="utf-8"?>
<formControlPr xmlns="http://schemas.microsoft.com/office/spreadsheetml/2009/9/main" objectType="Button" lockText="1"/>
</file>

<file path=xl/ctrlProps/ctrlProp1903.xml><?xml version="1.0" encoding="utf-8"?>
<formControlPr xmlns="http://schemas.microsoft.com/office/spreadsheetml/2009/9/main" objectType="Button" lockText="1"/>
</file>

<file path=xl/ctrlProps/ctrlProp1904.xml><?xml version="1.0" encoding="utf-8"?>
<formControlPr xmlns="http://schemas.microsoft.com/office/spreadsheetml/2009/9/main" objectType="Button" lockText="1"/>
</file>

<file path=xl/ctrlProps/ctrlProp1905.xml><?xml version="1.0" encoding="utf-8"?>
<formControlPr xmlns="http://schemas.microsoft.com/office/spreadsheetml/2009/9/main" objectType="Button" lockText="1"/>
</file>

<file path=xl/ctrlProps/ctrlProp1906.xml><?xml version="1.0" encoding="utf-8"?>
<formControlPr xmlns="http://schemas.microsoft.com/office/spreadsheetml/2009/9/main" objectType="Button" lockText="1"/>
</file>

<file path=xl/ctrlProps/ctrlProp1907.xml><?xml version="1.0" encoding="utf-8"?>
<formControlPr xmlns="http://schemas.microsoft.com/office/spreadsheetml/2009/9/main" objectType="Button" lockText="1"/>
</file>

<file path=xl/ctrlProps/ctrlProp1908.xml><?xml version="1.0" encoding="utf-8"?>
<formControlPr xmlns="http://schemas.microsoft.com/office/spreadsheetml/2009/9/main" objectType="Button" lockText="1"/>
</file>

<file path=xl/ctrlProps/ctrlProp1909.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10.xml><?xml version="1.0" encoding="utf-8"?>
<formControlPr xmlns="http://schemas.microsoft.com/office/spreadsheetml/2009/9/main" objectType="Button" lockText="1"/>
</file>

<file path=xl/ctrlProps/ctrlProp1911.xml><?xml version="1.0" encoding="utf-8"?>
<formControlPr xmlns="http://schemas.microsoft.com/office/spreadsheetml/2009/9/main" objectType="Button" lockText="1"/>
</file>

<file path=xl/ctrlProps/ctrlProp1912.xml><?xml version="1.0" encoding="utf-8"?>
<formControlPr xmlns="http://schemas.microsoft.com/office/spreadsheetml/2009/9/main" objectType="Button" lockText="1"/>
</file>

<file path=xl/ctrlProps/ctrlProp1913.xml><?xml version="1.0" encoding="utf-8"?>
<formControlPr xmlns="http://schemas.microsoft.com/office/spreadsheetml/2009/9/main" objectType="Button" lockText="1"/>
</file>

<file path=xl/ctrlProps/ctrlProp1914.xml><?xml version="1.0" encoding="utf-8"?>
<formControlPr xmlns="http://schemas.microsoft.com/office/spreadsheetml/2009/9/main" objectType="Button" lockText="1"/>
</file>

<file path=xl/ctrlProps/ctrlProp1915.xml><?xml version="1.0" encoding="utf-8"?>
<formControlPr xmlns="http://schemas.microsoft.com/office/spreadsheetml/2009/9/main" objectType="Button" lockText="1"/>
</file>

<file path=xl/ctrlProps/ctrlProp1916.xml><?xml version="1.0" encoding="utf-8"?>
<formControlPr xmlns="http://schemas.microsoft.com/office/spreadsheetml/2009/9/main" objectType="Button" lockText="1"/>
</file>

<file path=xl/ctrlProps/ctrlProp1917.xml><?xml version="1.0" encoding="utf-8"?>
<formControlPr xmlns="http://schemas.microsoft.com/office/spreadsheetml/2009/9/main" objectType="Button" lockText="1"/>
</file>

<file path=xl/ctrlProps/ctrlProp1918.xml><?xml version="1.0" encoding="utf-8"?>
<formControlPr xmlns="http://schemas.microsoft.com/office/spreadsheetml/2009/9/main" objectType="Button" lockText="1"/>
</file>

<file path=xl/ctrlProps/ctrlProp1919.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20.xml><?xml version="1.0" encoding="utf-8"?>
<formControlPr xmlns="http://schemas.microsoft.com/office/spreadsheetml/2009/9/main" objectType="Button" lockText="1"/>
</file>

<file path=xl/ctrlProps/ctrlProp1921.xml><?xml version="1.0" encoding="utf-8"?>
<formControlPr xmlns="http://schemas.microsoft.com/office/spreadsheetml/2009/9/main" objectType="Button" lockText="1"/>
</file>

<file path=xl/ctrlProps/ctrlProp1922.xml><?xml version="1.0" encoding="utf-8"?>
<formControlPr xmlns="http://schemas.microsoft.com/office/spreadsheetml/2009/9/main" objectType="Button" lockText="1"/>
</file>

<file path=xl/ctrlProps/ctrlProp1923.xml><?xml version="1.0" encoding="utf-8"?>
<formControlPr xmlns="http://schemas.microsoft.com/office/spreadsheetml/2009/9/main" objectType="Button" lockText="1"/>
</file>

<file path=xl/ctrlProps/ctrlProp1924.xml><?xml version="1.0" encoding="utf-8"?>
<formControlPr xmlns="http://schemas.microsoft.com/office/spreadsheetml/2009/9/main" objectType="Button" lockText="1"/>
</file>

<file path=xl/ctrlProps/ctrlProp1925.xml><?xml version="1.0" encoding="utf-8"?>
<formControlPr xmlns="http://schemas.microsoft.com/office/spreadsheetml/2009/9/main" objectType="Button" lockText="1"/>
</file>

<file path=xl/ctrlProps/ctrlProp1926.xml><?xml version="1.0" encoding="utf-8"?>
<formControlPr xmlns="http://schemas.microsoft.com/office/spreadsheetml/2009/9/main" objectType="Button" lockText="1"/>
</file>

<file path=xl/ctrlProps/ctrlProp1927.xml><?xml version="1.0" encoding="utf-8"?>
<formControlPr xmlns="http://schemas.microsoft.com/office/spreadsheetml/2009/9/main" objectType="Button" lockText="1"/>
</file>

<file path=xl/ctrlProps/ctrlProp1928.xml><?xml version="1.0" encoding="utf-8"?>
<formControlPr xmlns="http://schemas.microsoft.com/office/spreadsheetml/2009/9/main" objectType="Button" lockText="1"/>
</file>

<file path=xl/ctrlProps/ctrlProp1929.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30.xml><?xml version="1.0" encoding="utf-8"?>
<formControlPr xmlns="http://schemas.microsoft.com/office/spreadsheetml/2009/9/main" objectType="Button" lockText="1"/>
</file>

<file path=xl/ctrlProps/ctrlProp1931.xml><?xml version="1.0" encoding="utf-8"?>
<formControlPr xmlns="http://schemas.microsoft.com/office/spreadsheetml/2009/9/main" objectType="Button" lockText="1"/>
</file>

<file path=xl/ctrlProps/ctrlProp1932.xml><?xml version="1.0" encoding="utf-8"?>
<formControlPr xmlns="http://schemas.microsoft.com/office/spreadsheetml/2009/9/main" objectType="Button" lockText="1"/>
</file>

<file path=xl/ctrlProps/ctrlProp1933.xml><?xml version="1.0" encoding="utf-8"?>
<formControlPr xmlns="http://schemas.microsoft.com/office/spreadsheetml/2009/9/main" objectType="Button" lockText="1"/>
</file>

<file path=xl/ctrlProps/ctrlProp1934.xml><?xml version="1.0" encoding="utf-8"?>
<formControlPr xmlns="http://schemas.microsoft.com/office/spreadsheetml/2009/9/main" objectType="Button" lockText="1"/>
</file>

<file path=xl/ctrlProps/ctrlProp1935.xml><?xml version="1.0" encoding="utf-8"?>
<formControlPr xmlns="http://schemas.microsoft.com/office/spreadsheetml/2009/9/main" objectType="Button" lockText="1"/>
</file>

<file path=xl/ctrlProps/ctrlProp1936.xml><?xml version="1.0" encoding="utf-8"?>
<formControlPr xmlns="http://schemas.microsoft.com/office/spreadsheetml/2009/9/main" objectType="Button" lockText="1"/>
</file>

<file path=xl/ctrlProps/ctrlProp1937.xml><?xml version="1.0" encoding="utf-8"?>
<formControlPr xmlns="http://schemas.microsoft.com/office/spreadsheetml/2009/9/main" objectType="Button" lockText="1"/>
</file>

<file path=xl/ctrlProps/ctrlProp1938.xml><?xml version="1.0" encoding="utf-8"?>
<formControlPr xmlns="http://schemas.microsoft.com/office/spreadsheetml/2009/9/main" objectType="Button" lockText="1"/>
</file>

<file path=xl/ctrlProps/ctrlProp1939.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40.xml><?xml version="1.0" encoding="utf-8"?>
<formControlPr xmlns="http://schemas.microsoft.com/office/spreadsheetml/2009/9/main" objectType="Button" lockText="1"/>
</file>

<file path=xl/ctrlProps/ctrlProp1941.xml><?xml version="1.0" encoding="utf-8"?>
<formControlPr xmlns="http://schemas.microsoft.com/office/spreadsheetml/2009/9/main" objectType="Button" lockText="1"/>
</file>

<file path=xl/ctrlProps/ctrlProp1942.xml><?xml version="1.0" encoding="utf-8"?>
<formControlPr xmlns="http://schemas.microsoft.com/office/spreadsheetml/2009/9/main" objectType="Button" lockText="1"/>
</file>

<file path=xl/ctrlProps/ctrlProp1943.xml><?xml version="1.0" encoding="utf-8"?>
<formControlPr xmlns="http://schemas.microsoft.com/office/spreadsheetml/2009/9/main" objectType="Button" lockText="1"/>
</file>

<file path=xl/ctrlProps/ctrlProp1944.xml><?xml version="1.0" encoding="utf-8"?>
<formControlPr xmlns="http://schemas.microsoft.com/office/spreadsheetml/2009/9/main" objectType="Button" lockText="1"/>
</file>

<file path=xl/ctrlProps/ctrlProp1945.xml><?xml version="1.0" encoding="utf-8"?>
<formControlPr xmlns="http://schemas.microsoft.com/office/spreadsheetml/2009/9/main" objectType="Button" lockText="1"/>
</file>

<file path=xl/ctrlProps/ctrlProp1946.xml><?xml version="1.0" encoding="utf-8"?>
<formControlPr xmlns="http://schemas.microsoft.com/office/spreadsheetml/2009/9/main" objectType="Button" lockText="1"/>
</file>

<file path=xl/ctrlProps/ctrlProp1947.xml><?xml version="1.0" encoding="utf-8"?>
<formControlPr xmlns="http://schemas.microsoft.com/office/spreadsheetml/2009/9/main" objectType="Button" lockText="1"/>
</file>

<file path=xl/ctrlProps/ctrlProp1948.xml><?xml version="1.0" encoding="utf-8"?>
<formControlPr xmlns="http://schemas.microsoft.com/office/spreadsheetml/2009/9/main" objectType="Button" lockText="1"/>
</file>

<file path=xl/ctrlProps/ctrlProp1949.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50.xml><?xml version="1.0" encoding="utf-8"?>
<formControlPr xmlns="http://schemas.microsoft.com/office/spreadsheetml/2009/9/main" objectType="Button" lockText="1"/>
</file>

<file path=xl/ctrlProps/ctrlProp1951.xml><?xml version="1.0" encoding="utf-8"?>
<formControlPr xmlns="http://schemas.microsoft.com/office/spreadsheetml/2009/9/main" objectType="Button" lockText="1"/>
</file>

<file path=xl/ctrlProps/ctrlProp1952.xml><?xml version="1.0" encoding="utf-8"?>
<formControlPr xmlns="http://schemas.microsoft.com/office/spreadsheetml/2009/9/main" objectType="Button" lockText="1"/>
</file>

<file path=xl/ctrlProps/ctrlProp1953.xml><?xml version="1.0" encoding="utf-8"?>
<formControlPr xmlns="http://schemas.microsoft.com/office/spreadsheetml/2009/9/main" objectType="Button" lockText="1"/>
</file>

<file path=xl/ctrlProps/ctrlProp1954.xml><?xml version="1.0" encoding="utf-8"?>
<formControlPr xmlns="http://schemas.microsoft.com/office/spreadsheetml/2009/9/main" objectType="Button" lockText="1"/>
</file>

<file path=xl/ctrlProps/ctrlProp1955.xml><?xml version="1.0" encoding="utf-8"?>
<formControlPr xmlns="http://schemas.microsoft.com/office/spreadsheetml/2009/9/main" objectType="Button" lockText="1"/>
</file>

<file path=xl/ctrlProps/ctrlProp1956.xml><?xml version="1.0" encoding="utf-8"?>
<formControlPr xmlns="http://schemas.microsoft.com/office/spreadsheetml/2009/9/main" objectType="Button" lockText="1"/>
</file>

<file path=xl/ctrlProps/ctrlProp1957.xml><?xml version="1.0" encoding="utf-8"?>
<formControlPr xmlns="http://schemas.microsoft.com/office/spreadsheetml/2009/9/main" objectType="Button" lockText="1"/>
</file>

<file path=xl/ctrlProps/ctrlProp1958.xml><?xml version="1.0" encoding="utf-8"?>
<formControlPr xmlns="http://schemas.microsoft.com/office/spreadsheetml/2009/9/main" objectType="Button" lockText="1"/>
</file>

<file path=xl/ctrlProps/ctrlProp1959.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60.xml><?xml version="1.0" encoding="utf-8"?>
<formControlPr xmlns="http://schemas.microsoft.com/office/spreadsheetml/2009/9/main" objectType="Button" lockText="1"/>
</file>

<file path=xl/ctrlProps/ctrlProp1961.xml><?xml version="1.0" encoding="utf-8"?>
<formControlPr xmlns="http://schemas.microsoft.com/office/spreadsheetml/2009/9/main" objectType="Button" lockText="1"/>
</file>

<file path=xl/ctrlProps/ctrlProp1962.xml><?xml version="1.0" encoding="utf-8"?>
<formControlPr xmlns="http://schemas.microsoft.com/office/spreadsheetml/2009/9/main" objectType="Button" lockText="1"/>
</file>

<file path=xl/ctrlProps/ctrlProp1963.xml><?xml version="1.0" encoding="utf-8"?>
<formControlPr xmlns="http://schemas.microsoft.com/office/spreadsheetml/2009/9/main" objectType="Button" lockText="1"/>
</file>

<file path=xl/ctrlProps/ctrlProp1964.xml><?xml version="1.0" encoding="utf-8"?>
<formControlPr xmlns="http://schemas.microsoft.com/office/spreadsheetml/2009/9/main" objectType="Button" lockText="1"/>
</file>

<file path=xl/ctrlProps/ctrlProp1965.xml><?xml version="1.0" encoding="utf-8"?>
<formControlPr xmlns="http://schemas.microsoft.com/office/spreadsheetml/2009/9/main" objectType="Button" lockText="1"/>
</file>

<file path=xl/ctrlProps/ctrlProp1966.xml><?xml version="1.0" encoding="utf-8"?>
<formControlPr xmlns="http://schemas.microsoft.com/office/spreadsheetml/2009/9/main" objectType="Button" lockText="1"/>
</file>

<file path=xl/ctrlProps/ctrlProp1967.xml><?xml version="1.0" encoding="utf-8"?>
<formControlPr xmlns="http://schemas.microsoft.com/office/spreadsheetml/2009/9/main" objectType="Button" lockText="1"/>
</file>

<file path=xl/ctrlProps/ctrlProp1968.xml><?xml version="1.0" encoding="utf-8"?>
<formControlPr xmlns="http://schemas.microsoft.com/office/spreadsheetml/2009/9/main" objectType="Button" lockText="1"/>
</file>

<file path=xl/ctrlProps/ctrlProp1969.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70.xml><?xml version="1.0" encoding="utf-8"?>
<formControlPr xmlns="http://schemas.microsoft.com/office/spreadsheetml/2009/9/main" objectType="Button" lockText="1"/>
</file>

<file path=xl/ctrlProps/ctrlProp1971.xml><?xml version="1.0" encoding="utf-8"?>
<formControlPr xmlns="http://schemas.microsoft.com/office/spreadsheetml/2009/9/main" objectType="Button" lockText="1"/>
</file>

<file path=xl/ctrlProps/ctrlProp1972.xml><?xml version="1.0" encoding="utf-8"?>
<formControlPr xmlns="http://schemas.microsoft.com/office/spreadsheetml/2009/9/main" objectType="Button" lockText="1"/>
</file>

<file path=xl/ctrlProps/ctrlProp1973.xml><?xml version="1.0" encoding="utf-8"?>
<formControlPr xmlns="http://schemas.microsoft.com/office/spreadsheetml/2009/9/main" objectType="Button" lockText="1"/>
</file>

<file path=xl/ctrlProps/ctrlProp1974.xml><?xml version="1.0" encoding="utf-8"?>
<formControlPr xmlns="http://schemas.microsoft.com/office/spreadsheetml/2009/9/main" objectType="Button" lockText="1"/>
</file>

<file path=xl/ctrlProps/ctrlProp1975.xml><?xml version="1.0" encoding="utf-8"?>
<formControlPr xmlns="http://schemas.microsoft.com/office/spreadsheetml/2009/9/main" objectType="Button" lockText="1"/>
</file>

<file path=xl/ctrlProps/ctrlProp1976.xml><?xml version="1.0" encoding="utf-8"?>
<formControlPr xmlns="http://schemas.microsoft.com/office/spreadsheetml/2009/9/main" objectType="Button" lockText="1"/>
</file>

<file path=xl/ctrlProps/ctrlProp1977.xml><?xml version="1.0" encoding="utf-8"?>
<formControlPr xmlns="http://schemas.microsoft.com/office/spreadsheetml/2009/9/main" objectType="Button" lockText="1"/>
</file>

<file path=xl/ctrlProps/ctrlProp1978.xml><?xml version="1.0" encoding="utf-8"?>
<formControlPr xmlns="http://schemas.microsoft.com/office/spreadsheetml/2009/9/main" objectType="Button" lockText="1"/>
</file>

<file path=xl/ctrlProps/ctrlProp1979.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80.xml><?xml version="1.0" encoding="utf-8"?>
<formControlPr xmlns="http://schemas.microsoft.com/office/spreadsheetml/2009/9/main" objectType="Button" lockText="1"/>
</file>

<file path=xl/ctrlProps/ctrlProp1981.xml><?xml version="1.0" encoding="utf-8"?>
<formControlPr xmlns="http://schemas.microsoft.com/office/spreadsheetml/2009/9/main" objectType="Button" lockText="1"/>
</file>

<file path=xl/ctrlProps/ctrlProp1982.xml><?xml version="1.0" encoding="utf-8"?>
<formControlPr xmlns="http://schemas.microsoft.com/office/spreadsheetml/2009/9/main" objectType="Button" lockText="1"/>
</file>

<file path=xl/ctrlProps/ctrlProp1983.xml><?xml version="1.0" encoding="utf-8"?>
<formControlPr xmlns="http://schemas.microsoft.com/office/spreadsheetml/2009/9/main" objectType="Button" lockText="1"/>
</file>

<file path=xl/ctrlProps/ctrlProp1984.xml><?xml version="1.0" encoding="utf-8"?>
<formControlPr xmlns="http://schemas.microsoft.com/office/spreadsheetml/2009/9/main" objectType="Button" lockText="1"/>
</file>

<file path=xl/ctrlProps/ctrlProp1985.xml><?xml version="1.0" encoding="utf-8"?>
<formControlPr xmlns="http://schemas.microsoft.com/office/spreadsheetml/2009/9/main" objectType="Button" lockText="1"/>
</file>

<file path=xl/ctrlProps/ctrlProp1986.xml><?xml version="1.0" encoding="utf-8"?>
<formControlPr xmlns="http://schemas.microsoft.com/office/spreadsheetml/2009/9/main" objectType="Button" lockText="1"/>
</file>

<file path=xl/ctrlProps/ctrlProp1987.xml><?xml version="1.0" encoding="utf-8"?>
<formControlPr xmlns="http://schemas.microsoft.com/office/spreadsheetml/2009/9/main" objectType="Button" lockText="1"/>
</file>

<file path=xl/ctrlProps/ctrlProp1988.xml><?xml version="1.0" encoding="utf-8"?>
<formControlPr xmlns="http://schemas.microsoft.com/office/spreadsheetml/2009/9/main" objectType="Button" lockText="1"/>
</file>

<file path=xl/ctrlProps/ctrlProp1989.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1990.xml><?xml version="1.0" encoding="utf-8"?>
<formControlPr xmlns="http://schemas.microsoft.com/office/spreadsheetml/2009/9/main" objectType="Button" lockText="1"/>
</file>

<file path=xl/ctrlProps/ctrlProp1991.xml><?xml version="1.0" encoding="utf-8"?>
<formControlPr xmlns="http://schemas.microsoft.com/office/spreadsheetml/2009/9/main" objectType="Button" lockText="1"/>
</file>

<file path=xl/ctrlProps/ctrlProp1992.xml><?xml version="1.0" encoding="utf-8"?>
<formControlPr xmlns="http://schemas.microsoft.com/office/spreadsheetml/2009/9/main" objectType="Button" lockText="1"/>
</file>

<file path=xl/ctrlProps/ctrlProp1993.xml><?xml version="1.0" encoding="utf-8"?>
<formControlPr xmlns="http://schemas.microsoft.com/office/spreadsheetml/2009/9/main" objectType="Button" lockText="1"/>
</file>

<file path=xl/ctrlProps/ctrlProp1994.xml><?xml version="1.0" encoding="utf-8"?>
<formControlPr xmlns="http://schemas.microsoft.com/office/spreadsheetml/2009/9/main" objectType="Button" lockText="1"/>
</file>

<file path=xl/ctrlProps/ctrlProp1995.xml><?xml version="1.0" encoding="utf-8"?>
<formControlPr xmlns="http://schemas.microsoft.com/office/spreadsheetml/2009/9/main" objectType="Button" lockText="1"/>
</file>

<file path=xl/ctrlProps/ctrlProp1996.xml><?xml version="1.0" encoding="utf-8"?>
<formControlPr xmlns="http://schemas.microsoft.com/office/spreadsheetml/2009/9/main" objectType="Button" lockText="1"/>
</file>

<file path=xl/ctrlProps/ctrlProp1997.xml><?xml version="1.0" encoding="utf-8"?>
<formControlPr xmlns="http://schemas.microsoft.com/office/spreadsheetml/2009/9/main" objectType="Button" lockText="1"/>
</file>

<file path=xl/ctrlProps/ctrlProp1998.xml><?xml version="1.0" encoding="utf-8"?>
<formControlPr xmlns="http://schemas.microsoft.com/office/spreadsheetml/2009/9/main" objectType="Button" lockText="1"/>
</file>

<file path=xl/ctrlProps/ctrlProp19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00.xml><?xml version="1.0" encoding="utf-8"?>
<formControlPr xmlns="http://schemas.microsoft.com/office/spreadsheetml/2009/9/main" objectType="Button" lockText="1"/>
</file>

<file path=xl/ctrlProps/ctrlProp2001.xml><?xml version="1.0" encoding="utf-8"?>
<formControlPr xmlns="http://schemas.microsoft.com/office/spreadsheetml/2009/9/main" objectType="Button" lockText="1"/>
</file>

<file path=xl/ctrlProps/ctrlProp2002.xml><?xml version="1.0" encoding="utf-8"?>
<formControlPr xmlns="http://schemas.microsoft.com/office/spreadsheetml/2009/9/main" objectType="Button" lockText="1"/>
</file>

<file path=xl/ctrlProps/ctrlProp2003.xml><?xml version="1.0" encoding="utf-8"?>
<formControlPr xmlns="http://schemas.microsoft.com/office/spreadsheetml/2009/9/main" objectType="Button" lockText="1"/>
</file>

<file path=xl/ctrlProps/ctrlProp2004.xml><?xml version="1.0" encoding="utf-8"?>
<formControlPr xmlns="http://schemas.microsoft.com/office/spreadsheetml/2009/9/main" objectType="Button" lockText="1"/>
</file>

<file path=xl/ctrlProps/ctrlProp2005.xml><?xml version="1.0" encoding="utf-8"?>
<formControlPr xmlns="http://schemas.microsoft.com/office/spreadsheetml/2009/9/main" objectType="Button" lockText="1"/>
</file>

<file path=xl/ctrlProps/ctrlProp2006.xml><?xml version="1.0" encoding="utf-8"?>
<formControlPr xmlns="http://schemas.microsoft.com/office/spreadsheetml/2009/9/main" objectType="Button" lockText="1"/>
</file>

<file path=xl/ctrlProps/ctrlProp2007.xml><?xml version="1.0" encoding="utf-8"?>
<formControlPr xmlns="http://schemas.microsoft.com/office/spreadsheetml/2009/9/main" objectType="Button" lockText="1"/>
</file>

<file path=xl/ctrlProps/ctrlProp2008.xml><?xml version="1.0" encoding="utf-8"?>
<formControlPr xmlns="http://schemas.microsoft.com/office/spreadsheetml/2009/9/main" objectType="Button" lockText="1"/>
</file>

<file path=xl/ctrlProps/ctrlProp2009.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10.xml><?xml version="1.0" encoding="utf-8"?>
<formControlPr xmlns="http://schemas.microsoft.com/office/spreadsheetml/2009/9/main" objectType="Button" lockText="1"/>
</file>

<file path=xl/ctrlProps/ctrlProp2011.xml><?xml version="1.0" encoding="utf-8"?>
<formControlPr xmlns="http://schemas.microsoft.com/office/spreadsheetml/2009/9/main" objectType="Button" lockText="1"/>
</file>

<file path=xl/ctrlProps/ctrlProp2012.xml><?xml version="1.0" encoding="utf-8"?>
<formControlPr xmlns="http://schemas.microsoft.com/office/spreadsheetml/2009/9/main" objectType="Button" lockText="1"/>
</file>

<file path=xl/ctrlProps/ctrlProp2013.xml><?xml version="1.0" encoding="utf-8"?>
<formControlPr xmlns="http://schemas.microsoft.com/office/spreadsheetml/2009/9/main" objectType="Button" lockText="1"/>
</file>

<file path=xl/ctrlProps/ctrlProp2014.xml><?xml version="1.0" encoding="utf-8"?>
<formControlPr xmlns="http://schemas.microsoft.com/office/spreadsheetml/2009/9/main" objectType="Button" lockText="1"/>
</file>

<file path=xl/ctrlProps/ctrlProp2015.xml><?xml version="1.0" encoding="utf-8"?>
<formControlPr xmlns="http://schemas.microsoft.com/office/spreadsheetml/2009/9/main" objectType="Button" lockText="1"/>
</file>

<file path=xl/ctrlProps/ctrlProp2016.xml><?xml version="1.0" encoding="utf-8"?>
<formControlPr xmlns="http://schemas.microsoft.com/office/spreadsheetml/2009/9/main" objectType="Button" lockText="1"/>
</file>

<file path=xl/ctrlProps/ctrlProp2017.xml><?xml version="1.0" encoding="utf-8"?>
<formControlPr xmlns="http://schemas.microsoft.com/office/spreadsheetml/2009/9/main" objectType="Button" lockText="1"/>
</file>

<file path=xl/ctrlProps/ctrlProp2018.xml><?xml version="1.0" encoding="utf-8"?>
<formControlPr xmlns="http://schemas.microsoft.com/office/spreadsheetml/2009/9/main" objectType="Button" lockText="1"/>
</file>

<file path=xl/ctrlProps/ctrlProp2019.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20.xml><?xml version="1.0" encoding="utf-8"?>
<formControlPr xmlns="http://schemas.microsoft.com/office/spreadsheetml/2009/9/main" objectType="Button" lockText="1"/>
</file>

<file path=xl/ctrlProps/ctrlProp2021.xml><?xml version="1.0" encoding="utf-8"?>
<formControlPr xmlns="http://schemas.microsoft.com/office/spreadsheetml/2009/9/main" objectType="Button" lockText="1"/>
</file>

<file path=xl/ctrlProps/ctrlProp2022.xml><?xml version="1.0" encoding="utf-8"?>
<formControlPr xmlns="http://schemas.microsoft.com/office/spreadsheetml/2009/9/main" objectType="Button" lockText="1"/>
</file>

<file path=xl/ctrlProps/ctrlProp2023.xml><?xml version="1.0" encoding="utf-8"?>
<formControlPr xmlns="http://schemas.microsoft.com/office/spreadsheetml/2009/9/main" objectType="Button" lockText="1"/>
</file>

<file path=xl/ctrlProps/ctrlProp2024.xml><?xml version="1.0" encoding="utf-8"?>
<formControlPr xmlns="http://schemas.microsoft.com/office/spreadsheetml/2009/9/main" objectType="Button" lockText="1"/>
</file>

<file path=xl/ctrlProps/ctrlProp2025.xml><?xml version="1.0" encoding="utf-8"?>
<formControlPr xmlns="http://schemas.microsoft.com/office/spreadsheetml/2009/9/main" objectType="Button" lockText="1"/>
</file>

<file path=xl/ctrlProps/ctrlProp2026.xml><?xml version="1.0" encoding="utf-8"?>
<formControlPr xmlns="http://schemas.microsoft.com/office/spreadsheetml/2009/9/main" objectType="Button" lockText="1"/>
</file>

<file path=xl/ctrlProps/ctrlProp2027.xml><?xml version="1.0" encoding="utf-8"?>
<formControlPr xmlns="http://schemas.microsoft.com/office/spreadsheetml/2009/9/main" objectType="Button" lockText="1"/>
</file>

<file path=xl/ctrlProps/ctrlProp2028.xml><?xml version="1.0" encoding="utf-8"?>
<formControlPr xmlns="http://schemas.microsoft.com/office/spreadsheetml/2009/9/main" objectType="Button" lockText="1"/>
</file>

<file path=xl/ctrlProps/ctrlProp2029.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30.xml><?xml version="1.0" encoding="utf-8"?>
<formControlPr xmlns="http://schemas.microsoft.com/office/spreadsheetml/2009/9/main" objectType="Button" lockText="1"/>
</file>

<file path=xl/ctrlProps/ctrlProp2031.xml><?xml version="1.0" encoding="utf-8"?>
<formControlPr xmlns="http://schemas.microsoft.com/office/spreadsheetml/2009/9/main" objectType="Button" lockText="1"/>
</file>

<file path=xl/ctrlProps/ctrlProp2032.xml><?xml version="1.0" encoding="utf-8"?>
<formControlPr xmlns="http://schemas.microsoft.com/office/spreadsheetml/2009/9/main" objectType="Button" lockText="1"/>
</file>

<file path=xl/ctrlProps/ctrlProp2033.xml><?xml version="1.0" encoding="utf-8"?>
<formControlPr xmlns="http://schemas.microsoft.com/office/spreadsheetml/2009/9/main" objectType="Button" lockText="1"/>
</file>

<file path=xl/ctrlProps/ctrlProp2034.xml><?xml version="1.0" encoding="utf-8"?>
<formControlPr xmlns="http://schemas.microsoft.com/office/spreadsheetml/2009/9/main" objectType="Button" lockText="1"/>
</file>

<file path=xl/ctrlProps/ctrlProp2035.xml><?xml version="1.0" encoding="utf-8"?>
<formControlPr xmlns="http://schemas.microsoft.com/office/spreadsheetml/2009/9/main" objectType="Button" lockText="1"/>
</file>

<file path=xl/ctrlProps/ctrlProp2036.xml><?xml version="1.0" encoding="utf-8"?>
<formControlPr xmlns="http://schemas.microsoft.com/office/spreadsheetml/2009/9/main" objectType="Button" lockText="1"/>
</file>

<file path=xl/ctrlProps/ctrlProp2037.xml><?xml version="1.0" encoding="utf-8"?>
<formControlPr xmlns="http://schemas.microsoft.com/office/spreadsheetml/2009/9/main" objectType="Button" lockText="1"/>
</file>

<file path=xl/ctrlProps/ctrlProp2038.xml><?xml version="1.0" encoding="utf-8"?>
<formControlPr xmlns="http://schemas.microsoft.com/office/spreadsheetml/2009/9/main" objectType="Button" lockText="1"/>
</file>

<file path=xl/ctrlProps/ctrlProp2039.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40.xml><?xml version="1.0" encoding="utf-8"?>
<formControlPr xmlns="http://schemas.microsoft.com/office/spreadsheetml/2009/9/main" objectType="Button" lockText="1"/>
</file>

<file path=xl/ctrlProps/ctrlProp2041.xml><?xml version="1.0" encoding="utf-8"?>
<formControlPr xmlns="http://schemas.microsoft.com/office/spreadsheetml/2009/9/main" objectType="Button" lockText="1"/>
</file>

<file path=xl/ctrlProps/ctrlProp2042.xml><?xml version="1.0" encoding="utf-8"?>
<formControlPr xmlns="http://schemas.microsoft.com/office/spreadsheetml/2009/9/main" objectType="Button" lockText="1"/>
</file>

<file path=xl/ctrlProps/ctrlProp2043.xml><?xml version="1.0" encoding="utf-8"?>
<formControlPr xmlns="http://schemas.microsoft.com/office/spreadsheetml/2009/9/main" objectType="Button" lockText="1"/>
</file>

<file path=xl/ctrlProps/ctrlProp2044.xml><?xml version="1.0" encoding="utf-8"?>
<formControlPr xmlns="http://schemas.microsoft.com/office/spreadsheetml/2009/9/main" objectType="Button" lockText="1"/>
</file>

<file path=xl/ctrlProps/ctrlProp2045.xml><?xml version="1.0" encoding="utf-8"?>
<formControlPr xmlns="http://schemas.microsoft.com/office/spreadsheetml/2009/9/main" objectType="Button" lockText="1"/>
</file>

<file path=xl/ctrlProps/ctrlProp2046.xml><?xml version="1.0" encoding="utf-8"?>
<formControlPr xmlns="http://schemas.microsoft.com/office/spreadsheetml/2009/9/main" objectType="Button" lockText="1"/>
</file>

<file path=xl/ctrlProps/ctrlProp2047.xml><?xml version="1.0" encoding="utf-8"?>
<formControlPr xmlns="http://schemas.microsoft.com/office/spreadsheetml/2009/9/main" objectType="Button" lockText="1"/>
</file>

<file path=xl/ctrlProps/ctrlProp2048.xml><?xml version="1.0" encoding="utf-8"?>
<formControlPr xmlns="http://schemas.microsoft.com/office/spreadsheetml/2009/9/main" objectType="Button" lockText="1"/>
</file>

<file path=xl/ctrlProps/ctrlProp2049.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50.xml><?xml version="1.0" encoding="utf-8"?>
<formControlPr xmlns="http://schemas.microsoft.com/office/spreadsheetml/2009/9/main" objectType="Button" lockText="1"/>
</file>

<file path=xl/ctrlProps/ctrlProp2051.xml><?xml version="1.0" encoding="utf-8"?>
<formControlPr xmlns="http://schemas.microsoft.com/office/spreadsheetml/2009/9/main" objectType="Button" lockText="1"/>
</file>

<file path=xl/ctrlProps/ctrlProp2052.xml><?xml version="1.0" encoding="utf-8"?>
<formControlPr xmlns="http://schemas.microsoft.com/office/spreadsheetml/2009/9/main" objectType="Button" lockText="1"/>
</file>

<file path=xl/ctrlProps/ctrlProp2053.xml><?xml version="1.0" encoding="utf-8"?>
<formControlPr xmlns="http://schemas.microsoft.com/office/spreadsheetml/2009/9/main" objectType="Button" lockText="1"/>
</file>

<file path=xl/ctrlProps/ctrlProp2054.xml><?xml version="1.0" encoding="utf-8"?>
<formControlPr xmlns="http://schemas.microsoft.com/office/spreadsheetml/2009/9/main" objectType="Button" lockText="1"/>
</file>

<file path=xl/ctrlProps/ctrlProp2055.xml><?xml version="1.0" encoding="utf-8"?>
<formControlPr xmlns="http://schemas.microsoft.com/office/spreadsheetml/2009/9/main" objectType="Button" lockText="1"/>
</file>

<file path=xl/ctrlProps/ctrlProp2056.xml><?xml version="1.0" encoding="utf-8"?>
<formControlPr xmlns="http://schemas.microsoft.com/office/spreadsheetml/2009/9/main" objectType="Button" lockText="1"/>
</file>

<file path=xl/ctrlProps/ctrlProp2057.xml><?xml version="1.0" encoding="utf-8"?>
<formControlPr xmlns="http://schemas.microsoft.com/office/spreadsheetml/2009/9/main" objectType="Button" lockText="1"/>
</file>

<file path=xl/ctrlProps/ctrlProp2058.xml><?xml version="1.0" encoding="utf-8"?>
<formControlPr xmlns="http://schemas.microsoft.com/office/spreadsheetml/2009/9/main" objectType="Button" lockText="1"/>
</file>

<file path=xl/ctrlProps/ctrlProp2059.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60.xml><?xml version="1.0" encoding="utf-8"?>
<formControlPr xmlns="http://schemas.microsoft.com/office/spreadsheetml/2009/9/main" objectType="Button" lockText="1"/>
</file>

<file path=xl/ctrlProps/ctrlProp2061.xml><?xml version="1.0" encoding="utf-8"?>
<formControlPr xmlns="http://schemas.microsoft.com/office/spreadsheetml/2009/9/main" objectType="Button" lockText="1"/>
</file>

<file path=xl/ctrlProps/ctrlProp2062.xml><?xml version="1.0" encoding="utf-8"?>
<formControlPr xmlns="http://schemas.microsoft.com/office/spreadsheetml/2009/9/main" objectType="Button" lockText="1"/>
</file>

<file path=xl/ctrlProps/ctrlProp2063.xml><?xml version="1.0" encoding="utf-8"?>
<formControlPr xmlns="http://schemas.microsoft.com/office/spreadsheetml/2009/9/main" objectType="Button" lockText="1"/>
</file>

<file path=xl/ctrlProps/ctrlProp2064.xml><?xml version="1.0" encoding="utf-8"?>
<formControlPr xmlns="http://schemas.microsoft.com/office/spreadsheetml/2009/9/main" objectType="Button" lockText="1"/>
</file>

<file path=xl/ctrlProps/ctrlProp2065.xml><?xml version="1.0" encoding="utf-8"?>
<formControlPr xmlns="http://schemas.microsoft.com/office/spreadsheetml/2009/9/main" objectType="Button" lockText="1"/>
</file>

<file path=xl/ctrlProps/ctrlProp2066.xml><?xml version="1.0" encoding="utf-8"?>
<formControlPr xmlns="http://schemas.microsoft.com/office/spreadsheetml/2009/9/main" objectType="Button" lockText="1"/>
</file>

<file path=xl/ctrlProps/ctrlProp2067.xml><?xml version="1.0" encoding="utf-8"?>
<formControlPr xmlns="http://schemas.microsoft.com/office/spreadsheetml/2009/9/main" objectType="Button" lockText="1"/>
</file>

<file path=xl/ctrlProps/ctrlProp2068.xml><?xml version="1.0" encoding="utf-8"?>
<formControlPr xmlns="http://schemas.microsoft.com/office/spreadsheetml/2009/9/main" objectType="Button" lockText="1"/>
</file>

<file path=xl/ctrlProps/ctrlProp2069.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70.xml><?xml version="1.0" encoding="utf-8"?>
<formControlPr xmlns="http://schemas.microsoft.com/office/spreadsheetml/2009/9/main" objectType="Button" lockText="1"/>
</file>

<file path=xl/ctrlProps/ctrlProp2071.xml><?xml version="1.0" encoding="utf-8"?>
<formControlPr xmlns="http://schemas.microsoft.com/office/spreadsheetml/2009/9/main" objectType="Button" lockText="1"/>
</file>

<file path=xl/ctrlProps/ctrlProp2072.xml><?xml version="1.0" encoding="utf-8"?>
<formControlPr xmlns="http://schemas.microsoft.com/office/spreadsheetml/2009/9/main" objectType="Button" lockText="1"/>
</file>

<file path=xl/ctrlProps/ctrlProp2073.xml><?xml version="1.0" encoding="utf-8"?>
<formControlPr xmlns="http://schemas.microsoft.com/office/spreadsheetml/2009/9/main" objectType="Button" lockText="1"/>
</file>

<file path=xl/ctrlProps/ctrlProp2074.xml><?xml version="1.0" encoding="utf-8"?>
<formControlPr xmlns="http://schemas.microsoft.com/office/spreadsheetml/2009/9/main" objectType="Button" lockText="1"/>
</file>

<file path=xl/ctrlProps/ctrlProp2075.xml><?xml version="1.0" encoding="utf-8"?>
<formControlPr xmlns="http://schemas.microsoft.com/office/spreadsheetml/2009/9/main" objectType="Button" lockText="1"/>
</file>

<file path=xl/ctrlProps/ctrlProp2076.xml><?xml version="1.0" encoding="utf-8"?>
<formControlPr xmlns="http://schemas.microsoft.com/office/spreadsheetml/2009/9/main" objectType="Button" lockText="1"/>
</file>

<file path=xl/ctrlProps/ctrlProp2077.xml><?xml version="1.0" encoding="utf-8"?>
<formControlPr xmlns="http://schemas.microsoft.com/office/spreadsheetml/2009/9/main" objectType="Button" lockText="1"/>
</file>

<file path=xl/ctrlProps/ctrlProp2078.xml><?xml version="1.0" encoding="utf-8"?>
<formControlPr xmlns="http://schemas.microsoft.com/office/spreadsheetml/2009/9/main" objectType="Button" lockText="1"/>
</file>

<file path=xl/ctrlProps/ctrlProp2079.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80.xml><?xml version="1.0" encoding="utf-8"?>
<formControlPr xmlns="http://schemas.microsoft.com/office/spreadsheetml/2009/9/main" objectType="Button" lockText="1"/>
</file>

<file path=xl/ctrlProps/ctrlProp2081.xml><?xml version="1.0" encoding="utf-8"?>
<formControlPr xmlns="http://schemas.microsoft.com/office/spreadsheetml/2009/9/main" objectType="Button" lockText="1"/>
</file>

<file path=xl/ctrlProps/ctrlProp2082.xml><?xml version="1.0" encoding="utf-8"?>
<formControlPr xmlns="http://schemas.microsoft.com/office/spreadsheetml/2009/9/main" objectType="Button" lockText="1"/>
</file>

<file path=xl/ctrlProps/ctrlProp2083.xml><?xml version="1.0" encoding="utf-8"?>
<formControlPr xmlns="http://schemas.microsoft.com/office/spreadsheetml/2009/9/main" objectType="Button" lockText="1"/>
</file>

<file path=xl/ctrlProps/ctrlProp2084.xml><?xml version="1.0" encoding="utf-8"?>
<formControlPr xmlns="http://schemas.microsoft.com/office/spreadsheetml/2009/9/main" objectType="Button" lockText="1"/>
</file>

<file path=xl/ctrlProps/ctrlProp2085.xml><?xml version="1.0" encoding="utf-8"?>
<formControlPr xmlns="http://schemas.microsoft.com/office/spreadsheetml/2009/9/main" objectType="Button" lockText="1"/>
</file>

<file path=xl/ctrlProps/ctrlProp2086.xml><?xml version="1.0" encoding="utf-8"?>
<formControlPr xmlns="http://schemas.microsoft.com/office/spreadsheetml/2009/9/main" objectType="Button" lockText="1"/>
</file>

<file path=xl/ctrlProps/ctrlProp2087.xml><?xml version="1.0" encoding="utf-8"?>
<formControlPr xmlns="http://schemas.microsoft.com/office/spreadsheetml/2009/9/main" objectType="Button" lockText="1"/>
</file>

<file path=xl/ctrlProps/ctrlProp2088.xml><?xml version="1.0" encoding="utf-8"?>
<formControlPr xmlns="http://schemas.microsoft.com/office/spreadsheetml/2009/9/main" objectType="Button" lockText="1"/>
</file>

<file path=xl/ctrlProps/ctrlProp2089.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090.xml><?xml version="1.0" encoding="utf-8"?>
<formControlPr xmlns="http://schemas.microsoft.com/office/spreadsheetml/2009/9/main" objectType="Button" lockText="1"/>
</file>

<file path=xl/ctrlProps/ctrlProp2091.xml><?xml version="1.0" encoding="utf-8"?>
<formControlPr xmlns="http://schemas.microsoft.com/office/spreadsheetml/2009/9/main" objectType="Button" lockText="1"/>
</file>

<file path=xl/ctrlProps/ctrlProp2092.xml><?xml version="1.0" encoding="utf-8"?>
<formControlPr xmlns="http://schemas.microsoft.com/office/spreadsheetml/2009/9/main" objectType="Button" lockText="1"/>
</file>

<file path=xl/ctrlProps/ctrlProp2093.xml><?xml version="1.0" encoding="utf-8"?>
<formControlPr xmlns="http://schemas.microsoft.com/office/spreadsheetml/2009/9/main" objectType="Button" lockText="1"/>
</file>

<file path=xl/ctrlProps/ctrlProp2094.xml><?xml version="1.0" encoding="utf-8"?>
<formControlPr xmlns="http://schemas.microsoft.com/office/spreadsheetml/2009/9/main" objectType="Button" lockText="1"/>
</file>

<file path=xl/ctrlProps/ctrlProp2095.xml><?xml version="1.0" encoding="utf-8"?>
<formControlPr xmlns="http://schemas.microsoft.com/office/spreadsheetml/2009/9/main" objectType="Button" lockText="1"/>
</file>

<file path=xl/ctrlProps/ctrlProp2096.xml><?xml version="1.0" encoding="utf-8"?>
<formControlPr xmlns="http://schemas.microsoft.com/office/spreadsheetml/2009/9/main" objectType="Button" lockText="1"/>
</file>

<file path=xl/ctrlProps/ctrlProp2097.xml><?xml version="1.0" encoding="utf-8"?>
<formControlPr xmlns="http://schemas.microsoft.com/office/spreadsheetml/2009/9/main" objectType="Button" lockText="1"/>
</file>

<file path=xl/ctrlProps/ctrlProp2098.xml><?xml version="1.0" encoding="utf-8"?>
<formControlPr xmlns="http://schemas.microsoft.com/office/spreadsheetml/2009/9/main" objectType="Button" lockText="1"/>
</file>

<file path=xl/ctrlProps/ctrlProp209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00.xml><?xml version="1.0" encoding="utf-8"?>
<formControlPr xmlns="http://schemas.microsoft.com/office/spreadsheetml/2009/9/main" objectType="Button" lockText="1"/>
</file>

<file path=xl/ctrlProps/ctrlProp2101.xml><?xml version="1.0" encoding="utf-8"?>
<formControlPr xmlns="http://schemas.microsoft.com/office/spreadsheetml/2009/9/main" objectType="Button" lockText="1"/>
</file>

<file path=xl/ctrlProps/ctrlProp2102.xml><?xml version="1.0" encoding="utf-8"?>
<formControlPr xmlns="http://schemas.microsoft.com/office/spreadsheetml/2009/9/main" objectType="Button" lockText="1"/>
</file>

<file path=xl/ctrlProps/ctrlProp2103.xml><?xml version="1.0" encoding="utf-8"?>
<formControlPr xmlns="http://schemas.microsoft.com/office/spreadsheetml/2009/9/main" objectType="Button" lockText="1"/>
</file>

<file path=xl/ctrlProps/ctrlProp2104.xml><?xml version="1.0" encoding="utf-8"?>
<formControlPr xmlns="http://schemas.microsoft.com/office/spreadsheetml/2009/9/main" objectType="Button" lockText="1"/>
</file>

<file path=xl/ctrlProps/ctrlProp2105.xml><?xml version="1.0" encoding="utf-8"?>
<formControlPr xmlns="http://schemas.microsoft.com/office/spreadsheetml/2009/9/main" objectType="Button" lockText="1"/>
</file>

<file path=xl/ctrlProps/ctrlProp2106.xml><?xml version="1.0" encoding="utf-8"?>
<formControlPr xmlns="http://schemas.microsoft.com/office/spreadsheetml/2009/9/main" objectType="Button" lockText="1"/>
</file>

<file path=xl/ctrlProps/ctrlProp2107.xml><?xml version="1.0" encoding="utf-8"?>
<formControlPr xmlns="http://schemas.microsoft.com/office/spreadsheetml/2009/9/main" objectType="Button" lockText="1"/>
</file>

<file path=xl/ctrlProps/ctrlProp2108.xml><?xml version="1.0" encoding="utf-8"?>
<formControlPr xmlns="http://schemas.microsoft.com/office/spreadsheetml/2009/9/main" objectType="Button" lockText="1"/>
</file>

<file path=xl/ctrlProps/ctrlProp2109.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10.xml><?xml version="1.0" encoding="utf-8"?>
<formControlPr xmlns="http://schemas.microsoft.com/office/spreadsheetml/2009/9/main" objectType="Button" lockText="1"/>
</file>

<file path=xl/ctrlProps/ctrlProp2111.xml><?xml version="1.0" encoding="utf-8"?>
<formControlPr xmlns="http://schemas.microsoft.com/office/spreadsheetml/2009/9/main" objectType="Button" lockText="1"/>
</file>

<file path=xl/ctrlProps/ctrlProp2112.xml><?xml version="1.0" encoding="utf-8"?>
<formControlPr xmlns="http://schemas.microsoft.com/office/spreadsheetml/2009/9/main" objectType="Button" lockText="1"/>
</file>

<file path=xl/ctrlProps/ctrlProp2113.xml><?xml version="1.0" encoding="utf-8"?>
<formControlPr xmlns="http://schemas.microsoft.com/office/spreadsheetml/2009/9/main" objectType="Button" lockText="1"/>
</file>

<file path=xl/ctrlProps/ctrlProp2114.xml><?xml version="1.0" encoding="utf-8"?>
<formControlPr xmlns="http://schemas.microsoft.com/office/spreadsheetml/2009/9/main" objectType="Button" lockText="1"/>
</file>

<file path=xl/ctrlProps/ctrlProp2115.xml><?xml version="1.0" encoding="utf-8"?>
<formControlPr xmlns="http://schemas.microsoft.com/office/spreadsheetml/2009/9/main" objectType="Button" lockText="1"/>
</file>

<file path=xl/ctrlProps/ctrlProp2116.xml><?xml version="1.0" encoding="utf-8"?>
<formControlPr xmlns="http://schemas.microsoft.com/office/spreadsheetml/2009/9/main" objectType="Button" lockText="1"/>
</file>

<file path=xl/ctrlProps/ctrlProp2117.xml><?xml version="1.0" encoding="utf-8"?>
<formControlPr xmlns="http://schemas.microsoft.com/office/spreadsheetml/2009/9/main" objectType="Button" lockText="1"/>
</file>

<file path=xl/ctrlProps/ctrlProp2118.xml><?xml version="1.0" encoding="utf-8"?>
<formControlPr xmlns="http://schemas.microsoft.com/office/spreadsheetml/2009/9/main" objectType="Button" lockText="1"/>
</file>

<file path=xl/ctrlProps/ctrlProp2119.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20.xml><?xml version="1.0" encoding="utf-8"?>
<formControlPr xmlns="http://schemas.microsoft.com/office/spreadsheetml/2009/9/main" objectType="Button" lockText="1"/>
</file>

<file path=xl/ctrlProps/ctrlProp2121.xml><?xml version="1.0" encoding="utf-8"?>
<formControlPr xmlns="http://schemas.microsoft.com/office/spreadsheetml/2009/9/main" objectType="Button" lockText="1"/>
</file>

<file path=xl/ctrlProps/ctrlProp2122.xml><?xml version="1.0" encoding="utf-8"?>
<formControlPr xmlns="http://schemas.microsoft.com/office/spreadsheetml/2009/9/main" objectType="Button" lockText="1"/>
</file>

<file path=xl/ctrlProps/ctrlProp2123.xml><?xml version="1.0" encoding="utf-8"?>
<formControlPr xmlns="http://schemas.microsoft.com/office/spreadsheetml/2009/9/main" objectType="Button" lockText="1"/>
</file>

<file path=xl/ctrlProps/ctrlProp2124.xml><?xml version="1.0" encoding="utf-8"?>
<formControlPr xmlns="http://schemas.microsoft.com/office/spreadsheetml/2009/9/main" objectType="Button" lockText="1"/>
</file>

<file path=xl/ctrlProps/ctrlProp2125.xml><?xml version="1.0" encoding="utf-8"?>
<formControlPr xmlns="http://schemas.microsoft.com/office/spreadsheetml/2009/9/main" objectType="Button" lockText="1"/>
</file>

<file path=xl/ctrlProps/ctrlProp2126.xml><?xml version="1.0" encoding="utf-8"?>
<formControlPr xmlns="http://schemas.microsoft.com/office/spreadsheetml/2009/9/main" objectType="Button" lockText="1"/>
</file>

<file path=xl/ctrlProps/ctrlProp2127.xml><?xml version="1.0" encoding="utf-8"?>
<formControlPr xmlns="http://schemas.microsoft.com/office/spreadsheetml/2009/9/main" objectType="Button" lockText="1"/>
</file>

<file path=xl/ctrlProps/ctrlProp2128.xml><?xml version="1.0" encoding="utf-8"?>
<formControlPr xmlns="http://schemas.microsoft.com/office/spreadsheetml/2009/9/main" objectType="Button" lockText="1"/>
</file>

<file path=xl/ctrlProps/ctrlProp2129.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30.xml><?xml version="1.0" encoding="utf-8"?>
<formControlPr xmlns="http://schemas.microsoft.com/office/spreadsheetml/2009/9/main" objectType="Button" lockText="1"/>
</file>

<file path=xl/ctrlProps/ctrlProp2131.xml><?xml version="1.0" encoding="utf-8"?>
<formControlPr xmlns="http://schemas.microsoft.com/office/spreadsheetml/2009/9/main" objectType="Button" lockText="1"/>
</file>

<file path=xl/ctrlProps/ctrlProp2132.xml><?xml version="1.0" encoding="utf-8"?>
<formControlPr xmlns="http://schemas.microsoft.com/office/spreadsheetml/2009/9/main" objectType="Button" lockText="1"/>
</file>

<file path=xl/ctrlProps/ctrlProp2133.xml><?xml version="1.0" encoding="utf-8"?>
<formControlPr xmlns="http://schemas.microsoft.com/office/spreadsheetml/2009/9/main" objectType="Button" lockText="1"/>
</file>

<file path=xl/ctrlProps/ctrlProp2134.xml><?xml version="1.0" encoding="utf-8"?>
<formControlPr xmlns="http://schemas.microsoft.com/office/spreadsheetml/2009/9/main" objectType="Button" lockText="1"/>
</file>

<file path=xl/ctrlProps/ctrlProp2135.xml><?xml version="1.0" encoding="utf-8"?>
<formControlPr xmlns="http://schemas.microsoft.com/office/spreadsheetml/2009/9/main" objectType="Button" lockText="1"/>
</file>

<file path=xl/ctrlProps/ctrlProp2136.xml><?xml version="1.0" encoding="utf-8"?>
<formControlPr xmlns="http://schemas.microsoft.com/office/spreadsheetml/2009/9/main" objectType="Button" lockText="1"/>
</file>

<file path=xl/ctrlProps/ctrlProp2137.xml><?xml version="1.0" encoding="utf-8"?>
<formControlPr xmlns="http://schemas.microsoft.com/office/spreadsheetml/2009/9/main" objectType="Button" lockText="1"/>
</file>

<file path=xl/ctrlProps/ctrlProp2138.xml><?xml version="1.0" encoding="utf-8"?>
<formControlPr xmlns="http://schemas.microsoft.com/office/spreadsheetml/2009/9/main" objectType="Button" lockText="1"/>
</file>

<file path=xl/ctrlProps/ctrlProp2139.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40.xml><?xml version="1.0" encoding="utf-8"?>
<formControlPr xmlns="http://schemas.microsoft.com/office/spreadsheetml/2009/9/main" objectType="Button" lockText="1"/>
</file>

<file path=xl/ctrlProps/ctrlProp2141.xml><?xml version="1.0" encoding="utf-8"?>
<formControlPr xmlns="http://schemas.microsoft.com/office/spreadsheetml/2009/9/main" objectType="Button" lockText="1"/>
</file>

<file path=xl/ctrlProps/ctrlProp2142.xml><?xml version="1.0" encoding="utf-8"?>
<formControlPr xmlns="http://schemas.microsoft.com/office/spreadsheetml/2009/9/main" objectType="Button" lockText="1"/>
</file>

<file path=xl/ctrlProps/ctrlProp2143.xml><?xml version="1.0" encoding="utf-8"?>
<formControlPr xmlns="http://schemas.microsoft.com/office/spreadsheetml/2009/9/main" objectType="Button" lockText="1"/>
</file>

<file path=xl/ctrlProps/ctrlProp2144.xml><?xml version="1.0" encoding="utf-8"?>
<formControlPr xmlns="http://schemas.microsoft.com/office/spreadsheetml/2009/9/main" objectType="Button" lockText="1"/>
</file>

<file path=xl/ctrlProps/ctrlProp2145.xml><?xml version="1.0" encoding="utf-8"?>
<formControlPr xmlns="http://schemas.microsoft.com/office/spreadsheetml/2009/9/main" objectType="Button" lockText="1"/>
</file>

<file path=xl/ctrlProps/ctrlProp2146.xml><?xml version="1.0" encoding="utf-8"?>
<formControlPr xmlns="http://schemas.microsoft.com/office/spreadsheetml/2009/9/main" objectType="Button" lockText="1"/>
</file>

<file path=xl/ctrlProps/ctrlProp2147.xml><?xml version="1.0" encoding="utf-8"?>
<formControlPr xmlns="http://schemas.microsoft.com/office/spreadsheetml/2009/9/main" objectType="Button" lockText="1"/>
</file>

<file path=xl/ctrlProps/ctrlProp2148.xml><?xml version="1.0" encoding="utf-8"?>
<formControlPr xmlns="http://schemas.microsoft.com/office/spreadsheetml/2009/9/main" objectType="Button" lockText="1"/>
</file>

<file path=xl/ctrlProps/ctrlProp2149.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50.xml><?xml version="1.0" encoding="utf-8"?>
<formControlPr xmlns="http://schemas.microsoft.com/office/spreadsheetml/2009/9/main" objectType="Button" lockText="1"/>
</file>

<file path=xl/ctrlProps/ctrlProp2151.xml><?xml version="1.0" encoding="utf-8"?>
<formControlPr xmlns="http://schemas.microsoft.com/office/spreadsheetml/2009/9/main" objectType="Button" lockText="1"/>
</file>

<file path=xl/ctrlProps/ctrlProp2152.xml><?xml version="1.0" encoding="utf-8"?>
<formControlPr xmlns="http://schemas.microsoft.com/office/spreadsheetml/2009/9/main" objectType="Button" lockText="1"/>
</file>

<file path=xl/ctrlProps/ctrlProp2153.xml><?xml version="1.0" encoding="utf-8"?>
<formControlPr xmlns="http://schemas.microsoft.com/office/spreadsheetml/2009/9/main" objectType="Button" lockText="1"/>
</file>

<file path=xl/ctrlProps/ctrlProp2154.xml><?xml version="1.0" encoding="utf-8"?>
<formControlPr xmlns="http://schemas.microsoft.com/office/spreadsheetml/2009/9/main" objectType="Button" lockText="1"/>
</file>

<file path=xl/ctrlProps/ctrlProp2155.xml><?xml version="1.0" encoding="utf-8"?>
<formControlPr xmlns="http://schemas.microsoft.com/office/spreadsheetml/2009/9/main" objectType="Button" lockText="1"/>
</file>

<file path=xl/ctrlProps/ctrlProp2156.xml><?xml version="1.0" encoding="utf-8"?>
<formControlPr xmlns="http://schemas.microsoft.com/office/spreadsheetml/2009/9/main" objectType="Button" lockText="1"/>
</file>

<file path=xl/ctrlProps/ctrlProp2157.xml><?xml version="1.0" encoding="utf-8"?>
<formControlPr xmlns="http://schemas.microsoft.com/office/spreadsheetml/2009/9/main" objectType="Button" lockText="1"/>
</file>

<file path=xl/ctrlProps/ctrlProp2158.xml><?xml version="1.0" encoding="utf-8"?>
<formControlPr xmlns="http://schemas.microsoft.com/office/spreadsheetml/2009/9/main" objectType="Button" lockText="1"/>
</file>

<file path=xl/ctrlProps/ctrlProp2159.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60.xml><?xml version="1.0" encoding="utf-8"?>
<formControlPr xmlns="http://schemas.microsoft.com/office/spreadsheetml/2009/9/main" objectType="Button" lockText="1"/>
</file>

<file path=xl/ctrlProps/ctrlProp2161.xml><?xml version="1.0" encoding="utf-8"?>
<formControlPr xmlns="http://schemas.microsoft.com/office/spreadsheetml/2009/9/main" objectType="Button" lockText="1"/>
</file>

<file path=xl/ctrlProps/ctrlProp2162.xml><?xml version="1.0" encoding="utf-8"?>
<formControlPr xmlns="http://schemas.microsoft.com/office/spreadsheetml/2009/9/main" objectType="Button" lockText="1"/>
</file>

<file path=xl/ctrlProps/ctrlProp2163.xml><?xml version="1.0" encoding="utf-8"?>
<formControlPr xmlns="http://schemas.microsoft.com/office/spreadsheetml/2009/9/main" objectType="Button" lockText="1"/>
</file>

<file path=xl/ctrlProps/ctrlProp2164.xml><?xml version="1.0" encoding="utf-8"?>
<formControlPr xmlns="http://schemas.microsoft.com/office/spreadsheetml/2009/9/main" objectType="Button" lockText="1"/>
</file>

<file path=xl/ctrlProps/ctrlProp2165.xml><?xml version="1.0" encoding="utf-8"?>
<formControlPr xmlns="http://schemas.microsoft.com/office/spreadsheetml/2009/9/main" objectType="Button" lockText="1"/>
</file>

<file path=xl/ctrlProps/ctrlProp2166.xml><?xml version="1.0" encoding="utf-8"?>
<formControlPr xmlns="http://schemas.microsoft.com/office/spreadsheetml/2009/9/main" objectType="Button" lockText="1"/>
</file>

<file path=xl/ctrlProps/ctrlProp2167.xml><?xml version="1.0" encoding="utf-8"?>
<formControlPr xmlns="http://schemas.microsoft.com/office/spreadsheetml/2009/9/main" objectType="Button" lockText="1"/>
</file>

<file path=xl/ctrlProps/ctrlProp2168.xml><?xml version="1.0" encoding="utf-8"?>
<formControlPr xmlns="http://schemas.microsoft.com/office/spreadsheetml/2009/9/main" objectType="Button" lockText="1"/>
</file>

<file path=xl/ctrlProps/ctrlProp2169.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70.xml><?xml version="1.0" encoding="utf-8"?>
<formControlPr xmlns="http://schemas.microsoft.com/office/spreadsheetml/2009/9/main" objectType="Button" lockText="1"/>
</file>

<file path=xl/ctrlProps/ctrlProp2171.xml><?xml version="1.0" encoding="utf-8"?>
<formControlPr xmlns="http://schemas.microsoft.com/office/spreadsheetml/2009/9/main" objectType="Button" lockText="1"/>
</file>

<file path=xl/ctrlProps/ctrlProp2172.xml><?xml version="1.0" encoding="utf-8"?>
<formControlPr xmlns="http://schemas.microsoft.com/office/spreadsheetml/2009/9/main" objectType="Button" lockText="1"/>
</file>

<file path=xl/ctrlProps/ctrlProp2173.xml><?xml version="1.0" encoding="utf-8"?>
<formControlPr xmlns="http://schemas.microsoft.com/office/spreadsheetml/2009/9/main" objectType="Button" lockText="1"/>
</file>

<file path=xl/ctrlProps/ctrlProp2174.xml><?xml version="1.0" encoding="utf-8"?>
<formControlPr xmlns="http://schemas.microsoft.com/office/spreadsheetml/2009/9/main" objectType="Button" lockText="1"/>
</file>

<file path=xl/ctrlProps/ctrlProp2175.xml><?xml version="1.0" encoding="utf-8"?>
<formControlPr xmlns="http://schemas.microsoft.com/office/spreadsheetml/2009/9/main" objectType="Button" lockText="1"/>
</file>

<file path=xl/ctrlProps/ctrlProp2176.xml><?xml version="1.0" encoding="utf-8"?>
<formControlPr xmlns="http://schemas.microsoft.com/office/spreadsheetml/2009/9/main" objectType="Button" lockText="1"/>
</file>

<file path=xl/ctrlProps/ctrlProp2177.xml><?xml version="1.0" encoding="utf-8"?>
<formControlPr xmlns="http://schemas.microsoft.com/office/spreadsheetml/2009/9/main" objectType="Button" lockText="1"/>
</file>

<file path=xl/ctrlProps/ctrlProp2178.xml><?xml version="1.0" encoding="utf-8"?>
<formControlPr xmlns="http://schemas.microsoft.com/office/spreadsheetml/2009/9/main" objectType="Button" lockText="1"/>
</file>

<file path=xl/ctrlProps/ctrlProp2179.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80.xml><?xml version="1.0" encoding="utf-8"?>
<formControlPr xmlns="http://schemas.microsoft.com/office/spreadsheetml/2009/9/main" objectType="Button" lockText="1"/>
</file>

<file path=xl/ctrlProps/ctrlProp2181.xml><?xml version="1.0" encoding="utf-8"?>
<formControlPr xmlns="http://schemas.microsoft.com/office/spreadsheetml/2009/9/main" objectType="Button" lockText="1"/>
</file>

<file path=xl/ctrlProps/ctrlProp2182.xml><?xml version="1.0" encoding="utf-8"?>
<formControlPr xmlns="http://schemas.microsoft.com/office/spreadsheetml/2009/9/main" objectType="Button" lockText="1"/>
</file>

<file path=xl/ctrlProps/ctrlProp2183.xml><?xml version="1.0" encoding="utf-8"?>
<formControlPr xmlns="http://schemas.microsoft.com/office/spreadsheetml/2009/9/main" objectType="Button" lockText="1"/>
</file>

<file path=xl/ctrlProps/ctrlProp2184.xml><?xml version="1.0" encoding="utf-8"?>
<formControlPr xmlns="http://schemas.microsoft.com/office/spreadsheetml/2009/9/main" objectType="Button" lockText="1"/>
</file>

<file path=xl/ctrlProps/ctrlProp2185.xml><?xml version="1.0" encoding="utf-8"?>
<formControlPr xmlns="http://schemas.microsoft.com/office/spreadsheetml/2009/9/main" objectType="Button" lockText="1"/>
</file>

<file path=xl/ctrlProps/ctrlProp2186.xml><?xml version="1.0" encoding="utf-8"?>
<formControlPr xmlns="http://schemas.microsoft.com/office/spreadsheetml/2009/9/main" objectType="Button" lockText="1"/>
</file>

<file path=xl/ctrlProps/ctrlProp2187.xml><?xml version="1.0" encoding="utf-8"?>
<formControlPr xmlns="http://schemas.microsoft.com/office/spreadsheetml/2009/9/main" objectType="Button" lockText="1"/>
</file>

<file path=xl/ctrlProps/ctrlProp2188.xml><?xml version="1.0" encoding="utf-8"?>
<formControlPr xmlns="http://schemas.microsoft.com/office/spreadsheetml/2009/9/main" objectType="Button" lockText="1"/>
</file>

<file path=xl/ctrlProps/ctrlProp2189.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190.xml><?xml version="1.0" encoding="utf-8"?>
<formControlPr xmlns="http://schemas.microsoft.com/office/spreadsheetml/2009/9/main" objectType="Button" lockText="1"/>
</file>

<file path=xl/ctrlProps/ctrlProp2191.xml><?xml version="1.0" encoding="utf-8"?>
<formControlPr xmlns="http://schemas.microsoft.com/office/spreadsheetml/2009/9/main" objectType="Button" lockText="1"/>
</file>

<file path=xl/ctrlProps/ctrlProp2192.xml><?xml version="1.0" encoding="utf-8"?>
<formControlPr xmlns="http://schemas.microsoft.com/office/spreadsheetml/2009/9/main" objectType="Button" lockText="1"/>
</file>

<file path=xl/ctrlProps/ctrlProp2193.xml><?xml version="1.0" encoding="utf-8"?>
<formControlPr xmlns="http://schemas.microsoft.com/office/spreadsheetml/2009/9/main" objectType="Button" lockText="1"/>
</file>

<file path=xl/ctrlProps/ctrlProp2194.xml><?xml version="1.0" encoding="utf-8"?>
<formControlPr xmlns="http://schemas.microsoft.com/office/spreadsheetml/2009/9/main" objectType="Button" lockText="1"/>
</file>

<file path=xl/ctrlProps/ctrlProp2195.xml><?xml version="1.0" encoding="utf-8"?>
<formControlPr xmlns="http://schemas.microsoft.com/office/spreadsheetml/2009/9/main" objectType="Button" lockText="1"/>
</file>

<file path=xl/ctrlProps/ctrlProp2196.xml><?xml version="1.0" encoding="utf-8"?>
<formControlPr xmlns="http://schemas.microsoft.com/office/spreadsheetml/2009/9/main" objectType="Button" lockText="1"/>
</file>

<file path=xl/ctrlProps/ctrlProp2197.xml><?xml version="1.0" encoding="utf-8"?>
<formControlPr xmlns="http://schemas.microsoft.com/office/spreadsheetml/2009/9/main" objectType="Button" lockText="1"/>
</file>

<file path=xl/ctrlProps/ctrlProp2198.xml><?xml version="1.0" encoding="utf-8"?>
<formControlPr xmlns="http://schemas.microsoft.com/office/spreadsheetml/2009/9/main" objectType="Button" lockText="1"/>
</file>

<file path=xl/ctrlProps/ctrlProp219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00.xml><?xml version="1.0" encoding="utf-8"?>
<formControlPr xmlns="http://schemas.microsoft.com/office/spreadsheetml/2009/9/main" objectType="Button" lockText="1"/>
</file>

<file path=xl/ctrlProps/ctrlProp2201.xml><?xml version="1.0" encoding="utf-8"?>
<formControlPr xmlns="http://schemas.microsoft.com/office/spreadsheetml/2009/9/main" objectType="Button" lockText="1"/>
</file>

<file path=xl/ctrlProps/ctrlProp2202.xml><?xml version="1.0" encoding="utf-8"?>
<formControlPr xmlns="http://schemas.microsoft.com/office/spreadsheetml/2009/9/main" objectType="Button" lockText="1"/>
</file>

<file path=xl/ctrlProps/ctrlProp2203.xml><?xml version="1.0" encoding="utf-8"?>
<formControlPr xmlns="http://schemas.microsoft.com/office/spreadsheetml/2009/9/main" objectType="Button" lockText="1"/>
</file>

<file path=xl/ctrlProps/ctrlProp2204.xml><?xml version="1.0" encoding="utf-8"?>
<formControlPr xmlns="http://schemas.microsoft.com/office/spreadsheetml/2009/9/main" objectType="Button" lockText="1"/>
</file>

<file path=xl/ctrlProps/ctrlProp2205.xml><?xml version="1.0" encoding="utf-8"?>
<formControlPr xmlns="http://schemas.microsoft.com/office/spreadsheetml/2009/9/main" objectType="Button" lockText="1"/>
</file>

<file path=xl/ctrlProps/ctrlProp2206.xml><?xml version="1.0" encoding="utf-8"?>
<formControlPr xmlns="http://schemas.microsoft.com/office/spreadsheetml/2009/9/main" objectType="Button" lockText="1"/>
</file>

<file path=xl/ctrlProps/ctrlProp2207.xml><?xml version="1.0" encoding="utf-8"?>
<formControlPr xmlns="http://schemas.microsoft.com/office/spreadsheetml/2009/9/main" objectType="Button" lockText="1"/>
</file>

<file path=xl/ctrlProps/ctrlProp2208.xml><?xml version="1.0" encoding="utf-8"?>
<formControlPr xmlns="http://schemas.microsoft.com/office/spreadsheetml/2009/9/main" objectType="Button" lockText="1"/>
</file>

<file path=xl/ctrlProps/ctrlProp2209.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10.xml><?xml version="1.0" encoding="utf-8"?>
<formControlPr xmlns="http://schemas.microsoft.com/office/spreadsheetml/2009/9/main" objectType="Button" lockText="1"/>
</file>

<file path=xl/ctrlProps/ctrlProp2211.xml><?xml version="1.0" encoding="utf-8"?>
<formControlPr xmlns="http://schemas.microsoft.com/office/spreadsheetml/2009/9/main" objectType="Button" lockText="1"/>
</file>

<file path=xl/ctrlProps/ctrlProp2212.xml><?xml version="1.0" encoding="utf-8"?>
<formControlPr xmlns="http://schemas.microsoft.com/office/spreadsheetml/2009/9/main" objectType="Button" lockText="1"/>
</file>

<file path=xl/ctrlProps/ctrlProp2213.xml><?xml version="1.0" encoding="utf-8"?>
<formControlPr xmlns="http://schemas.microsoft.com/office/spreadsheetml/2009/9/main" objectType="Button" lockText="1"/>
</file>

<file path=xl/ctrlProps/ctrlProp2214.xml><?xml version="1.0" encoding="utf-8"?>
<formControlPr xmlns="http://schemas.microsoft.com/office/spreadsheetml/2009/9/main" objectType="Button" lockText="1"/>
</file>

<file path=xl/ctrlProps/ctrlProp2215.xml><?xml version="1.0" encoding="utf-8"?>
<formControlPr xmlns="http://schemas.microsoft.com/office/spreadsheetml/2009/9/main" objectType="Button" lockText="1"/>
</file>

<file path=xl/ctrlProps/ctrlProp2216.xml><?xml version="1.0" encoding="utf-8"?>
<formControlPr xmlns="http://schemas.microsoft.com/office/spreadsheetml/2009/9/main" objectType="Button" lockText="1"/>
</file>

<file path=xl/ctrlProps/ctrlProp2217.xml><?xml version="1.0" encoding="utf-8"?>
<formControlPr xmlns="http://schemas.microsoft.com/office/spreadsheetml/2009/9/main" objectType="Button" lockText="1"/>
</file>

<file path=xl/ctrlProps/ctrlProp2218.xml><?xml version="1.0" encoding="utf-8"?>
<formControlPr xmlns="http://schemas.microsoft.com/office/spreadsheetml/2009/9/main" objectType="Button" lockText="1"/>
</file>

<file path=xl/ctrlProps/ctrlProp2219.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20.xml><?xml version="1.0" encoding="utf-8"?>
<formControlPr xmlns="http://schemas.microsoft.com/office/spreadsheetml/2009/9/main" objectType="Button" lockText="1"/>
</file>

<file path=xl/ctrlProps/ctrlProp2221.xml><?xml version="1.0" encoding="utf-8"?>
<formControlPr xmlns="http://schemas.microsoft.com/office/spreadsheetml/2009/9/main" objectType="Button" lockText="1"/>
</file>

<file path=xl/ctrlProps/ctrlProp2222.xml><?xml version="1.0" encoding="utf-8"?>
<formControlPr xmlns="http://schemas.microsoft.com/office/spreadsheetml/2009/9/main" objectType="Button" lockText="1"/>
</file>

<file path=xl/ctrlProps/ctrlProp2223.xml><?xml version="1.0" encoding="utf-8"?>
<formControlPr xmlns="http://schemas.microsoft.com/office/spreadsheetml/2009/9/main" objectType="Button" lockText="1"/>
</file>

<file path=xl/ctrlProps/ctrlProp2224.xml><?xml version="1.0" encoding="utf-8"?>
<formControlPr xmlns="http://schemas.microsoft.com/office/spreadsheetml/2009/9/main" objectType="Button" lockText="1"/>
</file>

<file path=xl/ctrlProps/ctrlProp2225.xml><?xml version="1.0" encoding="utf-8"?>
<formControlPr xmlns="http://schemas.microsoft.com/office/spreadsheetml/2009/9/main" objectType="Button" lockText="1"/>
</file>

<file path=xl/ctrlProps/ctrlProp2226.xml><?xml version="1.0" encoding="utf-8"?>
<formControlPr xmlns="http://schemas.microsoft.com/office/spreadsheetml/2009/9/main" objectType="Button" lockText="1"/>
</file>

<file path=xl/ctrlProps/ctrlProp2227.xml><?xml version="1.0" encoding="utf-8"?>
<formControlPr xmlns="http://schemas.microsoft.com/office/spreadsheetml/2009/9/main" objectType="Button" lockText="1"/>
</file>

<file path=xl/ctrlProps/ctrlProp2228.xml><?xml version="1.0" encoding="utf-8"?>
<formControlPr xmlns="http://schemas.microsoft.com/office/spreadsheetml/2009/9/main" objectType="Button" lockText="1"/>
</file>

<file path=xl/ctrlProps/ctrlProp2229.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30.xml><?xml version="1.0" encoding="utf-8"?>
<formControlPr xmlns="http://schemas.microsoft.com/office/spreadsheetml/2009/9/main" objectType="Button" lockText="1"/>
</file>

<file path=xl/ctrlProps/ctrlProp2231.xml><?xml version="1.0" encoding="utf-8"?>
<formControlPr xmlns="http://schemas.microsoft.com/office/spreadsheetml/2009/9/main" objectType="Button" lockText="1"/>
</file>

<file path=xl/ctrlProps/ctrlProp2232.xml><?xml version="1.0" encoding="utf-8"?>
<formControlPr xmlns="http://schemas.microsoft.com/office/spreadsheetml/2009/9/main" objectType="Button" lockText="1"/>
</file>

<file path=xl/ctrlProps/ctrlProp2233.xml><?xml version="1.0" encoding="utf-8"?>
<formControlPr xmlns="http://schemas.microsoft.com/office/spreadsheetml/2009/9/main" objectType="Button" lockText="1"/>
</file>

<file path=xl/ctrlProps/ctrlProp2234.xml><?xml version="1.0" encoding="utf-8"?>
<formControlPr xmlns="http://schemas.microsoft.com/office/spreadsheetml/2009/9/main" objectType="Button" lockText="1"/>
</file>

<file path=xl/ctrlProps/ctrlProp2235.xml><?xml version="1.0" encoding="utf-8"?>
<formControlPr xmlns="http://schemas.microsoft.com/office/spreadsheetml/2009/9/main" objectType="Button" lockText="1"/>
</file>

<file path=xl/ctrlProps/ctrlProp2236.xml><?xml version="1.0" encoding="utf-8"?>
<formControlPr xmlns="http://schemas.microsoft.com/office/spreadsheetml/2009/9/main" objectType="Button" lockText="1"/>
</file>

<file path=xl/ctrlProps/ctrlProp2237.xml><?xml version="1.0" encoding="utf-8"?>
<formControlPr xmlns="http://schemas.microsoft.com/office/spreadsheetml/2009/9/main" objectType="Button" lockText="1"/>
</file>

<file path=xl/ctrlProps/ctrlProp2238.xml><?xml version="1.0" encoding="utf-8"?>
<formControlPr xmlns="http://schemas.microsoft.com/office/spreadsheetml/2009/9/main" objectType="Button" lockText="1"/>
</file>

<file path=xl/ctrlProps/ctrlProp2239.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40.xml><?xml version="1.0" encoding="utf-8"?>
<formControlPr xmlns="http://schemas.microsoft.com/office/spreadsheetml/2009/9/main" objectType="Button" lockText="1"/>
</file>

<file path=xl/ctrlProps/ctrlProp2241.xml><?xml version="1.0" encoding="utf-8"?>
<formControlPr xmlns="http://schemas.microsoft.com/office/spreadsheetml/2009/9/main" objectType="Button" lockText="1"/>
</file>

<file path=xl/ctrlProps/ctrlProp2242.xml><?xml version="1.0" encoding="utf-8"?>
<formControlPr xmlns="http://schemas.microsoft.com/office/spreadsheetml/2009/9/main" objectType="Button" lockText="1"/>
</file>

<file path=xl/ctrlProps/ctrlProp2243.xml><?xml version="1.0" encoding="utf-8"?>
<formControlPr xmlns="http://schemas.microsoft.com/office/spreadsheetml/2009/9/main" objectType="Button" lockText="1"/>
</file>

<file path=xl/ctrlProps/ctrlProp2244.xml><?xml version="1.0" encoding="utf-8"?>
<formControlPr xmlns="http://schemas.microsoft.com/office/spreadsheetml/2009/9/main" objectType="Button" lockText="1"/>
</file>

<file path=xl/ctrlProps/ctrlProp2245.xml><?xml version="1.0" encoding="utf-8"?>
<formControlPr xmlns="http://schemas.microsoft.com/office/spreadsheetml/2009/9/main" objectType="Button" lockText="1"/>
</file>

<file path=xl/ctrlProps/ctrlProp2246.xml><?xml version="1.0" encoding="utf-8"?>
<formControlPr xmlns="http://schemas.microsoft.com/office/spreadsheetml/2009/9/main" objectType="Button" lockText="1"/>
</file>

<file path=xl/ctrlProps/ctrlProp2247.xml><?xml version="1.0" encoding="utf-8"?>
<formControlPr xmlns="http://schemas.microsoft.com/office/spreadsheetml/2009/9/main" objectType="Button" lockText="1"/>
</file>

<file path=xl/ctrlProps/ctrlProp2248.xml><?xml version="1.0" encoding="utf-8"?>
<formControlPr xmlns="http://schemas.microsoft.com/office/spreadsheetml/2009/9/main" objectType="Button" lockText="1"/>
</file>

<file path=xl/ctrlProps/ctrlProp2249.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50.xml><?xml version="1.0" encoding="utf-8"?>
<formControlPr xmlns="http://schemas.microsoft.com/office/spreadsheetml/2009/9/main" objectType="Button" lockText="1"/>
</file>

<file path=xl/ctrlProps/ctrlProp2251.xml><?xml version="1.0" encoding="utf-8"?>
<formControlPr xmlns="http://schemas.microsoft.com/office/spreadsheetml/2009/9/main" objectType="Button" lockText="1"/>
</file>

<file path=xl/ctrlProps/ctrlProp2252.xml><?xml version="1.0" encoding="utf-8"?>
<formControlPr xmlns="http://schemas.microsoft.com/office/spreadsheetml/2009/9/main" objectType="Button" lockText="1"/>
</file>

<file path=xl/ctrlProps/ctrlProp2253.xml><?xml version="1.0" encoding="utf-8"?>
<formControlPr xmlns="http://schemas.microsoft.com/office/spreadsheetml/2009/9/main" objectType="Button" lockText="1"/>
</file>

<file path=xl/ctrlProps/ctrlProp2254.xml><?xml version="1.0" encoding="utf-8"?>
<formControlPr xmlns="http://schemas.microsoft.com/office/spreadsheetml/2009/9/main" objectType="Button" lockText="1"/>
</file>

<file path=xl/ctrlProps/ctrlProp2255.xml><?xml version="1.0" encoding="utf-8"?>
<formControlPr xmlns="http://schemas.microsoft.com/office/spreadsheetml/2009/9/main" objectType="Button" lockText="1"/>
</file>

<file path=xl/ctrlProps/ctrlProp2256.xml><?xml version="1.0" encoding="utf-8"?>
<formControlPr xmlns="http://schemas.microsoft.com/office/spreadsheetml/2009/9/main" objectType="Button" lockText="1"/>
</file>

<file path=xl/ctrlProps/ctrlProp2257.xml><?xml version="1.0" encoding="utf-8"?>
<formControlPr xmlns="http://schemas.microsoft.com/office/spreadsheetml/2009/9/main" objectType="Button" lockText="1"/>
</file>

<file path=xl/ctrlProps/ctrlProp2258.xml><?xml version="1.0" encoding="utf-8"?>
<formControlPr xmlns="http://schemas.microsoft.com/office/spreadsheetml/2009/9/main" objectType="Button" lockText="1"/>
</file>

<file path=xl/ctrlProps/ctrlProp2259.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60.xml><?xml version="1.0" encoding="utf-8"?>
<formControlPr xmlns="http://schemas.microsoft.com/office/spreadsheetml/2009/9/main" objectType="Button" lockText="1"/>
</file>

<file path=xl/ctrlProps/ctrlProp2261.xml><?xml version="1.0" encoding="utf-8"?>
<formControlPr xmlns="http://schemas.microsoft.com/office/spreadsheetml/2009/9/main" objectType="Button" lockText="1"/>
</file>

<file path=xl/ctrlProps/ctrlProp2262.xml><?xml version="1.0" encoding="utf-8"?>
<formControlPr xmlns="http://schemas.microsoft.com/office/spreadsheetml/2009/9/main" objectType="Button" lockText="1"/>
</file>

<file path=xl/ctrlProps/ctrlProp2263.xml><?xml version="1.0" encoding="utf-8"?>
<formControlPr xmlns="http://schemas.microsoft.com/office/spreadsheetml/2009/9/main" objectType="Button" lockText="1"/>
</file>

<file path=xl/ctrlProps/ctrlProp2264.xml><?xml version="1.0" encoding="utf-8"?>
<formControlPr xmlns="http://schemas.microsoft.com/office/spreadsheetml/2009/9/main" objectType="Button" lockText="1"/>
</file>

<file path=xl/ctrlProps/ctrlProp2265.xml><?xml version="1.0" encoding="utf-8"?>
<formControlPr xmlns="http://schemas.microsoft.com/office/spreadsheetml/2009/9/main" objectType="Button" lockText="1"/>
</file>

<file path=xl/ctrlProps/ctrlProp2266.xml><?xml version="1.0" encoding="utf-8"?>
<formControlPr xmlns="http://schemas.microsoft.com/office/spreadsheetml/2009/9/main" objectType="Button" lockText="1"/>
</file>

<file path=xl/ctrlProps/ctrlProp2267.xml><?xml version="1.0" encoding="utf-8"?>
<formControlPr xmlns="http://schemas.microsoft.com/office/spreadsheetml/2009/9/main" objectType="Button" lockText="1"/>
</file>

<file path=xl/ctrlProps/ctrlProp2268.xml><?xml version="1.0" encoding="utf-8"?>
<formControlPr xmlns="http://schemas.microsoft.com/office/spreadsheetml/2009/9/main" objectType="Button" lockText="1"/>
</file>

<file path=xl/ctrlProps/ctrlProp2269.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70.xml><?xml version="1.0" encoding="utf-8"?>
<formControlPr xmlns="http://schemas.microsoft.com/office/spreadsheetml/2009/9/main" objectType="Button" lockText="1"/>
</file>

<file path=xl/ctrlProps/ctrlProp2271.xml><?xml version="1.0" encoding="utf-8"?>
<formControlPr xmlns="http://schemas.microsoft.com/office/spreadsheetml/2009/9/main" objectType="Button" lockText="1"/>
</file>

<file path=xl/ctrlProps/ctrlProp2272.xml><?xml version="1.0" encoding="utf-8"?>
<formControlPr xmlns="http://schemas.microsoft.com/office/spreadsheetml/2009/9/main" objectType="Button" lockText="1"/>
</file>

<file path=xl/ctrlProps/ctrlProp2273.xml><?xml version="1.0" encoding="utf-8"?>
<formControlPr xmlns="http://schemas.microsoft.com/office/spreadsheetml/2009/9/main" objectType="Button" lockText="1"/>
</file>

<file path=xl/ctrlProps/ctrlProp2274.xml><?xml version="1.0" encoding="utf-8"?>
<formControlPr xmlns="http://schemas.microsoft.com/office/spreadsheetml/2009/9/main" objectType="Button" lockText="1"/>
</file>

<file path=xl/ctrlProps/ctrlProp2275.xml><?xml version="1.0" encoding="utf-8"?>
<formControlPr xmlns="http://schemas.microsoft.com/office/spreadsheetml/2009/9/main" objectType="Button" lockText="1"/>
</file>

<file path=xl/ctrlProps/ctrlProp2276.xml><?xml version="1.0" encoding="utf-8"?>
<formControlPr xmlns="http://schemas.microsoft.com/office/spreadsheetml/2009/9/main" objectType="Button" lockText="1"/>
</file>

<file path=xl/ctrlProps/ctrlProp2277.xml><?xml version="1.0" encoding="utf-8"?>
<formControlPr xmlns="http://schemas.microsoft.com/office/spreadsheetml/2009/9/main" objectType="Button" lockText="1"/>
</file>

<file path=xl/ctrlProps/ctrlProp2278.xml><?xml version="1.0" encoding="utf-8"?>
<formControlPr xmlns="http://schemas.microsoft.com/office/spreadsheetml/2009/9/main" objectType="Button" lockText="1"/>
</file>

<file path=xl/ctrlProps/ctrlProp2279.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80.xml><?xml version="1.0" encoding="utf-8"?>
<formControlPr xmlns="http://schemas.microsoft.com/office/spreadsheetml/2009/9/main" objectType="Button" lockText="1"/>
</file>

<file path=xl/ctrlProps/ctrlProp2281.xml><?xml version="1.0" encoding="utf-8"?>
<formControlPr xmlns="http://schemas.microsoft.com/office/spreadsheetml/2009/9/main" objectType="Button" lockText="1"/>
</file>

<file path=xl/ctrlProps/ctrlProp2282.xml><?xml version="1.0" encoding="utf-8"?>
<formControlPr xmlns="http://schemas.microsoft.com/office/spreadsheetml/2009/9/main" objectType="Button" lockText="1"/>
</file>

<file path=xl/ctrlProps/ctrlProp2283.xml><?xml version="1.0" encoding="utf-8"?>
<formControlPr xmlns="http://schemas.microsoft.com/office/spreadsheetml/2009/9/main" objectType="Button" lockText="1"/>
</file>

<file path=xl/ctrlProps/ctrlProp2284.xml><?xml version="1.0" encoding="utf-8"?>
<formControlPr xmlns="http://schemas.microsoft.com/office/spreadsheetml/2009/9/main" objectType="Button" lockText="1"/>
</file>

<file path=xl/ctrlProps/ctrlProp2285.xml><?xml version="1.0" encoding="utf-8"?>
<formControlPr xmlns="http://schemas.microsoft.com/office/spreadsheetml/2009/9/main" objectType="Button" lockText="1"/>
</file>

<file path=xl/ctrlProps/ctrlProp2286.xml><?xml version="1.0" encoding="utf-8"?>
<formControlPr xmlns="http://schemas.microsoft.com/office/spreadsheetml/2009/9/main" objectType="Button" lockText="1"/>
</file>

<file path=xl/ctrlProps/ctrlProp2287.xml><?xml version="1.0" encoding="utf-8"?>
<formControlPr xmlns="http://schemas.microsoft.com/office/spreadsheetml/2009/9/main" objectType="Button" lockText="1"/>
</file>

<file path=xl/ctrlProps/ctrlProp2288.xml><?xml version="1.0" encoding="utf-8"?>
<formControlPr xmlns="http://schemas.microsoft.com/office/spreadsheetml/2009/9/main" objectType="Button" lockText="1"/>
</file>

<file path=xl/ctrlProps/ctrlProp2289.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290.xml><?xml version="1.0" encoding="utf-8"?>
<formControlPr xmlns="http://schemas.microsoft.com/office/spreadsheetml/2009/9/main" objectType="Button" lockText="1"/>
</file>

<file path=xl/ctrlProps/ctrlProp2291.xml><?xml version="1.0" encoding="utf-8"?>
<formControlPr xmlns="http://schemas.microsoft.com/office/spreadsheetml/2009/9/main" objectType="Button" lockText="1"/>
</file>

<file path=xl/ctrlProps/ctrlProp2292.xml><?xml version="1.0" encoding="utf-8"?>
<formControlPr xmlns="http://schemas.microsoft.com/office/spreadsheetml/2009/9/main" objectType="Button" lockText="1"/>
</file>

<file path=xl/ctrlProps/ctrlProp2293.xml><?xml version="1.0" encoding="utf-8"?>
<formControlPr xmlns="http://schemas.microsoft.com/office/spreadsheetml/2009/9/main" objectType="Button" lockText="1"/>
</file>

<file path=xl/ctrlProps/ctrlProp2294.xml><?xml version="1.0" encoding="utf-8"?>
<formControlPr xmlns="http://schemas.microsoft.com/office/spreadsheetml/2009/9/main" objectType="Button" lockText="1"/>
</file>

<file path=xl/ctrlProps/ctrlProp2295.xml><?xml version="1.0" encoding="utf-8"?>
<formControlPr xmlns="http://schemas.microsoft.com/office/spreadsheetml/2009/9/main" objectType="Button" lockText="1"/>
</file>

<file path=xl/ctrlProps/ctrlProp2296.xml><?xml version="1.0" encoding="utf-8"?>
<formControlPr xmlns="http://schemas.microsoft.com/office/spreadsheetml/2009/9/main" objectType="Button" lockText="1"/>
</file>

<file path=xl/ctrlProps/ctrlProp2297.xml><?xml version="1.0" encoding="utf-8"?>
<formControlPr xmlns="http://schemas.microsoft.com/office/spreadsheetml/2009/9/main" objectType="Button" lockText="1"/>
</file>

<file path=xl/ctrlProps/ctrlProp2298.xml><?xml version="1.0" encoding="utf-8"?>
<formControlPr xmlns="http://schemas.microsoft.com/office/spreadsheetml/2009/9/main" objectType="Button" lockText="1"/>
</file>

<file path=xl/ctrlProps/ctrlProp229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00.xml><?xml version="1.0" encoding="utf-8"?>
<formControlPr xmlns="http://schemas.microsoft.com/office/spreadsheetml/2009/9/main" objectType="Button" lockText="1"/>
</file>

<file path=xl/ctrlProps/ctrlProp2301.xml><?xml version="1.0" encoding="utf-8"?>
<formControlPr xmlns="http://schemas.microsoft.com/office/spreadsheetml/2009/9/main" objectType="Button" lockText="1"/>
</file>

<file path=xl/ctrlProps/ctrlProp2302.xml><?xml version="1.0" encoding="utf-8"?>
<formControlPr xmlns="http://schemas.microsoft.com/office/spreadsheetml/2009/9/main" objectType="Button" lockText="1"/>
</file>

<file path=xl/ctrlProps/ctrlProp2303.xml><?xml version="1.0" encoding="utf-8"?>
<formControlPr xmlns="http://schemas.microsoft.com/office/spreadsheetml/2009/9/main" objectType="Button" lockText="1"/>
</file>

<file path=xl/ctrlProps/ctrlProp2304.xml><?xml version="1.0" encoding="utf-8"?>
<formControlPr xmlns="http://schemas.microsoft.com/office/spreadsheetml/2009/9/main" objectType="Button" lockText="1"/>
</file>

<file path=xl/ctrlProps/ctrlProp2305.xml><?xml version="1.0" encoding="utf-8"?>
<formControlPr xmlns="http://schemas.microsoft.com/office/spreadsheetml/2009/9/main" objectType="Button" lockText="1"/>
</file>

<file path=xl/ctrlProps/ctrlProp2306.xml><?xml version="1.0" encoding="utf-8"?>
<formControlPr xmlns="http://schemas.microsoft.com/office/spreadsheetml/2009/9/main" objectType="Button" lockText="1"/>
</file>

<file path=xl/ctrlProps/ctrlProp2307.xml><?xml version="1.0" encoding="utf-8"?>
<formControlPr xmlns="http://schemas.microsoft.com/office/spreadsheetml/2009/9/main" objectType="Button" lockText="1"/>
</file>

<file path=xl/ctrlProps/ctrlProp2308.xml><?xml version="1.0" encoding="utf-8"?>
<formControlPr xmlns="http://schemas.microsoft.com/office/spreadsheetml/2009/9/main" objectType="Button" lockText="1"/>
</file>

<file path=xl/ctrlProps/ctrlProp2309.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10.xml><?xml version="1.0" encoding="utf-8"?>
<formControlPr xmlns="http://schemas.microsoft.com/office/spreadsheetml/2009/9/main" objectType="Button" lockText="1"/>
</file>

<file path=xl/ctrlProps/ctrlProp2311.xml><?xml version="1.0" encoding="utf-8"?>
<formControlPr xmlns="http://schemas.microsoft.com/office/spreadsheetml/2009/9/main" objectType="Button" lockText="1"/>
</file>

<file path=xl/ctrlProps/ctrlProp2312.xml><?xml version="1.0" encoding="utf-8"?>
<formControlPr xmlns="http://schemas.microsoft.com/office/spreadsheetml/2009/9/main" objectType="Button" lockText="1"/>
</file>

<file path=xl/ctrlProps/ctrlProp2313.xml><?xml version="1.0" encoding="utf-8"?>
<formControlPr xmlns="http://schemas.microsoft.com/office/spreadsheetml/2009/9/main" objectType="Button" lockText="1"/>
</file>

<file path=xl/ctrlProps/ctrlProp2314.xml><?xml version="1.0" encoding="utf-8"?>
<formControlPr xmlns="http://schemas.microsoft.com/office/spreadsheetml/2009/9/main" objectType="Button" lockText="1"/>
</file>

<file path=xl/ctrlProps/ctrlProp2315.xml><?xml version="1.0" encoding="utf-8"?>
<formControlPr xmlns="http://schemas.microsoft.com/office/spreadsheetml/2009/9/main" objectType="Button" lockText="1"/>
</file>

<file path=xl/ctrlProps/ctrlProp2316.xml><?xml version="1.0" encoding="utf-8"?>
<formControlPr xmlns="http://schemas.microsoft.com/office/spreadsheetml/2009/9/main" objectType="Button" lockText="1"/>
</file>

<file path=xl/ctrlProps/ctrlProp2317.xml><?xml version="1.0" encoding="utf-8"?>
<formControlPr xmlns="http://schemas.microsoft.com/office/spreadsheetml/2009/9/main" objectType="Button" lockText="1"/>
</file>

<file path=xl/ctrlProps/ctrlProp2318.xml><?xml version="1.0" encoding="utf-8"?>
<formControlPr xmlns="http://schemas.microsoft.com/office/spreadsheetml/2009/9/main" objectType="Button" lockText="1"/>
</file>

<file path=xl/ctrlProps/ctrlProp2319.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20.xml><?xml version="1.0" encoding="utf-8"?>
<formControlPr xmlns="http://schemas.microsoft.com/office/spreadsheetml/2009/9/main" objectType="Button" lockText="1"/>
</file>

<file path=xl/ctrlProps/ctrlProp2321.xml><?xml version="1.0" encoding="utf-8"?>
<formControlPr xmlns="http://schemas.microsoft.com/office/spreadsheetml/2009/9/main" objectType="Button" lockText="1"/>
</file>

<file path=xl/ctrlProps/ctrlProp2322.xml><?xml version="1.0" encoding="utf-8"?>
<formControlPr xmlns="http://schemas.microsoft.com/office/spreadsheetml/2009/9/main" objectType="Button" lockText="1"/>
</file>

<file path=xl/ctrlProps/ctrlProp2323.xml><?xml version="1.0" encoding="utf-8"?>
<formControlPr xmlns="http://schemas.microsoft.com/office/spreadsheetml/2009/9/main" objectType="Button" lockText="1"/>
</file>

<file path=xl/ctrlProps/ctrlProp2324.xml><?xml version="1.0" encoding="utf-8"?>
<formControlPr xmlns="http://schemas.microsoft.com/office/spreadsheetml/2009/9/main" objectType="Button" lockText="1"/>
</file>

<file path=xl/ctrlProps/ctrlProp2325.xml><?xml version="1.0" encoding="utf-8"?>
<formControlPr xmlns="http://schemas.microsoft.com/office/spreadsheetml/2009/9/main" objectType="Button" lockText="1"/>
</file>

<file path=xl/ctrlProps/ctrlProp2326.xml><?xml version="1.0" encoding="utf-8"?>
<formControlPr xmlns="http://schemas.microsoft.com/office/spreadsheetml/2009/9/main" objectType="Button" lockText="1"/>
</file>

<file path=xl/ctrlProps/ctrlProp2327.xml><?xml version="1.0" encoding="utf-8"?>
<formControlPr xmlns="http://schemas.microsoft.com/office/spreadsheetml/2009/9/main" objectType="Button" lockText="1"/>
</file>

<file path=xl/ctrlProps/ctrlProp2328.xml><?xml version="1.0" encoding="utf-8"?>
<formControlPr xmlns="http://schemas.microsoft.com/office/spreadsheetml/2009/9/main" objectType="Button" lockText="1"/>
</file>

<file path=xl/ctrlProps/ctrlProp2329.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30.xml><?xml version="1.0" encoding="utf-8"?>
<formControlPr xmlns="http://schemas.microsoft.com/office/spreadsheetml/2009/9/main" objectType="Button" lockText="1"/>
</file>

<file path=xl/ctrlProps/ctrlProp2331.xml><?xml version="1.0" encoding="utf-8"?>
<formControlPr xmlns="http://schemas.microsoft.com/office/spreadsheetml/2009/9/main" objectType="Button" lockText="1"/>
</file>

<file path=xl/ctrlProps/ctrlProp2332.xml><?xml version="1.0" encoding="utf-8"?>
<formControlPr xmlns="http://schemas.microsoft.com/office/spreadsheetml/2009/9/main" objectType="Button" lockText="1"/>
</file>

<file path=xl/ctrlProps/ctrlProp2333.xml><?xml version="1.0" encoding="utf-8"?>
<formControlPr xmlns="http://schemas.microsoft.com/office/spreadsheetml/2009/9/main" objectType="Button" lockText="1"/>
</file>

<file path=xl/ctrlProps/ctrlProp2334.xml><?xml version="1.0" encoding="utf-8"?>
<formControlPr xmlns="http://schemas.microsoft.com/office/spreadsheetml/2009/9/main" objectType="Button" lockText="1"/>
</file>

<file path=xl/ctrlProps/ctrlProp2335.xml><?xml version="1.0" encoding="utf-8"?>
<formControlPr xmlns="http://schemas.microsoft.com/office/spreadsheetml/2009/9/main" objectType="Button" lockText="1"/>
</file>

<file path=xl/ctrlProps/ctrlProp2336.xml><?xml version="1.0" encoding="utf-8"?>
<formControlPr xmlns="http://schemas.microsoft.com/office/spreadsheetml/2009/9/main" objectType="Button" lockText="1"/>
</file>

<file path=xl/ctrlProps/ctrlProp2337.xml><?xml version="1.0" encoding="utf-8"?>
<formControlPr xmlns="http://schemas.microsoft.com/office/spreadsheetml/2009/9/main" objectType="Button" lockText="1"/>
</file>

<file path=xl/ctrlProps/ctrlProp2338.xml><?xml version="1.0" encoding="utf-8"?>
<formControlPr xmlns="http://schemas.microsoft.com/office/spreadsheetml/2009/9/main" objectType="Button" lockText="1"/>
</file>

<file path=xl/ctrlProps/ctrlProp2339.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40.xml><?xml version="1.0" encoding="utf-8"?>
<formControlPr xmlns="http://schemas.microsoft.com/office/spreadsheetml/2009/9/main" objectType="Button" lockText="1"/>
</file>

<file path=xl/ctrlProps/ctrlProp2341.xml><?xml version="1.0" encoding="utf-8"?>
<formControlPr xmlns="http://schemas.microsoft.com/office/spreadsheetml/2009/9/main" objectType="Button" lockText="1"/>
</file>

<file path=xl/ctrlProps/ctrlProp2342.xml><?xml version="1.0" encoding="utf-8"?>
<formControlPr xmlns="http://schemas.microsoft.com/office/spreadsheetml/2009/9/main" objectType="Button" lockText="1"/>
</file>

<file path=xl/ctrlProps/ctrlProp2343.xml><?xml version="1.0" encoding="utf-8"?>
<formControlPr xmlns="http://schemas.microsoft.com/office/spreadsheetml/2009/9/main" objectType="Button" lockText="1"/>
</file>

<file path=xl/ctrlProps/ctrlProp2344.xml><?xml version="1.0" encoding="utf-8"?>
<formControlPr xmlns="http://schemas.microsoft.com/office/spreadsheetml/2009/9/main" objectType="Button" lockText="1"/>
</file>

<file path=xl/ctrlProps/ctrlProp2345.xml><?xml version="1.0" encoding="utf-8"?>
<formControlPr xmlns="http://schemas.microsoft.com/office/spreadsheetml/2009/9/main" objectType="Button" lockText="1"/>
</file>

<file path=xl/ctrlProps/ctrlProp2346.xml><?xml version="1.0" encoding="utf-8"?>
<formControlPr xmlns="http://schemas.microsoft.com/office/spreadsheetml/2009/9/main" objectType="Button" lockText="1"/>
</file>

<file path=xl/ctrlProps/ctrlProp2347.xml><?xml version="1.0" encoding="utf-8"?>
<formControlPr xmlns="http://schemas.microsoft.com/office/spreadsheetml/2009/9/main" objectType="Button" lockText="1"/>
</file>

<file path=xl/ctrlProps/ctrlProp2348.xml><?xml version="1.0" encoding="utf-8"?>
<formControlPr xmlns="http://schemas.microsoft.com/office/spreadsheetml/2009/9/main" objectType="Button" lockText="1"/>
</file>

<file path=xl/ctrlProps/ctrlProp2349.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50.xml><?xml version="1.0" encoding="utf-8"?>
<formControlPr xmlns="http://schemas.microsoft.com/office/spreadsheetml/2009/9/main" objectType="Button" lockText="1"/>
</file>

<file path=xl/ctrlProps/ctrlProp2351.xml><?xml version="1.0" encoding="utf-8"?>
<formControlPr xmlns="http://schemas.microsoft.com/office/spreadsheetml/2009/9/main" objectType="Button" lockText="1"/>
</file>

<file path=xl/ctrlProps/ctrlProp2352.xml><?xml version="1.0" encoding="utf-8"?>
<formControlPr xmlns="http://schemas.microsoft.com/office/spreadsheetml/2009/9/main" objectType="Button" lockText="1"/>
</file>

<file path=xl/ctrlProps/ctrlProp2353.xml><?xml version="1.0" encoding="utf-8"?>
<formControlPr xmlns="http://schemas.microsoft.com/office/spreadsheetml/2009/9/main" objectType="Button" lockText="1"/>
</file>

<file path=xl/ctrlProps/ctrlProp2354.xml><?xml version="1.0" encoding="utf-8"?>
<formControlPr xmlns="http://schemas.microsoft.com/office/spreadsheetml/2009/9/main" objectType="Button" lockText="1"/>
</file>

<file path=xl/ctrlProps/ctrlProp2355.xml><?xml version="1.0" encoding="utf-8"?>
<formControlPr xmlns="http://schemas.microsoft.com/office/spreadsheetml/2009/9/main" objectType="Button" lockText="1"/>
</file>

<file path=xl/ctrlProps/ctrlProp2356.xml><?xml version="1.0" encoding="utf-8"?>
<formControlPr xmlns="http://schemas.microsoft.com/office/spreadsheetml/2009/9/main" objectType="Button" lockText="1"/>
</file>

<file path=xl/ctrlProps/ctrlProp2357.xml><?xml version="1.0" encoding="utf-8"?>
<formControlPr xmlns="http://schemas.microsoft.com/office/spreadsheetml/2009/9/main" objectType="Button" lockText="1"/>
</file>

<file path=xl/ctrlProps/ctrlProp2358.xml><?xml version="1.0" encoding="utf-8"?>
<formControlPr xmlns="http://schemas.microsoft.com/office/spreadsheetml/2009/9/main" objectType="Button" lockText="1"/>
</file>

<file path=xl/ctrlProps/ctrlProp2359.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60.xml><?xml version="1.0" encoding="utf-8"?>
<formControlPr xmlns="http://schemas.microsoft.com/office/spreadsheetml/2009/9/main" objectType="Button" lockText="1"/>
</file>

<file path=xl/ctrlProps/ctrlProp2361.xml><?xml version="1.0" encoding="utf-8"?>
<formControlPr xmlns="http://schemas.microsoft.com/office/spreadsheetml/2009/9/main" objectType="Button" lockText="1"/>
</file>

<file path=xl/ctrlProps/ctrlProp2362.xml><?xml version="1.0" encoding="utf-8"?>
<formControlPr xmlns="http://schemas.microsoft.com/office/spreadsheetml/2009/9/main" objectType="Button" lockText="1"/>
</file>

<file path=xl/ctrlProps/ctrlProp2363.xml><?xml version="1.0" encoding="utf-8"?>
<formControlPr xmlns="http://schemas.microsoft.com/office/spreadsheetml/2009/9/main" objectType="Button" lockText="1"/>
</file>

<file path=xl/ctrlProps/ctrlProp2364.xml><?xml version="1.0" encoding="utf-8"?>
<formControlPr xmlns="http://schemas.microsoft.com/office/spreadsheetml/2009/9/main" objectType="Button" lockText="1"/>
</file>

<file path=xl/ctrlProps/ctrlProp2365.xml><?xml version="1.0" encoding="utf-8"?>
<formControlPr xmlns="http://schemas.microsoft.com/office/spreadsheetml/2009/9/main" objectType="Button" lockText="1"/>
</file>

<file path=xl/ctrlProps/ctrlProp2366.xml><?xml version="1.0" encoding="utf-8"?>
<formControlPr xmlns="http://schemas.microsoft.com/office/spreadsheetml/2009/9/main" objectType="Button" lockText="1"/>
</file>

<file path=xl/ctrlProps/ctrlProp2367.xml><?xml version="1.0" encoding="utf-8"?>
<formControlPr xmlns="http://schemas.microsoft.com/office/spreadsheetml/2009/9/main" objectType="Button" lockText="1"/>
</file>

<file path=xl/ctrlProps/ctrlProp2368.xml><?xml version="1.0" encoding="utf-8"?>
<formControlPr xmlns="http://schemas.microsoft.com/office/spreadsheetml/2009/9/main" objectType="Button" lockText="1"/>
</file>

<file path=xl/ctrlProps/ctrlProp2369.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70.xml><?xml version="1.0" encoding="utf-8"?>
<formControlPr xmlns="http://schemas.microsoft.com/office/spreadsheetml/2009/9/main" objectType="Button" lockText="1"/>
</file>

<file path=xl/ctrlProps/ctrlProp2371.xml><?xml version="1.0" encoding="utf-8"?>
<formControlPr xmlns="http://schemas.microsoft.com/office/spreadsheetml/2009/9/main" objectType="Button" lockText="1"/>
</file>

<file path=xl/ctrlProps/ctrlProp2372.xml><?xml version="1.0" encoding="utf-8"?>
<formControlPr xmlns="http://schemas.microsoft.com/office/spreadsheetml/2009/9/main" objectType="Button" lockText="1"/>
</file>

<file path=xl/ctrlProps/ctrlProp2373.xml><?xml version="1.0" encoding="utf-8"?>
<formControlPr xmlns="http://schemas.microsoft.com/office/spreadsheetml/2009/9/main" objectType="Button" lockText="1"/>
</file>

<file path=xl/ctrlProps/ctrlProp2374.xml><?xml version="1.0" encoding="utf-8"?>
<formControlPr xmlns="http://schemas.microsoft.com/office/spreadsheetml/2009/9/main" objectType="Button" lockText="1"/>
</file>

<file path=xl/ctrlProps/ctrlProp2375.xml><?xml version="1.0" encoding="utf-8"?>
<formControlPr xmlns="http://schemas.microsoft.com/office/spreadsheetml/2009/9/main" objectType="Button" lockText="1"/>
</file>

<file path=xl/ctrlProps/ctrlProp2376.xml><?xml version="1.0" encoding="utf-8"?>
<formControlPr xmlns="http://schemas.microsoft.com/office/spreadsheetml/2009/9/main" objectType="Button" lockText="1"/>
</file>

<file path=xl/ctrlProps/ctrlProp2377.xml><?xml version="1.0" encoding="utf-8"?>
<formControlPr xmlns="http://schemas.microsoft.com/office/spreadsheetml/2009/9/main" objectType="Button" lockText="1"/>
</file>

<file path=xl/ctrlProps/ctrlProp2378.xml><?xml version="1.0" encoding="utf-8"?>
<formControlPr xmlns="http://schemas.microsoft.com/office/spreadsheetml/2009/9/main" objectType="Button" lockText="1"/>
</file>

<file path=xl/ctrlProps/ctrlProp2379.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80.xml><?xml version="1.0" encoding="utf-8"?>
<formControlPr xmlns="http://schemas.microsoft.com/office/spreadsheetml/2009/9/main" objectType="Button" lockText="1"/>
</file>

<file path=xl/ctrlProps/ctrlProp2381.xml><?xml version="1.0" encoding="utf-8"?>
<formControlPr xmlns="http://schemas.microsoft.com/office/spreadsheetml/2009/9/main" objectType="Button" lockText="1"/>
</file>

<file path=xl/ctrlProps/ctrlProp2382.xml><?xml version="1.0" encoding="utf-8"?>
<formControlPr xmlns="http://schemas.microsoft.com/office/spreadsheetml/2009/9/main" objectType="Button" lockText="1"/>
</file>

<file path=xl/ctrlProps/ctrlProp2383.xml><?xml version="1.0" encoding="utf-8"?>
<formControlPr xmlns="http://schemas.microsoft.com/office/spreadsheetml/2009/9/main" objectType="Button" lockText="1"/>
</file>

<file path=xl/ctrlProps/ctrlProp2384.xml><?xml version="1.0" encoding="utf-8"?>
<formControlPr xmlns="http://schemas.microsoft.com/office/spreadsheetml/2009/9/main" objectType="Button" lockText="1"/>
</file>

<file path=xl/ctrlProps/ctrlProp2385.xml><?xml version="1.0" encoding="utf-8"?>
<formControlPr xmlns="http://schemas.microsoft.com/office/spreadsheetml/2009/9/main" objectType="Button" lockText="1"/>
</file>

<file path=xl/ctrlProps/ctrlProp2386.xml><?xml version="1.0" encoding="utf-8"?>
<formControlPr xmlns="http://schemas.microsoft.com/office/spreadsheetml/2009/9/main" objectType="Button" lockText="1"/>
</file>

<file path=xl/ctrlProps/ctrlProp2387.xml><?xml version="1.0" encoding="utf-8"?>
<formControlPr xmlns="http://schemas.microsoft.com/office/spreadsheetml/2009/9/main" objectType="Button" lockText="1"/>
</file>

<file path=xl/ctrlProps/ctrlProp2388.xml><?xml version="1.0" encoding="utf-8"?>
<formControlPr xmlns="http://schemas.microsoft.com/office/spreadsheetml/2009/9/main" objectType="Button" lockText="1"/>
</file>

<file path=xl/ctrlProps/ctrlProp2389.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390.xml><?xml version="1.0" encoding="utf-8"?>
<formControlPr xmlns="http://schemas.microsoft.com/office/spreadsheetml/2009/9/main" objectType="Button" lockText="1"/>
</file>

<file path=xl/ctrlProps/ctrlProp2391.xml><?xml version="1.0" encoding="utf-8"?>
<formControlPr xmlns="http://schemas.microsoft.com/office/spreadsheetml/2009/9/main" objectType="Button" lockText="1"/>
</file>

<file path=xl/ctrlProps/ctrlProp2392.xml><?xml version="1.0" encoding="utf-8"?>
<formControlPr xmlns="http://schemas.microsoft.com/office/spreadsheetml/2009/9/main" objectType="Button" lockText="1"/>
</file>

<file path=xl/ctrlProps/ctrlProp2393.xml><?xml version="1.0" encoding="utf-8"?>
<formControlPr xmlns="http://schemas.microsoft.com/office/spreadsheetml/2009/9/main" objectType="Button" lockText="1"/>
</file>

<file path=xl/ctrlProps/ctrlProp2394.xml><?xml version="1.0" encoding="utf-8"?>
<formControlPr xmlns="http://schemas.microsoft.com/office/spreadsheetml/2009/9/main" objectType="Button" lockText="1"/>
</file>

<file path=xl/ctrlProps/ctrlProp2395.xml><?xml version="1.0" encoding="utf-8"?>
<formControlPr xmlns="http://schemas.microsoft.com/office/spreadsheetml/2009/9/main" objectType="Button" lockText="1"/>
</file>

<file path=xl/ctrlProps/ctrlProp2396.xml><?xml version="1.0" encoding="utf-8"?>
<formControlPr xmlns="http://schemas.microsoft.com/office/spreadsheetml/2009/9/main" objectType="Button" lockText="1"/>
</file>

<file path=xl/ctrlProps/ctrlProp2397.xml><?xml version="1.0" encoding="utf-8"?>
<formControlPr xmlns="http://schemas.microsoft.com/office/spreadsheetml/2009/9/main" objectType="Button" lockText="1"/>
</file>

<file path=xl/ctrlProps/ctrlProp2398.xml><?xml version="1.0" encoding="utf-8"?>
<formControlPr xmlns="http://schemas.microsoft.com/office/spreadsheetml/2009/9/main" objectType="Button" lockText="1"/>
</file>

<file path=xl/ctrlProps/ctrlProp239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00.xml><?xml version="1.0" encoding="utf-8"?>
<formControlPr xmlns="http://schemas.microsoft.com/office/spreadsheetml/2009/9/main" objectType="Button" lockText="1"/>
</file>

<file path=xl/ctrlProps/ctrlProp2401.xml><?xml version="1.0" encoding="utf-8"?>
<formControlPr xmlns="http://schemas.microsoft.com/office/spreadsheetml/2009/9/main" objectType="Button" lockText="1"/>
</file>

<file path=xl/ctrlProps/ctrlProp2402.xml><?xml version="1.0" encoding="utf-8"?>
<formControlPr xmlns="http://schemas.microsoft.com/office/spreadsheetml/2009/9/main" objectType="Button" lockText="1"/>
</file>

<file path=xl/ctrlProps/ctrlProp2403.xml><?xml version="1.0" encoding="utf-8"?>
<formControlPr xmlns="http://schemas.microsoft.com/office/spreadsheetml/2009/9/main" objectType="Button" lockText="1"/>
</file>

<file path=xl/ctrlProps/ctrlProp2404.xml><?xml version="1.0" encoding="utf-8"?>
<formControlPr xmlns="http://schemas.microsoft.com/office/spreadsheetml/2009/9/main" objectType="Button" lockText="1"/>
</file>

<file path=xl/ctrlProps/ctrlProp2405.xml><?xml version="1.0" encoding="utf-8"?>
<formControlPr xmlns="http://schemas.microsoft.com/office/spreadsheetml/2009/9/main" objectType="Button" lockText="1"/>
</file>

<file path=xl/ctrlProps/ctrlProp2406.xml><?xml version="1.0" encoding="utf-8"?>
<formControlPr xmlns="http://schemas.microsoft.com/office/spreadsheetml/2009/9/main" objectType="Button" lockText="1"/>
</file>

<file path=xl/ctrlProps/ctrlProp2407.xml><?xml version="1.0" encoding="utf-8"?>
<formControlPr xmlns="http://schemas.microsoft.com/office/spreadsheetml/2009/9/main" objectType="Button" lockText="1"/>
</file>

<file path=xl/ctrlProps/ctrlProp2408.xml><?xml version="1.0" encoding="utf-8"?>
<formControlPr xmlns="http://schemas.microsoft.com/office/spreadsheetml/2009/9/main" objectType="Button" lockText="1"/>
</file>

<file path=xl/ctrlProps/ctrlProp2409.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10.xml><?xml version="1.0" encoding="utf-8"?>
<formControlPr xmlns="http://schemas.microsoft.com/office/spreadsheetml/2009/9/main" objectType="Button" lockText="1"/>
</file>

<file path=xl/ctrlProps/ctrlProp2411.xml><?xml version="1.0" encoding="utf-8"?>
<formControlPr xmlns="http://schemas.microsoft.com/office/spreadsheetml/2009/9/main" objectType="Button" lockText="1"/>
</file>

<file path=xl/ctrlProps/ctrlProp2412.xml><?xml version="1.0" encoding="utf-8"?>
<formControlPr xmlns="http://schemas.microsoft.com/office/spreadsheetml/2009/9/main" objectType="Button" lockText="1"/>
</file>

<file path=xl/ctrlProps/ctrlProp2413.xml><?xml version="1.0" encoding="utf-8"?>
<formControlPr xmlns="http://schemas.microsoft.com/office/spreadsheetml/2009/9/main" objectType="Button" lockText="1"/>
</file>

<file path=xl/ctrlProps/ctrlProp2414.xml><?xml version="1.0" encoding="utf-8"?>
<formControlPr xmlns="http://schemas.microsoft.com/office/spreadsheetml/2009/9/main" objectType="Button" lockText="1"/>
</file>

<file path=xl/ctrlProps/ctrlProp2415.xml><?xml version="1.0" encoding="utf-8"?>
<formControlPr xmlns="http://schemas.microsoft.com/office/spreadsheetml/2009/9/main" objectType="Button" lockText="1"/>
</file>

<file path=xl/ctrlProps/ctrlProp2416.xml><?xml version="1.0" encoding="utf-8"?>
<formControlPr xmlns="http://schemas.microsoft.com/office/spreadsheetml/2009/9/main" objectType="Button" lockText="1"/>
</file>

<file path=xl/ctrlProps/ctrlProp2417.xml><?xml version="1.0" encoding="utf-8"?>
<formControlPr xmlns="http://schemas.microsoft.com/office/spreadsheetml/2009/9/main" objectType="Button" lockText="1"/>
</file>

<file path=xl/ctrlProps/ctrlProp2418.xml><?xml version="1.0" encoding="utf-8"?>
<formControlPr xmlns="http://schemas.microsoft.com/office/spreadsheetml/2009/9/main" objectType="Button" lockText="1"/>
</file>

<file path=xl/ctrlProps/ctrlProp2419.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20.xml><?xml version="1.0" encoding="utf-8"?>
<formControlPr xmlns="http://schemas.microsoft.com/office/spreadsheetml/2009/9/main" objectType="Button" lockText="1"/>
</file>

<file path=xl/ctrlProps/ctrlProp2421.xml><?xml version="1.0" encoding="utf-8"?>
<formControlPr xmlns="http://schemas.microsoft.com/office/spreadsheetml/2009/9/main" objectType="Button" lockText="1"/>
</file>

<file path=xl/ctrlProps/ctrlProp2422.xml><?xml version="1.0" encoding="utf-8"?>
<formControlPr xmlns="http://schemas.microsoft.com/office/spreadsheetml/2009/9/main" objectType="Button" lockText="1"/>
</file>

<file path=xl/ctrlProps/ctrlProp2423.xml><?xml version="1.0" encoding="utf-8"?>
<formControlPr xmlns="http://schemas.microsoft.com/office/spreadsheetml/2009/9/main" objectType="Button" lockText="1"/>
</file>

<file path=xl/ctrlProps/ctrlProp2424.xml><?xml version="1.0" encoding="utf-8"?>
<formControlPr xmlns="http://schemas.microsoft.com/office/spreadsheetml/2009/9/main" objectType="Button" lockText="1"/>
</file>

<file path=xl/ctrlProps/ctrlProp2425.xml><?xml version="1.0" encoding="utf-8"?>
<formControlPr xmlns="http://schemas.microsoft.com/office/spreadsheetml/2009/9/main" objectType="Button" lockText="1"/>
</file>

<file path=xl/ctrlProps/ctrlProp2426.xml><?xml version="1.0" encoding="utf-8"?>
<formControlPr xmlns="http://schemas.microsoft.com/office/spreadsheetml/2009/9/main" objectType="Button" lockText="1"/>
</file>

<file path=xl/ctrlProps/ctrlProp2427.xml><?xml version="1.0" encoding="utf-8"?>
<formControlPr xmlns="http://schemas.microsoft.com/office/spreadsheetml/2009/9/main" objectType="Button" lockText="1"/>
</file>

<file path=xl/ctrlProps/ctrlProp2428.xml><?xml version="1.0" encoding="utf-8"?>
<formControlPr xmlns="http://schemas.microsoft.com/office/spreadsheetml/2009/9/main" objectType="Button" lockText="1"/>
</file>

<file path=xl/ctrlProps/ctrlProp2429.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30.xml><?xml version="1.0" encoding="utf-8"?>
<formControlPr xmlns="http://schemas.microsoft.com/office/spreadsheetml/2009/9/main" objectType="Button" lockText="1"/>
</file>

<file path=xl/ctrlProps/ctrlProp2431.xml><?xml version="1.0" encoding="utf-8"?>
<formControlPr xmlns="http://schemas.microsoft.com/office/spreadsheetml/2009/9/main" objectType="Button" lockText="1"/>
</file>

<file path=xl/ctrlProps/ctrlProp2432.xml><?xml version="1.0" encoding="utf-8"?>
<formControlPr xmlns="http://schemas.microsoft.com/office/spreadsheetml/2009/9/main" objectType="Button" lockText="1"/>
</file>

<file path=xl/ctrlProps/ctrlProp2433.xml><?xml version="1.0" encoding="utf-8"?>
<formControlPr xmlns="http://schemas.microsoft.com/office/spreadsheetml/2009/9/main" objectType="Button" lockText="1"/>
</file>

<file path=xl/ctrlProps/ctrlProp2434.xml><?xml version="1.0" encoding="utf-8"?>
<formControlPr xmlns="http://schemas.microsoft.com/office/spreadsheetml/2009/9/main" objectType="Button" lockText="1"/>
</file>

<file path=xl/ctrlProps/ctrlProp2435.xml><?xml version="1.0" encoding="utf-8"?>
<formControlPr xmlns="http://schemas.microsoft.com/office/spreadsheetml/2009/9/main" objectType="Button" lockText="1"/>
</file>

<file path=xl/ctrlProps/ctrlProp2436.xml><?xml version="1.0" encoding="utf-8"?>
<formControlPr xmlns="http://schemas.microsoft.com/office/spreadsheetml/2009/9/main" objectType="Button" lockText="1"/>
</file>

<file path=xl/ctrlProps/ctrlProp2437.xml><?xml version="1.0" encoding="utf-8"?>
<formControlPr xmlns="http://schemas.microsoft.com/office/spreadsheetml/2009/9/main" objectType="Button" lockText="1"/>
</file>

<file path=xl/ctrlProps/ctrlProp2438.xml><?xml version="1.0" encoding="utf-8"?>
<formControlPr xmlns="http://schemas.microsoft.com/office/spreadsheetml/2009/9/main" objectType="Button" lockText="1"/>
</file>

<file path=xl/ctrlProps/ctrlProp2439.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40.xml><?xml version="1.0" encoding="utf-8"?>
<formControlPr xmlns="http://schemas.microsoft.com/office/spreadsheetml/2009/9/main" objectType="Button" lockText="1"/>
</file>

<file path=xl/ctrlProps/ctrlProp2441.xml><?xml version="1.0" encoding="utf-8"?>
<formControlPr xmlns="http://schemas.microsoft.com/office/spreadsheetml/2009/9/main" objectType="Button" lockText="1"/>
</file>

<file path=xl/ctrlProps/ctrlProp2442.xml><?xml version="1.0" encoding="utf-8"?>
<formControlPr xmlns="http://schemas.microsoft.com/office/spreadsheetml/2009/9/main" objectType="Button" lockText="1"/>
</file>

<file path=xl/ctrlProps/ctrlProp2443.xml><?xml version="1.0" encoding="utf-8"?>
<formControlPr xmlns="http://schemas.microsoft.com/office/spreadsheetml/2009/9/main" objectType="Button" lockText="1"/>
</file>

<file path=xl/ctrlProps/ctrlProp2444.xml><?xml version="1.0" encoding="utf-8"?>
<formControlPr xmlns="http://schemas.microsoft.com/office/spreadsheetml/2009/9/main" objectType="Button" lockText="1"/>
</file>

<file path=xl/ctrlProps/ctrlProp2445.xml><?xml version="1.0" encoding="utf-8"?>
<formControlPr xmlns="http://schemas.microsoft.com/office/spreadsheetml/2009/9/main" objectType="Button" lockText="1"/>
</file>

<file path=xl/ctrlProps/ctrlProp2446.xml><?xml version="1.0" encoding="utf-8"?>
<formControlPr xmlns="http://schemas.microsoft.com/office/spreadsheetml/2009/9/main" objectType="Button" lockText="1"/>
</file>

<file path=xl/ctrlProps/ctrlProp2447.xml><?xml version="1.0" encoding="utf-8"?>
<formControlPr xmlns="http://schemas.microsoft.com/office/spreadsheetml/2009/9/main" objectType="Button" lockText="1"/>
</file>

<file path=xl/ctrlProps/ctrlProp2448.xml><?xml version="1.0" encoding="utf-8"?>
<formControlPr xmlns="http://schemas.microsoft.com/office/spreadsheetml/2009/9/main" objectType="Button" lockText="1"/>
</file>

<file path=xl/ctrlProps/ctrlProp2449.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50.xml><?xml version="1.0" encoding="utf-8"?>
<formControlPr xmlns="http://schemas.microsoft.com/office/spreadsheetml/2009/9/main" objectType="Button" lockText="1"/>
</file>

<file path=xl/ctrlProps/ctrlProp2451.xml><?xml version="1.0" encoding="utf-8"?>
<formControlPr xmlns="http://schemas.microsoft.com/office/spreadsheetml/2009/9/main" objectType="Button" lockText="1"/>
</file>

<file path=xl/ctrlProps/ctrlProp2452.xml><?xml version="1.0" encoding="utf-8"?>
<formControlPr xmlns="http://schemas.microsoft.com/office/spreadsheetml/2009/9/main" objectType="Button" lockText="1"/>
</file>

<file path=xl/ctrlProps/ctrlProp2453.xml><?xml version="1.0" encoding="utf-8"?>
<formControlPr xmlns="http://schemas.microsoft.com/office/spreadsheetml/2009/9/main" objectType="Button" lockText="1"/>
</file>

<file path=xl/ctrlProps/ctrlProp2454.xml><?xml version="1.0" encoding="utf-8"?>
<formControlPr xmlns="http://schemas.microsoft.com/office/spreadsheetml/2009/9/main" objectType="Button" lockText="1"/>
</file>

<file path=xl/ctrlProps/ctrlProp2455.xml><?xml version="1.0" encoding="utf-8"?>
<formControlPr xmlns="http://schemas.microsoft.com/office/spreadsheetml/2009/9/main" objectType="Button" lockText="1"/>
</file>

<file path=xl/ctrlProps/ctrlProp2456.xml><?xml version="1.0" encoding="utf-8"?>
<formControlPr xmlns="http://schemas.microsoft.com/office/spreadsheetml/2009/9/main" objectType="Button" lockText="1"/>
</file>

<file path=xl/ctrlProps/ctrlProp2457.xml><?xml version="1.0" encoding="utf-8"?>
<formControlPr xmlns="http://schemas.microsoft.com/office/spreadsheetml/2009/9/main" objectType="Button" lockText="1"/>
</file>

<file path=xl/ctrlProps/ctrlProp2458.xml><?xml version="1.0" encoding="utf-8"?>
<formControlPr xmlns="http://schemas.microsoft.com/office/spreadsheetml/2009/9/main" objectType="Button" lockText="1"/>
</file>

<file path=xl/ctrlProps/ctrlProp2459.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60.xml><?xml version="1.0" encoding="utf-8"?>
<formControlPr xmlns="http://schemas.microsoft.com/office/spreadsheetml/2009/9/main" objectType="Button" lockText="1"/>
</file>

<file path=xl/ctrlProps/ctrlProp2461.xml><?xml version="1.0" encoding="utf-8"?>
<formControlPr xmlns="http://schemas.microsoft.com/office/spreadsheetml/2009/9/main" objectType="Button" lockText="1"/>
</file>

<file path=xl/ctrlProps/ctrlProp2462.xml><?xml version="1.0" encoding="utf-8"?>
<formControlPr xmlns="http://schemas.microsoft.com/office/spreadsheetml/2009/9/main" objectType="Button" lockText="1"/>
</file>

<file path=xl/ctrlProps/ctrlProp2463.xml><?xml version="1.0" encoding="utf-8"?>
<formControlPr xmlns="http://schemas.microsoft.com/office/spreadsheetml/2009/9/main" objectType="Button" lockText="1"/>
</file>

<file path=xl/ctrlProps/ctrlProp2464.xml><?xml version="1.0" encoding="utf-8"?>
<formControlPr xmlns="http://schemas.microsoft.com/office/spreadsheetml/2009/9/main" objectType="Button" lockText="1"/>
</file>

<file path=xl/ctrlProps/ctrlProp2465.xml><?xml version="1.0" encoding="utf-8"?>
<formControlPr xmlns="http://schemas.microsoft.com/office/spreadsheetml/2009/9/main" objectType="Button" lockText="1"/>
</file>

<file path=xl/ctrlProps/ctrlProp2466.xml><?xml version="1.0" encoding="utf-8"?>
<formControlPr xmlns="http://schemas.microsoft.com/office/spreadsheetml/2009/9/main" objectType="Button" lockText="1"/>
</file>

<file path=xl/ctrlProps/ctrlProp2467.xml><?xml version="1.0" encoding="utf-8"?>
<formControlPr xmlns="http://schemas.microsoft.com/office/spreadsheetml/2009/9/main" objectType="Button" lockText="1"/>
</file>

<file path=xl/ctrlProps/ctrlProp2468.xml><?xml version="1.0" encoding="utf-8"?>
<formControlPr xmlns="http://schemas.microsoft.com/office/spreadsheetml/2009/9/main" objectType="Button" lockText="1"/>
</file>

<file path=xl/ctrlProps/ctrlProp2469.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70.xml><?xml version="1.0" encoding="utf-8"?>
<formControlPr xmlns="http://schemas.microsoft.com/office/spreadsheetml/2009/9/main" objectType="Button" lockText="1"/>
</file>

<file path=xl/ctrlProps/ctrlProp2471.xml><?xml version="1.0" encoding="utf-8"?>
<formControlPr xmlns="http://schemas.microsoft.com/office/spreadsheetml/2009/9/main" objectType="Button" lockText="1"/>
</file>

<file path=xl/ctrlProps/ctrlProp2472.xml><?xml version="1.0" encoding="utf-8"?>
<formControlPr xmlns="http://schemas.microsoft.com/office/spreadsheetml/2009/9/main" objectType="Button" lockText="1"/>
</file>

<file path=xl/ctrlProps/ctrlProp2473.xml><?xml version="1.0" encoding="utf-8"?>
<formControlPr xmlns="http://schemas.microsoft.com/office/spreadsheetml/2009/9/main" objectType="Button" lockText="1"/>
</file>

<file path=xl/ctrlProps/ctrlProp2474.xml><?xml version="1.0" encoding="utf-8"?>
<formControlPr xmlns="http://schemas.microsoft.com/office/spreadsheetml/2009/9/main" objectType="Button" lockText="1"/>
</file>

<file path=xl/ctrlProps/ctrlProp2475.xml><?xml version="1.0" encoding="utf-8"?>
<formControlPr xmlns="http://schemas.microsoft.com/office/spreadsheetml/2009/9/main" objectType="Button" lockText="1"/>
</file>

<file path=xl/ctrlProps/ctrlProp2476.xml><?xml version="1.0" encoding="utf-8"?>
<formControlPr xmlns="http://schemas.microsoft.com/office/spreadsheetml/2009/9/main" objectType="Button" lockText="1"/>
</file>

<file path=xl/ctrlProps/ctrlProp2477.xml><?xml version="1.0" encoding="utf-8"?>
<formControlPr xmlns="http://schemas.microsoft.com/office/spreadsheetml/2009/9/main" objectType="Button" lockText="1"/>
</file>

<file path=xl/ctrlProps/ctrlProp2478.xml><?xml version="1.0" encoding="utf-8"?>
<formControlPr xmlns="http://schemas.microsoft.com/office/spreadsheetml/2009/9/main" objectType="Button" lockText="1"/>
</file>

<file path=xl/ctrlProps/ctrlProp2479.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80.xml><?xml version="1.0" encoding="utf-8"?>
<formControlPr xmlns="http://schemas.microsoft.com/office/spreadsheetml/2009/9/main" objectType="Button" lockText="1"/>
</file>

<file path=xl/ctrlProps/ctrlProp2481.xml><?xml version="1.0" encoding="utf-8"?>
<formControlPr xmlns="http://schemas.microsoft.com/office/spreadsheetml/2009/9/main" objectType="Button" lockText="1"/>
</file>

<file path=xl/ctrlProps/ctrlProp2482.xml><?xml version="1.0" encoding="utf-8"?>
<formControlPr xmlns="http://schemas.microsoft.com/office/spreadsheetml/2009/9/main" objectType="Button" lockText="1"/>
</file>

<file path=xl/ctrlProps/ctrlProp2483.xml><?xml version="1.0" encoding="utf-8"?>
<formControlPr xmlns="http://schemas.microsoft.com/office/spreadsheetml/2009/9/main" objectType="Button" lockText="1"/>
</file>

<file path=xl/ctrlProps/ctrlProp2484.xml><?xml version="1.0" encoding="utf-8"?>
<formControlPr xmlns="http://schemas.microsoft.com/office/spreadsheetml/2009/9/main" objectType="Button" lockText="1"/>
</file>

<file path=xl/ctrlProps/ctrlProp2485.xml><?xml version="1.0" encoding="utf-8"?>
<formControlPr xmlns="http://schemas.microsoft.com/office/spreadsheetml/2009/9/main" objectType="Button" lockText="1"/>
</file>

<file path=xl/ctrlProps/ctrlProp2486.xml><?xml version="1.0" encoding="utf-8"?>
<formControlPr xmlns="http://schemas.microsoft.com/office/spreadsheetml/2009/9/main" objectType="Button" lockText="1"/>
</file>

<file path=xl/ctrlProps/ctrlProp2487.xml><?xml version="1.0" encoding="utf-8"?>
<formControlPr xmlns="http://schemas.microsoft.com/office/spreadsheetml/2009/9/main" objectType="Button" lockText="1"/>
</file>

<file path=xl/ctrlProps/ctrlProp2488.xml><?xml version="1.0" encoding="utf-8"?>
<formControlPr xmlns="http://schemas.microsoft.com/office/spreadsheetml/2009/9/main" objectType="Button" lockText="1"/>
</file>

<file path=xl/ctrlProps/ctrlProp2489.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490.xml><?xml version="1.0" encoding="utf-8"?>
<formControlPr xmlns="http://schemas.microsoft.com/office/spreadsheetml/2009/9/main" objectType="Button" lockText="1"/>
</file>

<file path=xl/ctrlProps/ctrlProp2491.xml><?xml version="1.0" encoding="utf-8"?>
<formControlPr xmlns="http://schemas.microsoft.com/office/spreadsheetml/2009/9/main" objectType="Button" lockText="1"/>
</file>

<file path=xl/ctrlProps/ctrlProp2492.xml><?xml version="1.0" encoding="utf-8"?>
<formControlPr xmlns="http://schemas.microsoft.com/office/spreadsheetml/2009/9/main" objectType="Button" lockText="1"/>
</file>

<file path=xl/ctrlProps/ctrlProp2493.xml><?xml version="1.0" encoding="utf-8"?>
<formControlPr xmlns="http://schemas.microsoft.com/office/spreadsheetml/2009/9/main" objectType="Button" lockText="1"/>
</file>

<file path=xl/ctrlProps/ctrlProp2494.xml><?xml version="1.0" encoding="utf-8"?>
<formControlPr xmlns="http://schemas.microsoft.com/office/spreadsheetml/2009/9/main" objectType="Button" lockText="1"/>
</file>

<file path=xl/ctrlProps/ctrlProp2495.xml><?xml version="1.0" encoding="utf-8"?>
<formControlPr xmlns="http://schemas.microsoft.com/office/spreadsheetml/2009/9/main" objectType="Button" lockText="1"/>
</file>

<file path=xl/ctrlProps/ctrlProp2496.xml><?xml version="1.0" encoding="utf-8"?>
<formControlPr xmlns="http://schemas.microsoft.com/office/spreadsheetml/2009/9/main" objectType="Button" lockText="1"/>
</file>

<file path=xl/ctrlProps/ctrlProp2497.xml><?xml version="1.0" encoding="utf-8"?>
<formControlPr xmlns="http://schemas.microsoft.com/office/spreadsheetml/2009/9/main" objectType="Button" lockText="1"/>
</file>

<file path=xl/ctrlProps/ctrlProp2498.xml><?xml version="1.0" encoding="utf-8"?>
<formControlPr xmlns="http://schemas.microsoft.com/office/spreadsheetml/2009/9/main" objectType="Button" lockText="1"/>
</file>

<file path=xl/ctrlProps/ctrlProp249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00.xml><?xml version="1.0" encoding="utf-8"?>
<formControlPr xmlns="http://schemas.microsoft.com/office/spreadsheetml/2009/9/main" objectType="Button" lockText="1"/>
</file>

<file path=xl/ctrlProps/ctrlProp2501.xml><?xml version="1.0" encoding="utf-8"?>
<formControlPr xmlns="http://schemas.microsoft.com/office/spreadsheetml/2009/9/main" objectType="Button" lockText="1"/>
</file>

<file path=xl/ctrlProps/ctrlProp2502.xml><?xml version="1.0" encoding="utf-8"?>
<formControlPr xmlns="http://schemas.microsoft.com/office/spreadsheetml/2009/9/main" objectType="Button" lockText="1"/>
</file>

<file path=xl/ctrlProps/ctrlProp2503.xml><?xml version="1.0" encoding="utf-8"?>
<formControlPr xmlns="http://schemas.microsoft.com/office/spreadsheetml/2009/9/main" objectType="Button" lockText="1"/>
</file>

<file path=xl/ctrlProps/ctrlProp2504.xml><?xml version="1.0" encoding="utf-8"?>
<formControlPr xmlns="http://schemas.microsoft.com/office/spreadsheetml/2009/9/main" objectType="Button" lockText="1"/>
</file>

<file path=xl/ctrlProps/ctrlProp2505.xml><?xml version="1.0" encoding="utf-8"?>
<formControlPr xmlns="http://schemas.microsoft.com/office/spreadsheetml/2009/9/main" objectType="Button" lockText="1"/>
</file>

<file path=xl/ctrlProps/ctrlProp2506.xml><?xml version="1.0" encoding="utf-8"?>
<formControlPr xmlns="http://schemas.microsoft.com/office/spreadsheetml/2009/9/main" objectType="Button" lockText="1"/>
</file>

<file path=xl/ctrlProps/ctrlProp2507.xml><?xml version="1.0" encoding="utf-8"?>
<formControlPr xmlns="http://schemas.microsoft.com/office/spreadsheetml/2009/9/main" objectType="Button" lockText="1"/>
</file>

<file path=xl/ctrlProps/ctrlProp2508.xml><?xml version="1.0" encoding="utf-8"?>
<formControlPr xmlns="http://schemas.microsoft.com/office/spreadsheetml/2009/9/main" objectType="Button" lockText="1"/>
</file>

<file path=xl/ctrlProps/ctrlProp2509.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10.xml><?xml version="1.0" encoding="utf-8"?>
<formControlPr xmlns="http://schemas.microsoft.com/office/spreadsheetml/2009/9/main" objectType="Button" lockText="1"/>
</file>

<file path=xl/ctrlProps/ctrlProp2511.xml><?xml version="1.0" encoding="utf-8"?>
<formControlPr xmlns="http://schemas.microsoft.com/office/spreadsheetml/2009/9/main" objectType="Button" lockText="1"/>
</file>

<file path=xl/ctrlProps/ctrlProp2512.xml><?xml version="1.0" encoding="utf-8"?>
<formControlPr xmlns="http://schemas.microsoft.com/office/spreadsheetml/2009/9/main" objectType="Button" lockText="1"/>
</file>

<file path=xl/ctrlProps/ctrlProp2513.xml><?xml version="1.0" encoding="utf-8"?>
<formControlPr xmlns="http://schemas.microsoft.com/office/spreadsheetml/2009/9/main" objectType="Button" lockText="1"/>
</file>

<file path=xl/ctrlProps/ctrlProp2514.xml><?xml version="1.0" encoding="utf-8"?>
<formControlPr xmlns="http://schemas.microsoft.com/office/spreadsheetml/2009/9/main" objectType="Button" lockText="1"/>
</file>

<file path=xl/ctrlProps/ctrlProp2515.xml><?xml version="1.0" encoding="utf-8"?>
<formControlPr xmlns="http://schemas.microsoft.com/office/spreadsheetml/2009/9/main" objectType="Button" lockText="1"/>
</file>

<file path=xl/ctrlProps/ctrlProp2516.xml><?xml version="1.0" encoding="utf-8"?>
<formControlPr xmlns="http://schemas.microsoft.com/office/spreadsheetml/2009/9/main" objectType="Button" lockText="1"/>
</file>

<file path=xl/ctrlProps/ctrlProp2517.xml><?xml version="1.0" encoding="utf-8"?>
<formControlPr xmlns="http://schemas.microsoft.com/office/spreadsheetml/2009/9/main" objectType="Button" lockText="1"/>
</file>

<file path=xl/ctrlProps/ctrlProp2518.xml><?xml version="1.0" encoding="utf-8"?>
<formControlPr xmlns="http://schemas.microsoft.com/office/spreadsheetml/2009/9/main" objectType="Button" lockText="1"/>
</file>

<file path=xl/ctrlProps/ctrlProp2519.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20.xml><?xml version="1.0" encoding="utf-8"?>
<formControlPr xmlns="http://schemas.microsoft.com/office/spreadsheetml/2009/9/main" objectType="Button" lockText="1"/>
</file>

<file path=xl/ctrlProps/ctrlProp2521.xml><?xml version="1.0" encoding="utf-8"?>
<formControlPr xmlns="http://schemas.microsoft.com/office/spreadsheetml/2009/9/main" objectType="Button" lockText="1"/>
</file>

<file path=xl/ctrlProps/ctrlProp2522.xml><?xml version="1.0" encoding="utf-8"?>
<formControlPr xmlns="http://schemas.microsoft.com/office/spreadsheetml/2009/9/main" objectType="Button" lockText="1"/>
</file>

<file path=xl/ctrlProps/ctrlProp2523.xml><?xml version="1.0" encoding="utf-8"?>
<formControlPr xmlns="http://schemas.microsoft.com/office/spreadsheetml/2009/9/main" objectType="Button" lockText="1"/>
</file>

<file path=xl/ctrlProps/ctrlProp2524.xml><?xml version="1.0" encoding="utf-8"?>
<formControlPr xmlns="http://schemas.microsoft.com/office/spreadsheetml/2009/9/main" objectType="Button" lockText="1"/>
</file>

<file path=xl/ctrlProps/ctrlProp2525.xml><?xml version="1.0" encoding="utf-8"?>
<formControlPr xmlns="http://schemas.microsoft.com/office/spreadsheetml/2009/9/main" objectType="Button" lockText="1"/>
</file>

<file path=xl/ctrlProps/ctrlProp2526.xml><?xml version="1.0" encoding="utf-8"?>
<formControlPr xmlns="http://schemas.microsoft.com/office/spreadsheetml/2009/9/main" objectType="Button" lockText="1"/>
</file>

<file path=xl/ctrlProps/ctrlProp2527.xml><?xml version="1.0" encoding="utf-8"?>
<formControlPr xmlns="http://schemas.microsoft.com/office/spreadsheetml/2009/9/main" objectType="Button" lockText="1"/>
</file>

<file path=xl/ctrlProps/ctrlProp2528.xml><?xml version="1.0" encoding="utf-8"?>
<formControlPr xmlns="http://schemas.microsoft.com/office/spreadsheetml/2009/9/main" objectType="Button" lockText="1"/>
</file>

<file path=xl/ctrlProps/ctrlProp2529.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30.xml><?xml version="1.0" encoding="utf-8"?>
<formControlPr xmlns="http://schemas.microsoft.com/office/spreadsheetml/2009/9/main" objectType="Button" lockText="1"/>
</file>

<file path=xl/ctrlProps/ctrlProp2531.xml><?xml version="1.0" encoding="utf-8"?>
<formControlPr xmlns="http://schemas.microsoft.com/office/spreadsheetml/2009/9/main" objectType="Button" lockText="1"/>
</file>

<file path=xl/ctrlProps/ctrlProp2532.xml><?xml version="1.0" encoding="utf-8"?>
<formControlPr xmlns="http://schemas.microsoft.com/office/spreadsheetml/2009/9/main" objectType="Button" lockText="1"/>
</file>

<file path=xl/ctrlProps/ctrlProp2533.xml><?xml version="1.0" encoding="utf-8"?>
<formControlPr xmlns="http://schemas.microsoft.com/office/spreadsheetml/2009/9/main" objectType="Button" lockText="1"/>
</file>

<file path=xl/ctrlProps/ctrlProp2534.xml><?xml version="1.0" encoding="utf-8"?>
<formControlPr xmlns="http://schemas.microsoft.com/office/spreadsheetml/2009/9/main" objectType="Button" lockText="1"/>
</file>

<file path=xl/ctrlProps/ctrlProp2535.xml><?xml version="1.0" encoding="utf-8"?>
<formControlPr xmlns="http://schemas.microsoft.com/office/spreadsheetml/2009/9/main" objectType="Button" lockText="1"/>
</file>

<file path=xl/ctrlProps/ctrlProp2536.xml><?xml version="1.0" encoding="utf-8"?>
<formControlPr xmlns="http://schemas.microsoft.com/office/spreadsheetml/2009/9/main" objectType="Button" lockText="1"/>
</file>

<file path=xl/ctrlProps/ctrlProp2537.xml><?xml version="1.0" encoding="utf-8"?>
<formControlPr xmlns="http://schemas.microsoft.com/office/spreadsheetml/2009/9/main" objectType="Button" lockText="1"/>
</file>

<file path=xl/ctrlProps/ctrlProp2538.xml><?xml version="1.0" encoding="utf-8"?>
<formControlPr xmlns="http://schemas.microsoft.com/office/spreadsheetml/2009/9/main" objectType="Button" lockText="1"/>
</file>

<file path=xl/ctrlProps/ctrlProp2539.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40.xml><?xml version="1.0" encoding="utf-8"?>
<formControlPr xmlns="http://schemas.microsoft.com/office/spreadsheetml/2009/9/main" objectType="Button" lockText="1"/>
</file>

<file path=xl/ctrlProps/ctrlProp2541.xml><?xml version="1.0" encoding="utf-8"?>
<formControlPr xmlns="http://schemas.microsoft.com/office/spreadsheetml/2009/9/main" objectType="Button" lockText="1"/>
</file>

<file path=xl/ctrlProps/ctrlProp2542.xml><?xml version="1.0" encoding="utf-8"?>
<formControlPr xmlns="http://schemas.microsoft.com/office/spreadsheetml/2009/9/main" objectType="Button" lockText="1"/>
</file>

<file path=xl/ctrlProps/ctrlProp2543.xml><?xml version="1.0" encoding="utf-8"?>
<formControlPr xmlns="http://schemas.microsoft.com/office/spreadsheetml/2009/9/main" objectType="Button" lockText="1"/>
</file>

<file path=xl/ctrlProps/ctrlProp2544.xml><?xml version="1.0" encoding="utf-8"?>
<formControlPr xmlns="http://schemas.microsoft.com/office/spreadsheetml/2009/9/main" objectType="Button" lockText="1"/>
</file>

<file path=xl/ctrlProps/ctrlProp2545.xml><?xml version="1.0" encoding="utf-8"?>
<formControlPr xmlns="http://schemas.microsoft.com/office/spreadsheetml/2009/9/main" objectType="Button" lockText="1"/>
</file>

<file path=xl/ctrlProps/ctrlProp2546.xml><?xml version="1.0" encoding="utf-8"?>
<formControlPr xmlns="http://schemas.microsoft.com/office/spreadsheetml/2009/9/main" objectType="Button" lockText="1"/>
</file>

<file path=xl/ctrlProps/ctrlProp2547.xml><?xml version="1.0" encoding="utf-8"?>
<formControlPr xmlns="http://schemas.microsoft.com/office/spreadsheetml/2009/9/main" objectType="Button" lockText="1"/>
</file>

<file path=xl/ctrlProps/ctrlProp2548.xml><?xml version="1.0" encoding="utf-8"?>
<formControlPr xmlns="http://schemas.microsoft.com/office/spreadsheetml/2009/9/main" objectType="Button" lockText="1"/>
</file>

<file path=xl/ctrlProps/ctrlProp2549.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50.xml><?xml version="1.0" encoding="utf-8"?>
<formControlPr xmlns="http://schemas.microsoft.com/office/spreadsheetml/2009/9/main" objectType="Button" lockText="1"/>
</file>

<file path=xl/ctrlProps/ctrlProp2551.xml><?xml version="1.0" encoding="utf-8"?>
<formControlPr xmlns="http://schemas.microsoft.com/office/spreadsheetml/2009/9/main" objectType="Button" lockText="1"/>
</file>

<file path=xl/ctrlProps/ctrlProp2552.xml><?xml version="1.0" encoding="utf-8"?>
<formControlPr xmlns="http://schemas.microsoft.com/office/spreadsheetml/2009/9/main" objectType="Button" lockText="1"/>
</file>

<file path=xl/ctrlProps/ctrlProp2553.xml><?xml version="1.0" encoding="utf-8"?>
<formControlPr xmlns="http://schemas.microsoft.com/office/spreadsheetml/2009/9/main" objectType="Button" lockText="1"/>
</file>

<file path=xl/ctrlProps/ctrlProp2554.xml><?xml version="1.0" encoding="utf-8"?>
<formControlPr xmlns="http://schemas.microsoft.com/office/spreadsheetml/2009/9/main" objectType="Button" lockText="1"/>
</file>

<file path=xl/ctrlProps/ctrlProp2555.xml><?xml version="1.0" encoding="utf-8"?>
<formControlPr xmlns="http://schemas.microsoft.com/office/spreadsheetml/2009/9/main" objectType="Button" lockText="1"/>
</file>

<file path=xl/ctrlProps/ctrlProp2556.xml><?xml version="1.0" encoding="utf-8"?>
<formControlPr xmlns="http://schemas.microsoft.com/office/spreadsheetml/2009/9/main" objectType="Button" lockText="1"/>
</file>

<file path=xl/ctrlProps/ctrlProp2557.xml><?xml version="1.0" encoding="utf-8"?>
<formControlPr xmlns="http://schemas.microsoft.com/office/spreadsheetml/2009/9/main" objectType="Button" lockText="1"/>
</file>

<file path=xl/ctrlProps/ctrlProp2558.xml><?xml version="1.0" encoding="utf-8"?>
<formControlPr xmlns="http://schemas.microsoft.com/office/spreadsheetml/2009/9/main" objectType="Button" lockText="1"/>
</file>

<file path=xl/ctrlProps/ctrlProp2559.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60.xml><?xml version="1.0" encoding="utf-8"?>
<formControlPr xmlns="http://schemas.microsoft.com/office/spreadsheetml/2009/9/main" objectType="Button" lockText="1"/>
</file>

<file path=xl/ctrlProps/ctrlProp2561.xml><?xml version="1.0" encoding="utf-8"?>
<formControlPr xmlns="http://schemas.microsoft.com/office/spreadsheetml/2009/9/main" objectType="Button" lockText="1"/>
</file>

<file path=xl/ctrlProps/ctrlProp2562.xml><?xml version="1.0" encoding="utf-8"?>
<formControlPr xmlns="http://schemas.microsoft.com/office/spreadsheetml/2009/9/main" objectType="Button" lockText="1"/>
</file>

<file path=xl/ctrlProps/ctrlProp2563.xml><?xml version="1.0" encoding="utf-8"?>
<formControlPr xmlns="http://schemas.microsoft.com/office/spreadsheetml/2009/9/main" objectType="Button" lockText="1"/>
</file>

<file path=xl/ctrlProps/ctrlProp2564.xml><?xml version="1.0" encoding="utf-8"?>
<formControlPr xmlns="http://schemas.microsoft.com/office/spreadsheetml/2009/9/main" objectType="Button" lockText="1"/>
</file>

<file path=xl/ctrlProps/ctrlProp2565.xml><?xml version="1.0" encoding="utf-8"?>
<formControlPr xmlns="http://schemas.microsoft.com/office/spreadsheetml/2009/9/main" objectType="Button" lockText="1"/>
</file>

<file path=xl/ctrlProps/ctrlProp2566.xml><?xml version="1.0" encoding="utf-8"?>
<formControlPr xmlns="http://schemas.microsoft.com/office/spreadsheetml/2009/9/main" objectType="Button" lockText="1"/>
</file>

<file path=xl/ctrlProps/ctrlProp2567.xml><?xml version="1.0" encoding="utf-8"?>
<formControlPr xmlns="http://schemas.microsoft.com/office/spreadsheetml/2009/9/main" objectType="Button" lockText="1"/>
</file>

<file path=xl/ctrlProps/ctrlProp2568.xml><?xml version="1.0" encoding="utf-8"?>
<formControlPr xmlns="http://schemas.microsoft.com/office/spreadsheetml/2009/9/main" objectType="Button" lockText="1"/>
</file>

<file path=xl/ctrlProps/ctrlProp2569.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70.xml><?xml version="1.0" encoding="utf-8"?>
<formControlPr xmlns="http://schemas.microsoft.com/office/spreadsheetml/2009/9/main" objectType="Button" lockText="1"/>
</file>

<file path=xl/ctrlProps/ctrlProp2571.xml><?xml version="1.0" encoding="utf-8"?>
<formControlPr xmlns="http://schemas.microsoft.com/office/spreadsheetml/2009/9/main" objectType="Button" lockText="1"/>
</file>

<file path=xl/ctrlProps/ctrlProp2572.xml><?xml version="1.0" encoding="utf-8"?>
<formControlPr xmlns="http://schemas.microsoft.com/office/spreadsheetml/2009/9/main" objectType="Button" lockText="1"/>
</file>

<file path=xl/ctrlProps/ctrlProp2573.xml><?xml version="1.0" encoding="utf-8"?>
<formControlPr xmlns="http://schemas.microsoft.com/office/spreadsheetml/2009/9/main" objectType="Button" lockText="1"/>
</file>

<file path=xl/ctrlProps/ctrlProp2574.xml><?xml version="1.0" encoding="utf-8"?>
<formControlPr xmlns="http://schemas.microsoft.com/office/spreadsheetml/2009/9/main" objectType="Button" lockText="1"/>
</file>

<file path=xl/ctrlProps/ctrlProp2575.xml><?xml version="1.0" encoding="utf-8"?>
<formControlPr xmlns="http://schemas.microsoft.com/office/spreadsheetml/2009/9/main" objectType="Button" lockText="1"/>
</file>

<file path=xl/ctrlProps/ctrlProp2576.xml><?xml version="1.0" encoding="utf-8"?>
<formControlPr xmlns="http://schemas.microsoft.com/office/spreadsheetml/2009/9/main" objectType="Button" lockText="1"/>
</file>

<file path=xl/ctrlProps/ctrlProp2577.xml><?xml version="1.0" encoding="utf-8"?>
<formControlPr xmlns="http://schemas.microsoft.com/office/spreadsheetml/2009/9/main" objectType="Button" lockText="1"/>
</file>

<file path=xl/ctrlProps/ctrlProp2578.xml><?xml version="1.0" encoding="utf-8"?>
<formControlPr xmlns="http://schemas.microsoft.com/office/spreadsheetml/2009/9/main" objectType="Button" lockText="1"/>
</file>

<file path=xl/ctrlProps/ctrlProp2579.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80.xml><?xml version="1.0" encoding="utf-8"?>
<formControlPr xmlns="http://schemas.microsoft.com/office/spreadsheetml/2009/9/main" objectType="Button" lockText="1"/>
</file>

<file path=xl/ctrlProps/ctrlProp2581.xml><?xml version="1.0" encoding="utf-8"?>
<formControlPr xmlns="http://schemas.microsoft.com/office/spreadsheetml/2009/9/main" objectType="Button" lockText="1"/>
</file>

<file path=xl/ctrlProps/ctrlProp2582.xml><?xml version="1.0" encoding="utf-8"?>
<formControlPr xmlns="http://schemas.microsoft.com/office/spreadsheetml/2009/9/main" objectType="Button" lockText="1"/>
</file>

<file path=xl/ctrlProps/ctrlProp2583.xml><?xml version="1.0" encoding="utf-8"?>
<formControlPr xmlns="http://schemas.microsoft.com/office/spreadsheetml/2009/9/main" objectType="Button" lockText="1"/>
</file>

<file path=xl/ctrlProps/ctrlProp2584.xml><?xml version="1.0" encoding="utf-8"?>
<formControlPr xmlns="http://schemas.microsoft.com/office/spreadsheetml/2009/9/main" objectType="Button" lockText="1"/>
</file>

<file path=xl/ctrlProps/ctrlProp2585.xml><?xml version="1.0" encoding="utf-8"?>
<formControlPr xmlns="http://schemas.microsoft.com/office/spreadsheetml/2009/9/main" objectType="Button" lockText="1"/>
</file>

<file path=xl/ctrlProps/ctrlProp2586.xml><?xml version="1.0" encoding="utf-8"?>
<formControlPr xmlns="http://schemas.microsoft.com/office/spreadsheetml/2009/9/main" objectType="Button" lockText="1"/>
</file>

<file path=xl/ctrlProps/ctrlProp2587.xml><?xml version="1.0" encoding="utf-8"?>
<formControlPr xmlns="http://schemas.microsoft.com/office/spreadsheetml/2009/9/main" objectType="Button" lockText="1"/>
</file>

<file path=xl/ctrlProps/ctrlProp2588.xml><?xml version="1.0" encoding="utf-8"?>
<formControlPr xmlns="http://schemas.microsoft.com/office/spreadsheetml/2009/9/main" objectType="Button" lockText="1"/>
</file>

<file path=xl/ctrlProps/ctrlProp2589.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590.xml><?xml version="1.0" encoding="utf-8"?>
<formControlPr xmlns="http://schemas.microsoft.com/office/spreadsheetml/2009/9/main" objectType="Button" lockText="1"/>
</file>

<file path=xl/ctrlProps/ctrlProp2591.xml><?xml version="1.0" encoding="utf-8"?>
<formControlPr xmlns="http://schemas.microsoft.com/office/spreadsheetml/2009/9/main" objectType="Button" lockText="1"/>
</file>

<file path=xl/ctrlProps/ctrlProp2592.xml><?xml version="1.0" encoding="utf-8"?>
<formControlPr xmlns="http://schemas.microsoft.com/office/spreadsheetml/2009/9/main" objectType="Button" lockText="1"/>
</file>

<file path=xl/ctrlProps/ctrlProp2593.xml><?xml version="1.0" encoding="utf-8"?>
<formControlPr xmlns="http://schemas.microsoft.com/office/spreadsheetml/2009/9/main" objectType="Button" lockText="1"/>
</file>

<file path=xl/ctrlProps/ctrlProp2594.xml><?xml version="1.0" encoding="utf-8"?>
<formControlPr xmlns="http://schemas.microsoft.com/office/spreadsheetml/2009/9/main" objectType="Button" lockText="1"/>
</file>

<file path=xl/ctrlProps/ctrlProp2595.xml><?xml version="1.0" encoding="utf-8"?>
<formControlPr xmlns="http://schemas.microsoft.com/office/spreadsheetml/2009/9/main" objectType="Button" lockText="1"/>
</file>

<file path=xl/ctrlProps/ctrlProp2596.xml><?xml version="1.0" encoding="utf-8"?>
<formControlPr xmlns="http://schemas.microsoft.com/office/spreadsheetml/2009/9/main" objectType="Button" lockText="1"/>
</file>

<file path=xl/ctrlProps/ctrlProp2597.xml><?xml version="1.0" encoding="utf-8"?>
<formControlPr xmlns="http://schemas.microsoft.com/office/spreadsheetml/2009/9/main" objectType="Button" lockText="1"/>
</file>

<file path=xl/ctrlProps/ctrlProp2598.xml><?xml version="1.0" encoding="utf-8"?>
<formControlPr xmlns="http://schemas.microsoft.com/office/spreadsheetml/2009/9/main" objectType="Button" lockText="1"/>
</file>

<file path=xl/ctrlProps/ctrlProp259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00.xml><?xml version="1.0" encoding="utf-8"?>
<formControlPr xmlns="http://schemas.microsoft.com/office/spreadsheetml/2009/9/main" objectType="Button" lockText="1"/>
</file>

<file path=xl/ctrlProps/ctrlProp2601.xml><?xml version="1.0" encoding="utf-8"?>
<formControlPr xmlns="http://schemas.microsoft.com/office/spreadsheetml/2009/9/main" objectType="Button" lockText="1"/>
</file>

<file path=xl/ctrlProps/ctrlProp2602.xml><?xml version="1.0" encoding="utf-8"?>
<formControlPr xmlns="http://schemas.microsoft.com/office/spreadsheetml/2009/9/main" objectType="Button" lockText="1"/>
</file>

<file path=xl/ctrlProps/ctrlProp2603.xml><?xml version="1.0" encoding="utf-8"?>
<formControlPr xmlns="http://schemas.microsoft.com/office/spreadsheetml/2009/9/main" objectType="Button" lockText="1"/>
</file>

<file path=xl/ctrlProps/ctrlProp2604.xml><?xml version="1.0" encoding="utf-8"?>
<formControlPr xmlns="http://schemas.microsoft.com/office/spreadsheetml/2009/9/main" objectType="Button" lockText="1"/>
</file>

<file path=xl/ctrlProps/ctrlProp2605.xml><?xml version="1.0" encoding="utf-8"?>
<formControlPr xmlns="http://schemas.microsoft.com/office/spreadsheetml/2009/9/main" objectType="Button" lockText="1"/>
</file>

<file path=xl/ctrlProps/ctrlProp2606.xml><?xml version="1.0" encoding="utf-8"?>
<formControlPr xmlns="http://schemas.microsoft.com/office/spreadsheetml/2009/9/main" objectType="Button" lockText="1"/>
</file>

<file path=xl/ctrlProps/ctrlProp2607.xml><?xml version="1.0" encoding="utf-8"?>
<formControlPr xmlns="http://schemas.microsoft.com/office/spreadsheetml/2009/9/main" objectType="Button" lockText="1"/>
</file>

<file path=xl/ctrlProps/ctrlProp2608.xml><?xml version="1.0" encoding="utf-8"?>
<formControlPr xmlns="http://schemas.microsoft.com/office/spreadsheetml/2009/9/main" objectType="Button" lockText="1"/>
</file>

<file path=xl/ctrlProps/ctrlProp2609.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10.xml><?xml version="1.0" encoding="utf-8"?>
<formControlPr xmlns="http://schemas.microsoft.com/office/spreadsheetml/2009/9/main" objectType="Button" lockText="1"/>
</file>

<file path=xl/ctrlProps/ctrlProp2611.xml><?xml version="1.0" encoding="utf-8"?>
<formControlPr xmlns="http://schemas.microsoft.com/office/spreadsheetml/2009/9/main" objectType="Button" lockText="1"/>
</file>

<file path=xl/ctrlProps/ctrlProp2612.xml><?xml version="1.0" encoding="utf-8"?>
<formControlPr xmlns="http://schemas.microsoft.com/office/spreadsheetml/2009/9/main" objectType="Button" lockText="1"/>
</file>

<file path=xl/ctrlProps/ctrlProp2613.xml><?xml version="1.0" encoding="utf-8"?>
<formControlPr xmlns="http://schemas.microsoft.com/office/spreadsheetml/2009/9/main" objectType="Button" lockText="1"/>
</file>

<file path=xl/ctrlProps/ctrlProp2614.xml><?xml version="1.0" encoding="utf-8"?>
<formControlPr xmlns="http://schemas.microsoft.com/office/spreadsheetml/2009/9/main" objectType="Button" lockText="1"/>
</file>

<file path=xl/ctrlProps/ctrlProp2615.xml><?xml version="1.0" encoding="utf-8"?>
<formControlPr xmlns="http://schemas.microsoft.com/office/spreadsheetml/2009/9/main" objectType="Button" lockText="1"/>
</file>

<file path=xl/ctrlProps/ctrlProp2616.xml><?xml version="1.0" encoding="utf-8"?>
<formControlPr xmlns="http://schemas.microsoft.com/office/spreadsheetml/2009/9/main" objectType="Button" lockText="1"/>
</file>

<file path=xl/ctrlProps/ctrlProp2617.xml><?xml version="1.0" encoding="utf-8"?>
<formControlPr xmlns="http://schemas.microsoft.com/office/spreadsheetml/2009/9/main" objectType="Button" lockText="1"/>
</file>

<file path=xl/ctrlProps/ctrlProp2618.xml><?xml version="1.0" encoding="utf-8"?>
<formControlPr xmlns="http://schemas.microsoft.com/office/spreadsheetml/2009/9/main" objectType="Button" lockText="1"/>
</file>

<file path=xl/ctrlProps/ctrlProp2619.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20.xml><?xml version="1.0" encoding="utf-8"?>
<formControlPr xmlns="http://schemas.microsoft.com/office/spreadsheetml/2009/9/main" objectType="Button" lockText="1"/>
</file>

<file path=xl/ctrlProps/ctrlProp2621.xml><?xml version="1.0" encoding="utf-8"?>
<formControlPr xmlns="http://schemas.microsoft.com/office/spreadsheetml/2009/9/main" objectType="Button" lockText="1"/>
</file>

<file path=xl/ctrlProps/ctrlProp2622.xml><?xml version="1.0" encoding="utf-8"?>
<formControlPr xmlns="http://schemas.microsoft.com/office/spreadsheetml/2009/9/main" objectType="Button" lockText="1"/>
</file>

<file path=xl/ctrlProps/ctrlProp2623.xml><?xml version="1.0" encoding="utf-8"?>
<formControlPr xmlns="http://schemas.microsoft.com/office/spreadsheetml/2009/9/main" objectType="Button" lockText="1"/>
</file>

<file path=xl/ctrlProps/ctrlProp2624.xml><?xml version="1.0" encoding="utf-8"?>
<formControlPr xmlns="http://schemas.microsoft.com/office/spreadsheetml/2009/9/main" objectType="Button" lockText="1"/>
</file>

<file path=xl/ctrlProps/ctrlProp2625.xml><?xml version="1.0" encoding="utf-8"?>
<formControlPr xmlns="http://schemas.microsoft.com/office/spreadsheetml/2009/9/main" objectType="Button" lockText="1"/>
</file>

<file path=xl/ctrlProps/ctrlProp2626.xml><?xml version="1.0" encoding="utf-8"?>
<formControlPr xmlns="http://schemas.microsoft.com/office/spreadsheetml/2009/9/main" objectType="Button" lockText="1"/>
</file>

<file path=xl/ctrlProps/ctrlProp2627.xml><?xml version="1.0" encoding="utf-8"?>
<formControlPr xmlns="http://schemas.microsoft.com/office/spreadsheetml/2009/9/main" objectType="Button" lockText="1"/>
</file>

<file path=xl/ctrlProps/ctrlProp2628.xml><?xml version="1.0" encoding="utf-8"?>
<formControlPr xmlns="http://schemas.microsoft.com/office/spreadsheetml/2009/9/main" objectType="Button" lockText="1"/>
</file>

<file path=xl/ctrlProps/ctrlProp2629.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30.xml><?xml version="1.0" encoding="utf-8"?>
<formControlPr xmlns="http://schemas.microsoft.com/office/spreadsheetml/2009/9/main" objectType="Button" lockText="1"/>
</file>

<file path=xl/ctrlProps/ctrlProp2631.xml><?xml version="1.0" encoding="utf-8"?>
<formControlPr xmlns="http://schemas.microsoft.com/office/spreadsheetml/2009/9/main" objectType="Button" lockText="1"/>
</file>

<file path=xl/ctrlProps/ctrlProp2632.xml><?xml version="1.0" encoding="utf-8"?>
<formControlPr xmlns="http://schemas.microsoft.com/office/spreadsheetml/2009/9/main" objectType="Button" lockText="1"/>
</file>

<file path=xl/ctrlProps/ctrlProp2633.xml><?xml version="1.0" encoding="utf-8"?>
<formControlPr xmlns="http://schemas.microsoft.com/office/spreadsheetml/2009/9/main" objectType="Button" lockText="1"/>
</file>

<file path=xl/ctrlProps/ctrlProp2634.xml><?xml version="1.0" encoding="utf-8"?>
<formControlPr xmlns="http://schemas.microsoft.com/office/spreadsheetml/2009/9/main" objectType="Button" lockText="1"/>
</file>

<file path=xl/ctrlProps/ctrlProp2635.xml><?xml version="1.0" encoding="utf-8"?>
<formControlPr xmlns="http://schemas.microsoft.com/office/spreadsheetml/2009/9/main" objectType="Button" lockText="1"/>
</file>

<file path=xl/ctrlProps/ctrlProp2636.xml><?xml version="1.0" encoding="utf-8"?>
<formControlPr xmlns="http://schemas.microsoft.com/office/spreadsheetml/2009/9/main" objectType="Button" lockText="1"/>
</file>

<file path=xl/ctrlProps/ctrlProp2637.xml><?xml version="1.0" encoding="utf-8"?>
<formControlPr xmlns="http://schemas.microsoft.com/office/spreadsheetml/2009/9/main" objectType="Button" lockText="1"/>
</file>

<file path=xl/ctrlProps/ctrlProp2638.xml><?xml version="1.0" encoding="utf-8"?>
<formControlPr xmlns="http://schemas.microsoft.com/office/spreadsheetml/2009/9/main" objectType="Button" lockText="1"/>
</file>

<file path=xl/ctrlProps/ctrlProp2639.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40.xml><?xml version="1.0" encoding="utf-8"?>
<formControlPr xmlns="http://schemas.microsoft.com/office/spreadsheetml/2009/9/main" objectType="Button" lockText="1"/>
</file>

<file path=xl/ctrlProps/ctrlProp2641.xml><?xml version="1.0" encoding="utf-8"?>
<formControlPr xmlns="http://schemas.microsoft.com/office/spreadsheetml/2009/9/main" objectType="Button" lockText="1"/>
</file>

<file path=xl/ctrlProps/ctrlProp2642.xml><?xml version="1.0" encoding="utf-8"?>
<formControlPr xmlns="http://schemas.microsoft.com/office/spreadsheetml/2009/9/main" objectType="Button" lockText="1"/>
</file>

<file path=xl/ctrlProps/ctrlProp2643.xml><?xml version="1.0" encoding="utf-8"?>
<formControlPr xmlns="http://schemas.microsoft.com/office/spreadsheetml/2009/9/main" objectType="Button" lockText="1"/>
</file>

<file path=xl/ctrlProps/ctrlProp2644.xml><?xml version="1.0" encoding="utf-8"?>
<formControlPr xmlns="http://schemas.microsoft.com/office/spreadsheetml/2009/9/main" objectType="Button" lockText="1"/>
</file>

<file path=xl/ctrlProps/ctrlProp2645.xml><?xml version="1.0" encoding="utf-8"?>
<formControlPr xmlns="http://schemas.microsoft.com/office/spreadsheetml/2009/9/main" objectType="Button" lockText="1"/>
</file>

<file path=xl/ctrlProps/ctrlProp2646.xml><?xml version="1.0" encoding="utf-8"?>
<formControlPr xmlns="http://schemas.microsoft.com/office/spreadsheetml/2009/9/main" objectType="Button" lockText="1"/>
</file>

<file path=xl/ctrlProps/ctrlProp2647.xml><?xml version="1.0" encoding="utf-8"?>
<formControlPr xmlns="http://schemas.microsoft.com/office/spreadsheetml/2009/9/main" objectType="Button" lockText="1"/>
</file>

<file path=xl/ctrlProps/ctrlProp2648.xml><?xml version="1.0" encoding="utf-8"?>
<formControlPr xmlns="http://schemas.microsoft.com/office/spreadsheetml/2009/9/main" objectType="Button" lockText="1"/>
</file>

<file path=xl/ctrlProps/ctrlProp2649.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50.xml><?xml version="1.0" encoding="utf-8"?>
<formControlPr xmlns="http://schemas.microsoft.com/office/spreadsheetml/2009/9/main" objectType="Button" lockText="1"/>
</file>

<file path=xl/ctrlProps/ctrlProp2651.xml><?xml version="1.0" encoding="utf-8"?>
<formControlPr xmlns="http://schemas.microsoft.com/office/spreadsheetml/2009/9/main" objectType="Button" lockText="1"/>
</file>

<file path=xl/ctrlProps/ctrlProp2652.xml><?xml version="1.0" encoding="utf-8"?>
<formControlPr xmlns="http://schemas.microsoft.com/office/spreadsheetml/2009/9/main" objectType="Button" lockText="1"/>
</file>

<file path=xl/ctrlProps/ctrlProp2653.xml><?xml version="1.0" encoding="utf-8"?>
<formControlPr xmlns="http://schemas.microsoft.com/office/spreadsheetml/2009/9/main" objectType="Button" lockText="1"/>
</file>

<file path=xl/ctrlProps/ctrlProp2654.xml><?xml version="1.0" encoding="utf-8"?>
<formControlPr xmlns="http://schemas.microsoft.com/office/spreadsheetml/2009/9/main" objectType="Button" lockText="1"/>
</file>

<file path=xl/ctrlProps/ctrlProp2655.xml><?xml version="1.0" encoding="utf-8"?>
<formControlPr xmlns="http://schemas.microsoft.com/office/spreadsheetml/2009/9/main" objectType="Button" lockText="1"/>
</file>

<file path=xl/ctrlProps/ctrlProp2656.xml><?xml version="1.0" encoding="utf-8"?>
<formControlPr xmlns="http://schemas.microsoft.com/office/spreadsheetml/2009/9/main" objectType="Button" lockText="1"/>
</file>

<file path=xl/ctrlProps/ctrlProp2657.xml><?xml version="1.0" encoding="utf-8"?>
<formControlPr xmlns="http://schemas.microsoft.com/office/spreadsheetml/2009/9/main" objectType="Button" lockText="1"/>
</file>

<file path=xl/ctrlProps/ctrlProp2658.xml><?xml version="1.0" encoding="utf-8"?>
<formControlPr xmlns="http://schemas.microsoft.com/office/spreadsheetml/2009/9/main" objectType="Button" lockText="1"/>
</file>

<file path=xl/ctrlProps/ctrlProp2659.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60.xml><?xml version="1.0" encoding="utf-8"?>
<formControlPr xmlns="http://schemas.microsoft.com/office/spreadsheetml/2009/9/main" objectType="Button" lockText="1"/>
</file>

<file path=xl/ctrlProps/ctrlProp2661.xml><?xml version="1.0" encoding="utf-8"?>
<formControlPr xmlns="http://schemas.microsoft.com/office/spreadsheetml/2009/9/main" objectType="Button" lockText="1"/>
</file>

<file path=xl/ctrlProps/ctrlProp2662.xml><?xml version="1.0" encoding="utf-8"?>
<formControlPr xmlns="http://schemas.microsoft.com/office/spreadsheetml/2009/9/main" objectType="Button" lockText="1"/>
</file>

<file path=xl/ctrlProps/ctrlProp2663.xml><?xml version="1.0" encoding="utf-8"?>
<formControlPr xmlns="http://schemas.microsoft.com/office/spreadsheetml/2009/9/main" objectType="Button" lockText="1"/>
</file>

<file path=xl/ctrlProps/ctrlProp2664.xml><?xml version="1.0" encoding="utf-8"?>
<formControlPr xmlns="http://schemas.microsoft.com/office/spreadsheetml/2009/9/main" objectType="Button" lockText="1"/>
</file>

<file path=xl/ctrlProps/ctrlProp2665.xml><?xml version="1.0" encoding="utf-8"?>
<formControlPr xmlns="http://schemas.microsoft.com/office/spreadsheetml/2009/9/main" objectType="Button" lockText="1"/>
</file>

<file path=xl/ctrlProps/ctrlProp2666.xml><?xml version="1.0" encoding="utf-8"?>
<formControlPr xmlns="http://schemas.microsoft.com/office/spreadsheetml/2009/9/main" objectType="Button" lockText="1"/>
</file>

<file path=xl/ctrlProps/ctrlProp2667.xml><?xml version="1.0" encoding="utf-8"?>
<formControlPr xmlns="http://schemas.microsoft.com/office/spreadsheetml/2009/9/main" objectType="Button" lockText="1"/>
</file>

<file path=xl/ctrlProps/ctrlProp2668.xml><?xml version="1.0" encoding="utf-8"?>
<formControlPr xmlns="http://schemas.microsoft.com/office/spreadsheetml/2009/9/main" objectType="Button" lockText="1"/>
</file>

<file path=xl/ctrlProps/ctrlProp2669.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70.xml><?xml version="1.0" encoding="utf-8"?>
<formControlPr xmlns="http://schemas.microsoft.com/office/spreadsheetml/2009/9/main" objectType="Button" lockText="1"/>
</file>

<file path=xl/ctrlProps/ctrlProp2671.xml><?xml version="1.0" encoding="utf-8"?>
<formControlPr xmlns="http://schemas.microsoft.com/office/spreadsheetml/2009/9/main" objectType="Button" lockText="1"/>
</file>

<file path=xl/ctrlProps/ctrlProp2672.xml><?xml version="1.0" encoding="utf-8"?>
<formControlPr xmlns="http://schemas.microsoft.com/office/spreadsheetml/2009/9/main" objectType="Button" lockText="1"/>
</file>

<file path=xl/ctrlProps/ctrlProp2673.xml><?xml version="1.0" encoding="utf-8"?>
<formControlPr xmlns="http://schemas.microsoft.com/office/spreadsheetml/2009/9/main" objectType="Button" lockText="1"/>
</file>

<file path=xl/ctrlProps/ctrlProp2674.xml><?xml version="1.0" encoding="utf-8"?>
<formControlPr xmlns="http://schemas.microsoft.com/office/spreadsheetml/2009/9/main" objectType="Button" lockText="1"/>
</file>

<file path=xl/ctrlProps/ctrlProp2675.xml><?xml version="1.0" encoding="utf-8"?>
<formControlPr xmlns="http://schemas.microsoft.com/office/spreadsheetml/2009/9/main" objectType="Button" lockText="1"/>
</file>

<file path=xl/ctrlProps/ctrlProp2676.xml><?xml version="1.0" encoding="utf-8"?>
<formControlPr xmlns="http://schemas.microsoft.com/office/spreadsheetml/2009/9/main" objectType="Button" lockText="1"/>
</file>

<file path=xl/ctrlProps/ctrlProp2677.xml><?xml version="1.0" encoding="utf-8"?>
<formControlPr xmlns="http://schemas.microsoft.com/office/spreadsheetml/2009/9/main" objectType="Button" lockText="1"/>
</file>

<file path=xl/ctrlProps/ctrlProp2678.xml><?xml version="1.0" encoding="utf-8"?>
<formControlPr xmlns="http://schemas.microsoft.com/office/spreadsheetml/2009/9/main" objectType="Button" lockText="1"/>
</file>

<file path=xl/ctrlProps/ctrlProp2679.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80.xml><?xml version="1.0" encoding="utf-8"?>
<formControlPr xmlns="http://schemas.microsoft.com/office/spreadsheetml/2009/9/main" objectType="Button" lockText="1"/>
</file>

<file path=xl/ctrlProps/ctrlProp2681.xml><?xml version="1.0" encoding="utf-8"?>
<formControlPr xmlns="http://schemas.microsoft.com/office/spreadsheetml/2009/9/main" objectType="Button" lockText="1"/>
</file>

<file path=xl/ctrlProps/ctrlProp2682.xml><?xml version="1.0" encoding="utf-8"?>
<formControlPr xmlns="http://schemas.microsoft.com/office/spreadsheetml/2009/9/main" objectType="Button" lockText="1"/>
</file>

<file path=xl/ctrlProps/ctrlProp2683.xml><?xml version="1.0" encoding="utf-8"?>
<formControlPr xmlns="http://schemas.microsoft.com/office/spreadsheetml/2009/9/main" objectType="Button" lockText="1"/>
</file>

<file path=xl/ctrlProps/ctrlProp2684.xml><?xml version="1.0" encoding="utf-8"?>
<formControlPr xmlns="http://schemas.microsoft.com/office/spreadsheetml/2009/9/main" objectType="Button" lockText="1"/>
</file>

<file path=xl/ctrlProps/ctrlProp2685.xml><?xml version="1.0" encoding="utf-8"?>
<formControlPr xmlns="http://schemas.microsoft.com/office/spreadsheetml/2009/9/main" objectType="Button" lockText="1"/>
</file>

<file path=xl/ctrlProps/ctrlProp2686.xml><?xml version="1.0" encoding="utf-8"?>
<formControlPr xmlns="http://schemas.microsoft.com/office/spreadsheetml/2009/9/main" objectType="Button" lockText="1"/>
</file>

<file path=xl/ctrlProps/ctrlProp2687.xml><?xml version="1.0" encoding="utf-8"?>
<formControlPr xmlns="http://schemas.microsoft.com/office/spreadsheetml/2009/9/main" objectType="Button" lockText="1"/>
</file>

<file path=xl/ctrlProps/ctrlProp2688.xml><?xml version="1.0" encoding="utf-8"?>
<formControlPr xmlns="http://schemas.microsoft.com/office/spreadsheetml/2009/9/main" objectType="Button" lockText="1"/>
</file>

<file path=xl/ctrlProps/ctrlProp2689.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690.xml><?xml version="1.0" encoding="utf-8"?>
<formControlPr xmlns="http://schemas.microsoft.com/office/spreadsheetml/2009/9/main" objectType="Button" lockText="1"/>
</file>

<file path=xl/ctrlProps/ctrlProp2691.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95375"/>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8585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4159" name="Button 2895" hidden="1">
              <a:extLst>
                <a:ext uri="{63B3BB69-23CF-44E3-9099-C40C66FF867C}">
                  <a14:compatExt spid="_x0000_s14159"/>
                </a:ext>
                <a:ext uri="{FF2B5EF4-FFF2-40B4-BE49-F238E27FC236}">
                  <a16:creationId xmlns:a16="http://schemas.microsoft.com/office/drawing/2014/main" id="{00000000-0008-0000-0000-00004F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38100</xdr:rowOff>
        </xdr:to>
        <xdr:sp macro="" textlink="">
          <xdr:nvSpPr>
            <xdr:cNvPr id="14158" name="Button 2894" hidden="1">
              <a:extLst>
                <a:ext uri="{63B3BB69-23CF-44E3-9099-C40C66FF867C}">
                  <a14:compatExt spid="_x0000_s14158"/>
                </a:ext>
                <a:ext uri="{FF2B5EF4-FFF2-40B4-BE49-F238E27FC236}">
                  <a16:creationId xmlns:a16="http://schemas.microsoft.com/office/drawing/2014/main" id="{00000000-0008-0000-0000-00004E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4157" name="Button 2893" hidden="1">
              <a:extLst>
                <a:ext uri="{63B3BB69-23CF-44E3-9099-C40C66FF867C}">
                  <a14:compatExt spid="_x0000_s14157"/>
                </a:ext>
                <a:ext uri="{FF2B5EF4-FFF2-40B4-BE49-F238E27FC236}">
                  <a16:creationId xmlns:a16="http://schemas.microsoft.com/office/drawing/2014/main" id="{00000000-0008-0000-0000-00004D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4156" name="Button 2892" hidden="1">
              <a:extLst>
                <a:ext uri="{63B3BB69-23CF-44E3-9099-C40C66FF867C}">
                  <a14:compatExt spid="_x0000_s14156"/>
                </a:ext>
                <a:ext uri="{FF2B5EF4-FFF2-40B4-BE49-F238E27FC236}">
                  <a16:creationId xmlns:a16="http://schemas.microsoft.com/office/drawing/2014/main" id="{00000000-0008-0000-0000-00004C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38100</xdr:rowOff>
        </xdr:to>
        <xdr:sp macro="" textlink="">
          <xdr:nvSpPr>
            <xdr:cNvPr id="14155" name="Button 2891" hidden="1">
              <a:extLst>
                <a:ext uri="{63B3BB69-23CF-44E3-9099-C40C66FF867C}">
                  <a14:compatExt spid="_x0000_s14155"/>
                </a:ext>
                <a:ext uri="{FF2B5EF4-FFF2-40B4-BE49-F238E27FC236}">
                  <a16:creationId xmlns:a16="http://schemas.microsoft.com/office/drawing/2014/main" id="{00000000-0008-0000-0000-00004B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4154" name="Button 2890" hidden="1">
              <a:extLst>
                <a:ext uri="{63B3BB69-23CF-44E3-9099-C40C66FF867C}">
                  <a14:compatExt spid="_x0000_s14154"/>
                </a:ext>
                <a:ext uri="{FF2B5EF4-FFF2-40B4-BE49-F238E27FC236}">
                  <a16:creationId xmlns:a16="http://schemas.microsoft.com/office/drawing/2014/main" id="{00000000-0008-0000-0000-00004A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4153" name="Button 2889" hidden="1">
              <a:extLst>
                <a:ext uri="{63B3BB69-23CF-44E3-9099-C40C66FF867C}">
                  <a14:compatExt spid="_x0000_s14153"/>
                </a:ext>
                <a:ext uri="{FF2B5EF4-FFF2-40B4-BE49-F238E27FC236}">
                  <a16:creationId xmlns:a16="http://schemas.microsoft.com/office/drawing/2014/main" id="{00000000-0008-0000-0000-000049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38100</xdr:rowOff>
        </xdr:to>
        <xdr:sp macro="" textlink="">
          <xdr:nvSpPr>
            <xdr:cNvPr id="14152" name="Button 2888" hidden="1">
              <a:extLst>
                <a:ext uri="{63B3BB69-23CF-44E3-9099-C40C66FF867C}">
                  <a14:compatExt spid="_x0000_s14152"/>
                </a:ext>
                <a:ext uri="{FF2B5EF4-FFF2-40B4-BE49-F238E27FC236}">
                  <a16:creationId xmlns:a16="http://schemas.microsoft.com/office/drawing/2014/main" id="{00000000-0008-0000-0000-000048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4151" name="Button 2887" hidden="1">
              <a:extLst>
                <a:ext uri="{63B3BB69-23CF-44E3-9099-C40C66FF867C}">
                  <a14:compatExt spid="_x0000_s14151"/>
                </a:ext>
                <a:ext uri="{FF2B5EF4-FFF2-40B4-BE49-F238E27FC236}">
                  <a16:creationId xmlns:a16="http://schemas.microsoft.com/office/drawing/2014/main" id="{00000000-0008-0000-0000-000047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4150" name="Button 2886" hidden="1">
              <a:extLst>
                <a:ext uri="{63B3BB69-23CF-44E3-9099-C40C66FF867C}">
                  <a14:compatExt spid="_x0000_s14150"/>
                </a:ext>
                <a:ext uri="{FF2B5EF4-FFF2-40B4-BE49-F238E27FC236}">
                  <a16:creationId xmlns:a16="http://schemas.microsoft.com/office/drawing/2014/main" id="{00000000-0008-0000-0000-000046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38100</xdr:rowOff>
        </xdr:to>
        <xdr:sp macro="" textlink="">
          <xdr:nvSpPr>
            <xdr:cNvPr id="14149" name="Button 2885" hidden="1">
              <a:extLst>
                <a:ext uri="{63B3BB69-23CF-44E3-9099-C40C66FF867C}">
                  <a14:compatExt spid="_x0000_s14149"/>
                </a:ext>
                <a:ext uri="{FF2B5EF4-FFF2-40B4-BE49-F238E27FC236}">
                  <a16:creationId xmlns:a16="http://schemas.microsoft.com/office/drawing/2014/main" id="{00000000-0008-0000-0000-000045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4148" name="Button 2884" hidden="1">
              <a:extLst>
                <a:ext uri="{63B3BB69-23CF-44E3-9099-C40C66FF867C}">
                  <a14:compatExt spid="_x0000_s14148"/>
                </a:ext>
                <a:ext uri="{FF2B5EF4-FFF2-40B4-BE49-F238E27FC236}">
                  <a16:creationId xmlns:a16="http://schemas.microsoft.com/office/drawing/2014/main" id="{00000000-0008-0000-0000-000044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70</xdr:row>
          <xdr:rowOff>0</xdr:rowOff>
        </xdr:to>
        <xdr:sp macro="" textlink="">
          <xdr:nvSpPr>
            <xdr:cNvPr id="14147" name="Button 2883" hidden="1">
              <a:extLst>
                <a:ext uri="{63B3BB69-23CF-44E3-9099-C40C66FF867C}">
                  <a14:compatExt spid="_x0000_s14147"/>
                </a:ext>
                <a:ext uri="{FF2B5EF4-FFF2-40B4-BE49-F238E27FC236}">
                  <a16:creationId xmlns:a16="http://schemas.microsoft.com/office/drawing/2014/main" id="{00000000-0008-0000-0000-000043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38100</xdr:rowOff>
        </xdr:to>
        <xdr:sp macro="" textlink="">
          <xdr:nvSpPr>
            <xdr:cNvPr id="14146" name="Button 2882" hidden="1">
              <a:extLst>
                <a:ext uri="{63B3BB69-23CF-44E3-9099-C40C66FF867C}">
                  <a14:compatExt spid="_x0000_s14146"/>
                </a:ext>
                <a:ext uri="{FF2B5EF4-FFF2-40B4-BE49-F238E27FC236}">
                  <a16:creationId xmlns:a16="http://schemas.microsoft.com/office/drawing/2014/main" id="{00000000-0008-0000-0000-000042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14145" name="Button 2881" hidden="1">
              <a:extLst>
                <a:ext uri="{63B3BB69-23CF-44E3-9099-C40C66FF867C}">
                  <a14:compatExt spid="_x0000_s14145"/>
                </a:ext>
                <a:ext uri="{FF2B5EF4-FFF2-40B4-BE49-F238E27FC236}">
                  <a16:creationId xmlns:a16="http://schemas.microsoft.com/office/drawing/2014/main" id="{00000000-0008-0000-0000-000041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161925</xdr:rowOff>
        </xdr:to>
        <xdr:sp macro="" textlink="">
          <xdr:nvSpPr>
            <xdr:cNvPr id="14144" name="Button 2880" hidden="1">
              <a:extLst>
                <a:ext uri="{63B3BB69-23CF-44E3-9099-C40C66FF867C}">
                  <a14:compatExt spid="_x0000_s14144"/>
                </a:ext>
                <a:ext uri="{FF2B5EF4-FFF2-40B4-BE49-F238E27FC236}">
                  <a16:creationId xmlns:a16="http://schemas.microsoft.com/office/drawing/2014/main" id="{00000000-0008-0000-0000-000040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4143" name="Button 2879" hidden="1">
              <a:extLst>
                <a:ext uri="{63B3BB69-23CF-44E3-9099-C40C66FF867C}">
                  <a14:compatExt spid="_x0000_s14143"/>
                </a:ext>
                <a:ext uri="{FF2B5EF4-FFF2-40B4-BE49-F238E27FC236}">
                  <a16:creationId xmlns:a16="http://schemas.microsoft.com/office/drawing/2014/main" id="{00000000-0008-0000-0000-00003F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4142" name="Button 2878" hidden="1">
              <a:extLst>
                <a:ext uri="{63B3BB69-23CF-44E3-9099-C40C66FF867C}">
                  <a14:compatExt spid="_x0000_s14142"/>
                </a:ext>
                <a:ext uri="{FF2B5EF4-FFF2-40B4-BE49-F238E27FC236}">
                  <a16:creationId xmlns:a16="http://schemas.microsoft.com/office/drawing/2014/main" id="{00000000-0008-0000-0000-00003E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4141" name="Button 2877" hidden="1">
              <a:extLst>
                <a:ext uri="{63B3BB69-23CF-44E3-9099-C40C66FF867C}">
                  <a14:compatExt spid="_x0000_s14141"/>
                </a:ext>
                <a:ext uri="{FF2B5EF4-FFF2-40B4-BE49-F238E27FC236}">
                  <a16:creationId xmlns:a16="http://schemas.microsoft.com/office/drawing/2014/main" id="{00000000-0008-0000-0000-00003D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4140" name="Button 2876" hidden="1">
              <a:extLst>
                <a:ext uri="{63B3BB69-23CF-44E3-9099-C40C66FF867C}">
                  <a14:compatExt spid="_x0000_s14140"/>
                </a:ext>
                <a:ext uri="{FF2B5EF4-FFF2-40B4-BE49-F238E27FC236}">
                  <a16:creationId xmlns:a16="http://schemas.microsoft.com/office/drawing/2014/main" id="{00000000-0008-0000-0000-00003C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4139" name="Button 2875" hidden="1">
              <a:extLst>
                <a:ext uri="{63B3BB69-23CF-44E3-9099-C40C66FF867C}">
                  <a14:compatExt spid="_x0000_s14139"/>
                </a:ext>
                <a:ext uri="{FF2B5EF4-FFF2-40B4-BE49-F238E27FC236}">
                  <a16:creationId xmlns:a16="http://schemas.microsoft.com/office/drawing/2014/main" id="{00000000-0008-0000-0000-00003B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4138" name="Button 2874" hidden="1">
              <a:extLst>
                <a:ext uri="{63B3BB69-23CF-44E3-9099-C40C66FF867C}">
                  <a14:compatExt spid="_x0000_s14138"/>
                </a:ext>
                <a:ext uri="{FF2B5EF4-FFF2-40B4-BE49-F238E27FC236}">
                  <a16:creationId xmlns:a16="http://schemas.microsoft.com/office/drawing/2014/main" id="{00000000-0008-0000-0000-00003A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4137" name="Button 2873" hidden="1">
              <a:extLst>
                <a:ext uri="{63B3BB69-23CF-44E3-9099-C40C66FF867C}">
                  <a14:compatExt spid="_x0000_s14137"/>
                </a:ext>
                <a:ext uri="{FF2B5EF4-FFF2-40B4-BE49-F238E27FC236}">
                  <a16:creationId xmlns:a16="http://schemas.microsoft.com/office/drawing/2014/main" id="{00000000-0008-0000-0000-000039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4136" name="Button 2872" hidden="1">
              <a:extLst>
                <a:ext uri="{63B3BB69-23CF-44E3-9099-C40C66FF867C}">
                  <a14:compatExt spid="_x0000_s14136"/>
                </a:ext>
                <a:ext uri="{FF2B5EF4-FFF2-40B4-BE49-F238E27FC236}">
                  <a16:creationId xmlns:a16="http://schemas.microsoft.com/office/drawing/2014/main" id="{00000000-0008-0000-0000-000038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4135" name="Button 2871" hidden="1">
              <a:extLst>
                <a:ext uri="{63B3BB69-23CF-44E3-9099-C40C66FF867C}">
                  <a14:compatExt spid="_x0000_s14135"/>
                </a:ext>
                <a:ext uri="{FF2B5EF4-FFF2-40B4-BE49-F238E27FC236}">
                  <a16:creationId xmlns:a16="http://schemas.microsoft.com/office/drawing/2014/main" id="{00000000-0008-0000-0000-000037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4134" name="Button 2870" hidden="1">
              <a:extLst>
                <a:ext uri="{63B3BB69-23CF-44E3-9099-C40C66FF867C}">
                  <a14:compatExt spid="_x0000_s14134"/>
                </a:ext>
                <a:ext uri="{FF2B5EF4-FFF2-40B4-BE49-F238E27FC236}">
                  <a16:creationId xmlns:a16="http://schemas.microsoft.com/office/drawing/2014/main" id="{00000000-0008-0000-0000-000036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4133" name="Button 2869" hidden="1">
              <a:extLst>
                <a:ext uri="{63B3BB69-23CF-44E3-9099-C40C66FF867C}">
                  <a14:compatExt spid="_x0000_s14133"/>
                </a:ext>
                <a:ext uri="{FF2B5EF4-FFF2-40B4-BE49-F238E27FC236}">
                  <a16:creationId xmlns:a16="http://schemas.microsoft.com/office/drawing/2014/main" id="{00000000-0008-0000-0000-000035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4132" name="Button 2868" hidden="1">
              <a:extLst>
                <a:ext uri="{63B3BB69-23CF-44E3-9099-C40C66FF867C}">
                  <a14:compatExt spid="_x0000_s14132"/>
                </a:ext>
                <a:ext uri="{FF2B5EF4-FFF2-40B4-BE49-F238E27FC236}">
                  <a16:creationId xmlns:a16="http://schemas.microsoft.com/office/drawing/2014/main" id="{00000000-0008-0000-0000-000034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4131" name="Button 2867" hidden="1">
              <a:extLst>
                <a:ext uri="{63B3BB69-23CF-44E3-9099-C40C66FF867C}">
                  <a14:compatExt spid="_x0000_s14131"/>
                </a:ext>
                <a:ext uri="{FF2B5EF4-FFF2-40B4-BE49-F238E27FC236}">
                  <a16:creationId xmlns:a16="http://schemas.microsoft.com/office/drawing/2014/main" id="{00000000-0008-0000-0000-000033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4130" name="Button 2866" hidden="1">
              <a:extLst>
                <a:ext uri="{63B3BB69-23CF-44E3-9099-C40C66FF867C}">
                  <a14:compatExt spid="_x0000_s14130"/>
                </a:ext>
                <a:ext uri="{FF2B5EF4-FFF2-40B4-BE49-F238E27FC236}">
                  <a16:creationId xmlns:a16="http://schemas.microsoft.com/office/drawing/2014/main" id="{00000000-0008-0000-0000-000032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4129" name="Button 2865" hidden="1">
              <a:extLst>
                <a:ext uri="{63B3BB69-23CF-44E3-9099-C40C66FF867C}">
                  <a14:compatExt spid="_x0000_s14129"/>
                </a:ext>
                <a:ext uri="{FF2B5EF4-FFF2-40B4-BE49-F238E27FC236}">
                  <a16:creationId xmlns:a16="http://schemas.microsoft.com/office/drawing/2014/main" id="{00000000-0008-0000-0000-000031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4128" name="Button 2864" hidden="1">
              <a:extLst>
                <a:ext uri="{63B3BB69-23CF-44E3-9099-C40C66FF867C}">
                  <a14:compatExt spid="_x0000_s14128"/>
                </a:ext>
                <a:ext uri="{FF2B5EF4-FFF2-40B4-BE49-F238E27FC236}">
                  <a16:creationId xmlns:a16="http://schemas.microsoft.com/office/drawing/2014/main" id="{00000000-0008-0000-0000-000030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4127" name="Button 2863" hidden="1">
              <a:extLst>
                <a:ext uri="{63B3BB69-23CF-44E3-9099-C40C66FF867C}">
                  <a14:compatExt spid="_x0000_s14127"/>
                </a:ext>
                <a:ext uri="{FF2B5EF4-FFF2-40B4-BE49-F238E27FC236}">
                  <a16:creationId xmlns:a16="http://schemas.microsoft.com/office/drawing/2014/main" id="{00000000-0008-0000-0000-00002F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4126" name="Button 2862" hidden="1">
              <a:extLst>
                <a:ext uri="{63B3BB69-23CF-44E3-9099-C40C66FF867C}">
                  <a14:compatExt spid="_x0000_s14126"/>
                </a:ext>
                <a:ext uri="{FF2B5EF4-FFF2-40B4-BE49-F238E27FC236}">
                  <a16:creationId xmlns:a16="http://schemas.microsoft.com/office/drawing/2014/main" id="{00000000-0008-0000-0000-00002E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4125" name="Button 2861" hidden="1">
              <a:extLst>
                <a:ext uri="{63B3BB69-23CF-44E3-9099-C40C66FF867C}">
                  <a14:compatExt spid="_x0000_s14125"/>
                </a:ext>
                <a:ext uri="{FF2B5EF4-FFF2-40B4-BE49-F238E27FC236}">
                  <a16:creationId xmlns:a16="http://schemas.microsoft.com/office/drawing/2014/main" id="{00000000-0008-0000-0000-00002D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4124" name="Button 2860" hidden="1">
              <a:extLst>
                <a:ext uri="{63B3BB69-23CF-44E3-9099-C40C66FF867C}">
                  <a14:compatExt spid="_x0000_s14124"/>
                </a:ext>
                <a:ext uri="{FF2B5EF4-FFF2-40B4-BE49-F238E27FC236}">
                  <a16:creationId xmlns:a16="http://schemas.microsoft.com/office/drawing/2014/main" id="{00000000-0008-0000-0000-00002C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4123" name="Button 2859" hidden="1">
              <a:extLst>
                <a:ext uri="{63B3BB69-23CF-44E3-9099-C40C66FF867C}">
                  <a14:compatExt spid="_x0000_s14123"/>
                </a:ext>
                <a:ext uri="{FF2B5EF4-FFF2-40B4-BE49-F238E27FC236}">
                  <a16:creationId xmlns:a16="http://schemas.microsoft.com/office/drawing/2014/main" id="{00000000-0008-0000-0000-00002B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4122" name="Button 2858" hidden="1">
              <a:extLst>
                <a:ext uri="{63B3BB69-23CF-44E3-9099-C40C66FF867C}">
                  <a14:compatExt spid="_x0000_s14122"/>
                </a:ext>
                <a:ext uri="{FF2B5EF4-FFF2-40B4-BE49-F238E27FC236}">
                  <a16:creationId xmlns:a16="http://schemas.microsoft.com/office/drawing/2014/main" id="{00000000-0008-0000-0000-00002A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104</xdr:row>
          <xdr:rowOff>0</xdr:rowOff>
        </xdr:to>
        <xdr:sp macro="" textlink="">
          <xdr:nvSpPr>
            <xdr:cNvPr id="14121" name="Button 2857" hidden="1">
              <a:extLst>
                <a:ext uri="{63B3BB69-23CF-44E3-9099-C40C66FF867C}">
                  <a14:compatExt spid="_x0000_s14121"/>
                </a:ext>
                <a:ext uri="{FF2B5EF4-FFF2-40B4-BE49-F238E27FC236}">
                  <a16:creationId xmlns:a16="http://schemas.microsoft.com/office/drawing/2014/main" id="{00000000-0008-0000-0000-000029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38100</xdr:rowOff>
        </xdr:to>
        <xdr:sp macro="" textlink="">
          <xdr:nvSpPr>
            <xdr:cNvPr id="14120" name="Button 2856" hidden="1">
              <a:extLst>
                <a:ext uri="{63B3BB69-23CF-44E3-9099-C40C66FF867C}">
                  <a14:compatExt spid="_x0000_s14120"/>
                </a:ext>
                <a:ext uri="{FF2B5EF4-FFF2-40B4-BE49-F238E27FC236}">
                  <a16:creationId xmlns:a16="http://schemas.microsoft.com/office/drawing/2014/main" id="{00000000-0008-0000-0000-000028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4119" name="Button 2855" hidden="1">
              <a:extLst>
                <a:ext uri="{63B3BB69-23CF-44E3-9099-C40C66FF867C}">
                  <a14:compatExt spid="_x0000_s14119"/>
                </a:ext>
                <a:ext uri="{FF2B5EF4-FFF2-40B4-BE49-F238E27FC236}">
                  <a16:creationId xmlns:a16="http://schemas.microsoft.com/office/drawing/2014/main" id="{00000000-0008-0000-0000-000027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4118" name="Button 2854" hidden="1">
              <a:extLst>
                <a:ext uri="{63B3BB69-23CF-44E3-9099-C40C66FF867C}">
                  <a14:compatExt spid="_x0000_s14118"/>
                </a:ext>
                <a:ext uri="{FF2B5EF4-FFF2-40B4-BE49-F238E27FC236}">
                  <a16:creationId xmlns:a16="http://schemas.microsoft.com/office/drawing/2014/main" id="{00000000-0008-0000-0000-000026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4117" name="Button 2853" hidden="1">
              <a:extLst>
                <a:ext uri="{63B3BB69-23CF-44E3-9099-C40C66FF867C}">
                  <a14:compatExt spid="_x0000_s14117"/>
                </a:ext>
                <a:ext uri="{FF2B5EF4-FFF2-40B4-BE49-F238E27FC236}">
                  <a16:creationId xmlns:a16="http://schemas.microsoft.com/office/drawing/2014/main" id="{00000000-0008-0000-0000-000025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4116" name="Button 2852" hidden="1">
              <a:extLst>
                <a:ext uri="{63B3BB69-23CF-44E3-9099-C40C66FF867C}">
                  <a14:compatExt spid="_x0000_s14116"/>
                </a:ext>
                <a:ext uri="{FF2B5EF4-FFF2-40B4-BE49-F238E27FC236}">
                  <a16:creationId xmlns:a16="http://schemas.microsoft.com/office/drawing/2014/main" id="{00000000-0008-0000-0000-000024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4115" name="Button 2851" hidden="1">
              <a:extLst>
                <a:ext uri="{63B3BB69-23CF-44E3-9099-C40C66FF867C}">
                  <a14:compatExt spid="_x0000_s14115"/>
                </a:ext>
                <a:ext uri="{FF2B5EF4-FFF2-40B4-BE49-F238E27FC236}">
                  <a16:creationId xmlns:a16="http://schemas.microsoft.com/office/drawing/2014/main" id="{00000000-0008-0000-0000-000023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4114" name="Button 2850" hidden="1">
              <a:extLst>
                <a:ext uri="{63B3BB69-23CF-44E3-9099-C40C66FF867C}">
                  <a14:compatExt spid="_x0000_s14114"/>
                </a:ext>
                <a:ext uri="{FF2B5EF4-FFF2-40B4-BE49-F238E27FC236}">
                  <a16:creationId xmlns:a16="http://schemas.microsoft.com/office/drawing/2014/main" id="{00000000-0008-0000-0000-000022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4113" name="Button 2849" hidden="1">
              <a:extLst>
                <a:ext uri="{63B3BB69-23CF-44E3-9099-C40C66FF867C}">
                  <a14:compatExt spid="_x0000_s14113"/>
                </a:ext>
                <a:ext uri="{FF2B5EF4-FFF2-40B4-BE49-F238E27FC236}">
                  <a16:creationId xmlns:a16="http://schemas.microsoft.com/office/drawing/2014/main" id="{00000000-0008-0000-0000-000021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121</xdr:row>
          <xdr:rowOff>0</xdr:rowOff>
        </xdr:to>
        <xdr:sp macro="" textlink="">
          <xdr:nvSpPr>
            <xdr:cNvPr id="14112" name="Button 2848" hidden="1">
              <a:extLst>
                <a:ext uri="{63B3BB69-23CF-44E3-9099-C40C66FF867C}">
                  <a14:compatExt spid="_x0000_s14112"/>
                </a:ext>
                <a:ext uri="{FF2B5EF4-FFF2-40B4-BE49-F238E27FC236}">
                  <a16:creationId xmlns:a16="http://schemas.microsoft.com/office/drawing/2014/main" id="{00000000-0008-0000-0000-000020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38100</xdr:rowOff>
        </xdr:to>
        <xdr:sp macro="" textlink="">
          <xdr:nvSpPr>
            <xdr:cNvPr id="14111" name="Button 2847" hidden="1">
              <a:extLst>
                <a:ext uri="{63B3BB69-23CF-44E3-9099-C40C66FF867C}">
                  <a14:compatExt spid="_x0000_s14111"/>
                </a:ext>
                <a:ext uri="{FF2B5EF4-FFF2-40B4-BE49-F238E27FC236}">
                  <a16:creationId xmlns:a16="http://schemas.microsoft.com/office/drawing/2014/main" id="{00000000-0008-0000-0000-00001F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4110" name="Button 2846" hidden="1">
              <a:extLst>
                <a:ext uri="{63B3BB69-23CF-44E3-9099-C40C66FF867C}">
                  <a14:compatExt spid="_x0000_s14110"/>
                </a:ext>
                <a:ext uri="{FF2B5EF4-FFF2-40B4-BE49-F238E27FC236}">
                  <a16:creationId xmlns:a16="http://schemas.microsoft.com/office/drawing/2014/main" id="{00000000-0008-0000-0000-00001E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4109" name="Button 2845" hidden="1">
              <a:extLst>
                <a:ext uri="{63B3BB69-23CF-44E3-9099-C40C66FF867C}">
                  <a14:compatExt spid="_x0000_s14109"/>
                </a:ext>
                <a:ext uri="{FF2B5EF4-FFF2-40B4-BE49-F238E27FC236}">
                  <a16:creationId xmlns:a16="http://schemas.microsoft.com/office/drawing/2014/main" id="{00000000-0008-0000-0000-00001D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4108" name="Button 2844" hidden="1">
              <a:extLst>
                <a:ext uri="{63B3BB69-23CF-44E3-9099-C40C66FF867C}">
                  <a14:compatExt spid="_x0000_s14108"/>
                </a:ext>
                <a:ext uri="{FF2B5EF4-FFF2-40B4-BE49-F238E27FC236}">
                  <a16:creationId xmlns:a16="http://schemas.microsoft.com/office/drawing/2014/main" id="{00000000-0008-0000-0000-00001C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4107" name="Button 2843" hidden="1">
              <a:extLst>
                <a:ext uri="{63B3BB69-23CF-44E3-9099-C40C66FF867C}">
                  <a14:compatExt spid="_x0000_s14107"/>
                </a:ext>
                <a:ext uri="{FF2B5EF4-FFF2-40B4-BE49-F238E27FC236}">
                  <a16:creationId xmlns:a16="http://schemas.microsoft.com/office/drawing/2014/main" id="{00000000-0008-0000-0000-00001B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4106" name="Button 2842" hidden="1">
              <a:extLst>
                <a:ext uri="{63B3BB69-23CF-44E3-9099-C40C66FF867C}">
                  <a14:compatExt spid="_x0000_s14106"/>
                </a:ext>
                <a:ext uri="{FF2B5EF4-FFF2-40B4-BE49-F238E27FC236}">
                  <a16:creationId xmlns:a16="http://schemas.microsoft.com/office/drawing/2014/main" id="{00000000-0008-0000-0000-00001A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4105" name="Button 2841" hidden="1">
              <a:extLst>
                <a:ext uri="{63B3BB69-23CF-44E3-9099-C40C66FF867C}">
                  <a14:compatExt spid="_x0000_s14105"/>
                </a:ext>
                <a:ext uri="{FF2B5EF4-FFF2-40B4-BE49-F238E27FC236}">
                  <a16:creationId xmlns:a16="http://schemas.microsoft.com/office/drawing/2014/main" id="{00000000-0008-0000-0000-000019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4104" name="Button 2840" hidden="1">
              <a:extLst>
                <a:ext uri="{63B3BB69-23CF-44E3-9099-C40C66FF867C}">
                  <a14:compatExt spid="_x0000_s14104"/>
                </a:ext>
                <a:ext uri="{FF2B5EF4-FFF2-40B4-BE49-F238E27FC236}">
                  <a16:creationId xmlns:a16="http://schemas.microsoft.com/office/drawing/2014/main" id="{00000000-0008-0000-0000-000018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4103" name="Button 2839" hidden="1">
              <a:extLst>
                <a:ext uri="{63B3BB69-23CF-44E3-9099-C40C66FF867C}">
                  <a14:compatExt spid="_x0000_s14103"/>
                </a:ext>
                <a:ext uri="{FF2B5EF4-FFF2-40B4-BE49-F238E27FC236}">
                  <a16:creationId xmlns:a16="http://schemas.microsoft.com/office/drawing/2014/main" id="{00000000-0008-0000-0000-000017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4102" name="Button 2838" hidden="1">
              <a:extLst>
                <a:ext uri="{63B3BB69-23CF-44E3-9099-C40C66FF867C}">
                  <a14:compatExt spid="_x0000_s14102"/>
                </a:ext>
                <a:ext uri="{FF2B5EF4-FFF2-40B4-BE49-F238E27FC236}">
                  <a16:creationId xmlns:a16="http://schemas.microsoft.com/office/drawing/2014/main" id="{00000000-0008-0000-0000-000016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4101" name="Button 2837" hidden="1">
              <a:extLst>
                <a:ext uri="{63B3BB69-23CF-44E3-9099-C40C66FF867C}">
                  <a14:compatExt spid="_x0000_s14101"/>
                </a:ext>
                <a:ext uri="{FF2B5EF4-FFF2-40B4-BE49-F238E27FC236}">
                  <a16:creationId xmlns:a16="http://schemas.microsoft.com/office/drawing/2014/main" id="{00000000-0008-0000-0000-000015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4100" name="Button 2836" hidden="1">
              <a:extLst>
                <a:ext uri="{63B3BB69-23CF-44E3-9099-C40C66FF867C}">
                  <a14:compatExt spid="_x0000_s14100"/>
                </a:ext>
                <a:ext uri="{FF2B5EF4-FFF2-40B4-BE49-F238E27FC236}">
                  <a16:creationId xmlns:a16="http://schemas.microsoft.com/office/drawing/2014/main" id="{00000000-0008-0000-0000-000014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4099" name="Button 2835" hidden="1">
              <a:extLst>
                <a:ext uri="{63B3BB69-23CF-44E3-9099-C40C66FF867C}">
                  <a14:compatExt spid="_x0000_s14099"/>
                </a:ext>
                <a:ext uri="{FF2B5EF4-FFF2-40B4-BE49-F238E27FC236}">
                  <a16:creationId xmlns:a16="http://schemas.microsoft.com/office/drawing/2014/main" id="{00000000-0008-0000-0000-000013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143</xdr:row>
          <xdr:rowOff>0</xdr:rowOff>
        </xdr:to>
        <xdr:sp macro="" textlink="">
          <xdr:nvSpPr>
            <xdr:cNvPr id="14098" name="Button 2834" hidden="1">
              <a:extLst>
                <a:ext uri="{63B3BB69-23CF-44E3-9099-C40C66FF867C}">
                  <a14:compatExt spid="_x0000_s14098"/>
                </a:ext>
                <a:ext uri="{FF2B5EF4-FFF2-40B4-BE49-F238E27FC236}">
                  <a16:creationId xmlns:a16="http://schemas.microsoft.com/office/drawing/2014/main" id="{00000000-0008-0000-0000-000012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38100</xdr:rowOff>
        </xdr:to>
        <xdr:sp macro="" textlink="">
          <xdr:nvSpPr>
            <xdr:cNvPr id="14097" name="Button 2833" hidden="1">
              <a:extLst>
                <a:ext uri="{63B3BB69-23CF-44E3-9099-C40C66FF867C}">
                  <a14:compatExt spid="_x0000_s14097"/>
                </a:ext>
                <a:ext uri="{FF2B5EF4-FFF2-40B4-BE49-F238E27FC236}">
                  <a16:creationId xmlns:a16="http://schemas.microsoft.com/office/drawing/2014/main" id="{00000000-0008-0000-0000-000011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4096" name="Button 2832" hidden="1">
              <a:extLst>
                <a:ext uri="{63B3BB69-23CF-44E3-9099-C40C66FF867C}">
                  <a14:compatExt spid="_x0000_s14096"/>
                </a:ext>
                <a:ext uri="{FF2B5EF4-FFF2-40B4-BE49-F238E27FC236}">
                  <a16:creationId xmlns:a16="http://schemas.microsoft.com/office/drawing/2014/main" id="{00000000-0008-0000-0000-000010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154</xdr:row>
          <xdr:rowOff>0</xdr:rowOff>
        </xdr:to>
        <xdr:sp macro="" textlink="">
          <xdr:nvSpPr>
            <xdr:cNvPr id="14095" name="Button 2831" hidden="1">
              <a:extLst>
                <a:ext uri="{63B3BB69-23CF-44E3-9099-C40C66FF867C}">
                  <a14:compatExt spid="_x0000_s14095"/>
                </a:ext>
                <a:ext uri="{FF2B5EF4-FFF2-40B4-BE49-F238E27FC236}">
                  <a16:creationId xmlns:a16="http://schemas.microsoft.com/office/drawing/2014/main" id="{00000000-0008-0000-0000-00000F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38100</xdr:rowOff>
        </xdr:to>
        <xdr:sp macro="" textlink="">
          <xdr:nvSpPr>
            <xdr:cNvPr id="14094" name="Button 2830" hidden="1">
              <a:extLst>
                <a:ext uri="{63B3BB69-23CF-44E3-9099-C40C66FF867C}">
                  <a14:compatExt spid="_x0000_s14094"/>
                </a:ext>
                <a:ext uri="{FF2B5EF4-FFF2-40B4-BE49-F238E27FC236}">
                  <a16:creationId xmlns:a16="http://schemas.microsoft.com/office/drawing/2014/main" id="{00000000-0008-0000-0000-00000E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4093" name="Button 2829" hidden="1">
              <a:extLst>
                <a:ext uri="{63B3BB69-23CF-44E3-9099-C40C66FF867C}">
                  <a14:compatExt spid="_x0000_s14093"/>
                </a:ext>
                <a:ext uri="{FF2B5EF4-FFF2-40B4-BE49-F238E27FC236}">
                  <a16:creationId xmlns:a16="http://schemas.microsoft.com/office/drawing/2014/main" id="{00000000-0008-0000-0000-00000D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4092" name="Button 2828" hidden="1">
              <a:extLst>
                <a:ext uri="{63B3BB69-23CF-44E3-9099-C40C66FF867C}">
                  <a14:compatExt spid="_x0000_s14092"/>
                </a:ext>
                <a:ext uri="{FF2B5EF4-FFF2-40B4-BE49-F238E27FC236}">
                  <a16:creationId xmlns:a16="http://schemas.microsoft.com/office/drawing/2014/main" id="{00000000-0008-0000-0000-00000C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4091" name="Button 2827" hidden="1">
              <a:extLst>
                <a:ext uri="{63B3BB69-23CF-44E3-9099-C40C66FF867C}">
                  <a14:compatExt spid="_x0000_s14091"/>
                </a:ext>
                <a:ext uri="{FF2B5EF4-FFF2-40B4-BE49-F238E27FC236}">
                  <a16:creationId xmlns:a16="http://schemas.microsoft.com/office/drawing/2014/main" id="{00000000-0008-0000-0000-00000B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4090" name="Button 2826" hidden="1">
              <a:extLst>
                <a:ext uri="{63B3BB69-23CF-44E3-9099-C40C66FF867C}">
                  <a14:compatExt spid="_x0000_s14090"/>
                </a:ext>
                <a:ext uri="{FF2B5EF4-FFF2-40B4-BE49-F238E27FC236}">
                  <a16:creationId xmlns:a16="http://schemas.microsoft.com/office/drawing/2014/main" id="{00000000-0008-0000-0000-00000A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4089" name="Button 2825" hidden="1">
              <a:extLst>
                <a:ext uri="{63B3BB69-23CF-44E3-9099-C40C66FF867C}">
                  <a14:compatExt spid="_x0000_s14089"/>
                </a:ext>
                <a:ext uri="{FF2B5EF4-FFF2-40B4-BE49-F238E27FC236}">
                  <a16:creationId xmlns:a16="http://schemas.microsoft.com/office/drawing/2014/main" id="{00000000-0008-0000-0000-000009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4088" name="Button 2824" hidden="1">
              <a:extLst>
                <a:ext uri="{63B3BB69-23CF-44E3-9099-C40C66FF867C}">
                  <a14:compatExt spid="_x0000_s14088"/>
                </a:ext>
                <a:ext uri="{FF2B5EF4-FFF2-40B4-BE49-F238E27FC236}">
                  <a16:creationId xmlns:a16="http://schemas.microsoft.com/office/drawing/2014/main" id="{00000000-0008-0000-0000-000008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4087" name="Button 2823" hidden="1">
              <a:extLst>
                <a:ext uri="{63B3BB69-23CF-44E3-9099-C40C66FF867C}">
                  <a14:compatExt spid="_x0000_s14087"/>
                </a:ext>
                <a:ext uri="{FF2B5EF4-FFF2-40B4-BE49-F238E27FC236}">
                  <a16:creationId xmlns:a16="http://schemas.microsoft.com/office/drawing/2014/main" id="{00000000-0008-0000-0000-000007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4086" name="Button 2822" hidden="1">
              <a:extLst>
                <a:ext uri="{63B3BB69-23CF-44E3-9099-C40C66FF867C}">
                  <a14:compatExt spid="_x0000_s14086"/>
                </a:ext>
                <a:ext uri="{FF2B5EF4-FFF2-40B4-BE49-F238E27FC236}">
                  <a16:creationId xmlns:a16="http://schemas.microsoft.com/office/drawing/2014/main" id="{00000000-0008-0000-0000-000006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4085" name="Button 2821" hidden="1">
              <a:extLst>
                <a:ext uri="{63B3BB69-23CF-44E3-9099-C40C66FF867C}">
                  <a14:compatExt spid="_x0000_s14085"/>
                </a:ext>
                <a:ext uri="{FF2B5EF4-FFF2-40B4-BE49-F238E27FC236}">
                  <a16:creationId xmlns:a16="http://schemas.microsoft.com/office/drawing/2014/main" id="{00000000-0008-0000-0000-000005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4084" name="Button 2820" hidden="1">
              <a:extLst>
                <a:ext uri="{63B3BB69-23CF-44E3-9099-C40C66FF867C}">
                  <a14:compatExt spid="_x0000_s14084"/>
                </a:ext>
                <a:ext uri="{FF2B5EF4-FFF2-40B4-BE49-F238E27FC236}">
                  <a16:creationId xmlns:a16="http://schemas.microsoft.com/office/drawing/2014/main" id="{00000000-0008-0000-0000-000004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174</xdr:row>
          <xdr:rowOff>0</xdr:rowOff>
        </xdr:to>
        <xdr:sp macro="" textlink="">
          <xdr:nvSpPr>
            <xdr:cNvPr id="14083" name="Button 2819" hidden="1">
              <a:extLst>
                <a:ext uri="{63B3BB69-23CF-44E3-9099-C40C66FF867C}">
                  <a14:compatExt spid="_x0000_s14083"/>
                </a:ext>
                <a:ext uri="{FF2B5EF4-FFF2-40B4-BE49-F238E27FC236}">
                  <a16:creationId xmlns:a16="http://schemas.microsoft.com/office/drawing/2014/main" id="{00000000-0008-0000-0000-000003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38100</xdr:rowOff>
        </xdr:to>
        <xdr:sp macro="" textlink="">
          <xdr:nvSpPr>
            <xdr:cNvPr id="14082" name="Button 2818" hidden="1">
              <a:extLst>
                <a:ext uri="{63B3BB69-23CF-44E3-9099-C40C66FF867C}">
                  <a14:compatExt spid="_x0000_s14082"/>
                </a:ext>
                <a:ext uri="{FF2B5EF4-FFF2-40B4-BE49-F238E27FC236}">
                  <a16:creationId xmlns:a16="http://schemas.microsoft.com/office/drawing/2014/main" id="{00000000-0008-0000-0000-000002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4081" name="Button 2817" hidden="1">
              <a:extLst>
                <a:ext uri="{63B3BB69-23CF-44E3-9099-C40C66FF867C}">
                  <a14:compatExt spid="_x0000_s14081"/>
                </a:ext>
                <a:ext uri="{FF2B5EF4-FFF2-40B4-BE49-F238E27FC236}">
                  <a16:creationId xmlns:a16="http://schemas.microsoft.com/office/drawing/2014/main" id="{00000000-0008-0000-0000-000001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4080" name="Button 2816" hidden="1">
              <a:extLst>
                <a:ext uri="{63B3BB69-23CF-44E3-9099-C40C66FF867C}">
                  <a14:compatExt spid="_x0000_s14080"/>
                </a:ext>
                <a:ext uri="{FF2B5EF4-FFF2-40B4-BE49-F238E27FC236}">
                  <a16:creationId xmlns:a16="http://schemas.microsoft.com/office/drawing/2014/main" id="{00000000-0008-0000-0000-0000003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4079" name="Button 2815" hidden="1">
              <a:extLst>
                <a:ext uri="{63B3BB69-23CF-44E3-9099-C40C66FF867C}">
                  <a14:compatExt spid="_x0000_s14079"/>
                </a:ext>
                <a:ext uri="{FF2B5EF4-FFF2-40B4-BE49-F238E27FC236}">
                  <a16:creationId xmlns:a16="http://schemas.microsoft.com/office/drawing/2014/main" id="{00000000-0008-0000-0000-0000FF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4078" name="Button 2814" hidden="1">
              <a:extLst>
                <a:ext uri="{63B3BB69-23CF-44E3-9099-C40C66FF867C}">
                  <a14:compatExt spid="_x0000_s14078"/>
                </a:ext>
                <a:ext uri="{FF2B5EF4-FFF2-40B4-BE49-F238E27FC236}">
                  <a16:creationId xmlns:a16="http://schemas.microsoft.com/office/drawing/2014/main" id="{00000000-0008-0000-0000-0000FE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4077" name="Button 2813" hidden="1">
              <a:extLst>
                <a:ext uri="{63B3BB69-23CF-44E3-9099-C40C66FF867C}">
                  <a14:compatExt spid="_x0000_s14077"/>
                </a:ext>
                <a:ext uri="{FF2B5EF4-FFF2-40B4-BE49-F238E27FC236}">
                  <a16:creationId xmlns:a16="http://schemas.microsoft.com/office/drawing/2014/main" id="{00000000-0008-0000-0000-0000FD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4076" name="Button 2812" hidden="1">
              <a:extLst>
                <a:ext uri="{63B3BB69-23CF-44E3-9099-C40C66FF867C}">
                  <a14:compatExt spid="_x0000_s14076"/>
                </a:ext>
                <a:ext uri="{FF2B5EF4-FFF2-40B4-BE49-F238E27FC236}">
                  <a16:creationId xmlns:a16="http://schemas.microsoft.com/office/drawing/2014/main" id="{00000000-0008-0000-0000-0000FC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4075" name="Button 2811" hidden="1">
              <a:extLst>
                <a:ext uri="{63B3BB69-23CF-44E3-9099-C40C66FF867C}">
                  <a14:compatExt spid="_x0000_s14075"/>
                </a:ext>
                <a:ext uri="{FF2B5EF4-FFF2-40B4-BE49-F238E27FC236}">
                  <a16:creationId xmlns:a16="http://schemas.microsoft.com/office/drawing/2014/main" id="{00000000-0008-0000-0000-0000FB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4074" name="Button 2810" hidden="1">
              <a:extLst>
                <a:ext uri="{63B3BB69-23CF-44E3-9099-C40C66FF867C}">
                  <a14:compatExt spid="_x0000_s14074"/>
                </a:ext>
                <a:ext uri="{FF2B5EF4-FFF2-40B4-BE49-F238E27FC236}">
                  <a16:creationId xmlns:a16="http://schemas.microsoft.com/office/drawing/2014/main" id="{00000000-0008-0000-0000-0000FA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4073" name="Button 2809" hidden="1">
              <a:extLst>
                <a:ext uri="{63B3BB69-23CF-44E3-9099-C40C66FF867C}">
                  <a14:compatExt spid="_x0000_s14073"/>
                </a:ext>
                <a:ext uri="{FF2B5EF4-FFF2-40B4-BE49-F238E27FC236}">
                  <a16:creationId xmlns:a16="http://schemas.microsoft.com/office/drawing/2014/main" id="{00000000-0008-0000-0000-0000F9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4072" name="Button 2808" hidden="1">
              <a:extLst>
                <a:ext uri="{63B3BB69-23CF-44E3-9099-C40C66FF867C}">
                  <a14:compatExt spid="_x0000_s14072"/>
                </a:ext>
                <a:ext uri="{FF2B5EF4-FFF2-40B4-BE49-F238E27FC236}">
                  <a16:creationId xmlns:a16="http://schemas.microsoft.com/office/drawing/2014/main" id="{00000000-0008-0000-0000-0000F8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4071" name="Button 2807" hidden="1">
              <a:extLst>
                <a:ext uri="{63B3BB69-23CF-44E3-9099-C40C66FF867C}">
                  <a14:compatExt spid="_x0000_s14071"/>
                </a:ext>
                <a:ext uri="{FF2B5EF4-FFF2-40B4-BE49-F238E27FC236}">
                  <a16:creationId xmlns:a16="http://schemas.microsoft.com/office/drawing/2014/main" id="{00000000-0008-0000-0000-0000F7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4070" name="Button 2806" hidden="1">
              <a:extLst>
                <a:ext uri="{63B3BB69-23CF-44E3-9099-C40C66FF867C}">
                  <a14:compatExt spid="_x0000_s14070"/>
                </a:ext>
                <a:ext uri="{FF2B5EF4-FFF2-40B4-BE49-F238E27FC236}">
                  <a16:creationId xmlns:a16="http://schemas.microsoft.com/office/drawing/2014/main" id="{00000000-0008-0000-0000-0000F6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4069" name="Button 2805" hidden="1">
              <a:extLst>
                <a:ext uri="{63B3BB69-23CF-44E3-9099-C40C66FF867C}">
                  <a14:compatExt spid="_x0000_s14069"/>
                </a:ext>
                <a:ext uri="{FF2B5EF4-FFF2-40B4-BE49-F238E27FC236}">
                  <a16:creationId xmlns:a16="http://schemas.microsoft.com/office/drawing/2014/main" id="{00000000-0008-0000-0000-0000F5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4068" name="Button 2804" hidden="1">
              <a:extLst>
                <a:ext uri="{63B3BB69-23CF-44E3-9099-C40C66FF867C}">
                  <a14:compatExt spid="_x0000_s14068"/>
                </a:ext>
                <a:ext uri="{FF2B5EF4-FFF2-40B4-BE49-F238E27FC236}">
                  <a16:creationId xmlns:a16="http://schemas.microsoft.com/office/drawing/2014/main" id="{00000000-0008-0000-0000-0000F4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4067" name="Button 2803" hidden="1">
              <a:extLst>
                <a:ext uri="{63B3BB69-23CF-44E3-9099-C40C66FF867C}">
                  <a14:compatExt spid="_x0000_s14067"/>
                </a:ext>
                <a:ext uri="{FF2B5EF4-FFF2-40B4-BE49-F238E27FC236}">
                  <a16:creationId xmlns:a16="http://schemas.microsoft.com/office/drawing/2014/main" id="{00000000-0008-0000-0000-0000F3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4066" name="Button 2802" hidden="1">
              <a:extLst>
                <a:ext uri="{63B3BB69-23CF-44E3-9099-C40C66FF867C}">
                  <a14:compatExt spid="_x0000_s14066"/>
                </a:ext>
                <a:ext uri="{FF2B5EF4-FFF2-40B4-BE49-F238E27FC236}">
                  <a16:creationId xmlns:a16="http://schemas.microsoft.com/office/drawing/2014/main" id="{00000000-0008-0000-0000-0000F2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4065" name="Button 2801" hidden="1">
              <a:extLst>
                <a:ext uri="{63B3BB69-23CF-44E3-9099-C40C66FF867C}">
                  <a14:compatExt spid="_x0000_s14065"/>
                </a:ext>
                <a:ext uri="{FF2B5EF4-FFF2-40B4-BE49-F238E27FC236}">
                  <a16:creationId xmlns:a16="http://schemas.microsoft.com/office/drawing/2014/main" id="{00000000-0008-0000-0000-0000F1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4064" name="Button 2800" hidden="1">
              <a:extLst>
                <a:ext uri="{63B3BB69-23CF-44E3-9099-C40C66FF867C}">
                  <a14:compatExt spid="_x0000_s14064"/>
                </a:ext>
                <a:ext uri="{FF2B5EF4-FFF2-40B4-BE49-F238E27FC236}">
                  <a16:creationId xmlns:a16="http://schemas.microsoft.com/office/drawing/2014/main" id="{00000000-0008-0000-0000-0000F0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4063" name="Button 2799" hidden="1">
              <a:extLst>
                <a:ext uri="{63B3BB69-23CF-44E3-9099-C40C66FF867C}">
                  <a14:compatExt spid="_x0000_s14063"/>
                </a:ext>
                <a:ext uri="{FF2B5EF4-FFF2-40B4-BE49-F238E27FC236}">
                  <a16:creationId xmlns:a16="http://schemas.microsoft.com/office/drawing/2014/main" id="{00000000-0008-0000-0000-0000EF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4062" name="Button 2798" hidden="1">
              <a:extLst>
                <a:ext uri="{63B3BB69-23CF-44E3-9099-C40C66FF867C}">
                  <a14:compatExt spid="_x0000_s14062"/>
                </a:ext>
                <a:ext uri="{FF2B5EF4-FFF2-40B4-BE49-F238E27FC236}">
                  <a16:creationId xmlns:a16="http://schemas.microsoft.com/office/drawing/2014/main" id="{00000000-0008-0000-0000-0000EE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4061" name="Button 2797" hidden="1">
              <a:extLst>
                <a:ext uri="{63B3BB69-23CF-44E3-9099-C40C66FF867C}">
                  <a14:compatExt spid="_x0000_s14061"/>
                </a:ext>
                <a:ext uri="{FF2B5EF4-FFF2-40B4-BE49-F238E27FC236}">
                  <a16:creationId xmlns:a16="http://schemas.microsoft.com/office/drawing/2014/main" id="{00000000-0008-0000-0000-0000ED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4060" name="Button 2796" hidden="1">
              <a:extLst>
                <a:ext uri="{63B3BB69-23CF-44E3-9099-C40C66FF867C}">
                  <a14:compatExt spid="_x0000_s14060"/>
                </a:ext>
                <a:ext uri="{FF2B5EF4-FFF2-40B4-BE49-F238E27FC236}">
                  <a16:creationId xmlns:a16="http://schemas.microsoft.com/office/drawing/2014/main" id="{00000000-0008-0000-0000-0000EC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4059" name="Button 2795" hidden="1">
              <a:extLst>
                <a:ext uri="{63B3BB69-23CF-44E3-9099-C40C66FF867C}">
                  <a14:compatExt spid="_x0000_s14059"/>
                </a:ext>
                <a:ext uri="{FF2B5EF4-FFF2-40B4-BE49-F238E27FC236}">
                  <a16:creationId xmlns:a16="http://schemas.microsoft.com/office/drawing/2014/main" id="{00000000-0008-0000-0000-0000EB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4058" name="Button 2794" hidden="1">
              <a:extLst>
                <a:ext uri="{63B3BB69-23CF-44E3-9099-C40C66FF867C}">
                  <a14:compatExt spid="_x0000_s14058"/>
                </a:ext>
                <a:ext uri="{FF2B5EF4-FFF2-40B4-BE49-F238E27FC236}">
                  <a16:creationId xmlns:a16="http://schemas.microsoft.com/office/drawing/2014/main" id="{00000000-0008-0000-0000-0000EA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4057" name="Button 2793" hidden="1">
              <a:extLst>
                <a:ext uri="{63B3BB69-23CF-44E3-9099-C40C66FF867C}">
                  <a14:compatExt spid="_x0000_s14057"/>
                </a:ext>
                <a:ext uri="{FF2B5EF4-FFF2-40B4-BE49-F238E27FC236}">
                  <a16:creationId xmlns:a16="http://schemas.microsoft.com/office/drawing/2014/main" id="{00000000-0008-0000-0000-0000E9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4056" name="Button 2792" hidden="1">
              <a:extLst>
                <a:ext uri="{63B3BB69-23CF-44E3-9099-C40C66FF867C}">
                  <a14:compatExt spid="_x0000_s14056"/>
                </a:ext>
                <a:ext uri="{FF2B5EF4-FFF2-40B4-BE49-F238E27FC236}">
                  <a16:creationId xmlns:a16="http://schemas.microsoft.com/office/drawing/2014/main" id="{00000000-0008-0000-0000-0000E8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4055" name="Button 2791" hidden="1">
              <a:extLst>
                <a:ext uri="{63B3BB69-23CF-44E3-9099-C40C66FF867C}">
                  <a14:compatExt spid="_x0000_s14055"/>
                </a:ext>
                <a:ext uri="{FF2B5EF4-FFF2-40B4-BE49-F238E27FC236}">
                  <a16:creationId xmlns:a16="http://schemas.microsoft.com/office/drawing/2014/main" id="{00000000-0008-0000-0000-0000E7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4054" name="Button 2790" hidden="1">
              <a:extLst>
                <a:ext uri="{63B3BB69-23CF-44E3-9099-C40C66FF867C}">
                  <a14:compatExt spid="_x0000_s14054"/>
                </a:ext>
                <a:ext uri="{FF2B5EF4-FFF2-40B4-BE49-F238E27FC236}">
                  <a16:creationId xmlns:a16="http://schemas.microsoft.com/office/drawing/2014/main" id="{00000000-0008-0000-0000-0000E6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4053" name="Button 2789" hidden="1">
              <a:extLst>
                <a:ext uri="{63B3BB69-23CF-44E3-9099-C40C66FF867C}">
                  <a14:compatExt spid="_x0000_s14053"/>
                </a:ext>
                <a:ext uri="{FF2B5EF4-FFF2-40B4-BE49-F238E27FC236}">
                  <a16:creationId xmlns:a16="http://schemas.microsoft.com/office/drawing/2014/main" id="{00000000-0008-0000-0000-0000E5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4052" name="Button 2788" hidden="1">
              <a:extLst>
                <a:ext uri="{63B3BB69-23CF-44E3-9099-C40C66FF867C}">
                  <a14:compatExt spid="_x0000_s14052"/>
                </a:ext>
                <a:ext uri="{FF2B5EF4-FFF2-40B4-BE49-F238E27FC236}">
                  <a16:creationId xmlns:a16="http://schemas.microsoft.com/office/drawing/2014/main" id="{00000000-0008-0000-0000-0000E4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4051" name="Button 2787" hidden="1">
              <a:extLst>
                <a:ext uri="{63B3BB69-23CF-44E3-9099-C40C66FF867C}">
                  <a14:compatExt spid="_x0000_s14051"/>
                </a:ext>
                <a:ext uri="{FF2B5EF4-FFF2-40B4-BE49-F238E27FC236}">
                  <a16:creationId xmlns:a16="http://schemas.microsoft.com/office/drawing/2014/main" id="{00000000-0008-0000-0000-0000E3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4050" name="Button 2786" hidden="1">
              <a:extLst>
                <a:ext uri="{63B3BB69-23CF-44E3-9099-C40C66FF867C}">
                  <a14:compatExt spid="_x0000_s14050"/>
                </a:ext>
                <a:ext uri="{FF2B5EF4-FFF2-40B4-BE49-F238E27FC236}">
                  <a16:creationId xmlns:a16="http://schemas.microsoft.com/office/drawing/2014/main" id="{00000000-0008-0000-0000-0000E2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4049" name="Button 2785" hidden="1">
              <a:extLst>
                <a:ext uri="{63B3BB69-23CF-44E3-9099-C40C66FF867C}">
                  <a14:compatExt spid="_x0000_s14049"/>
                </a:ext>
                <a:ext uri="{FF2B5EF4-FFF2-40B4-BE49-F238E27FC236}">
                  <a16:creationId xmlns:a16="http://schemas.microsoft.com/office/drawing/2014/main" id="{00000000-0008-0000-0000-0000E1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4048" name="Button 2784" hidden="1">
              <a:extLst>
                <a:ext uri="{63B3BB69-23CF-44E3-9099-C40C66FF867C}">
                  <a14:compatExt spid="_x0000_s14048"/>
                </a:ext>
                <a:ext uri="{FF2B5EF4-FFF2-40B4-BE49-F238E27FC236}">
                  <a16:creationId xmlns:a16="http://schemas.microsoft.com/office/drawing/2014/main" id="{00000000-0008-0000-0000-0000E0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4047" name="Button 2783" hidden="1">
              <a:extLst>
                <a:ext uri="{63B3BB69-23CF-44E3-9099-C40C66FF867C}">
                  <a14:compatExt spid="_x0000_s14047"/>
                </a:ext>
                <a:ext uri="{FF2B5EF4-FFF2-40B4-BE49-F238E27FC236}">
                  <a16:creationId xmlns:a16="http://schemas.microsoft.com/office/drawing/2014/main" id="{00000000-0008-0000-0000-0000DF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4046" name="Button 2782" hidden="1">
              <a:extLst>
                <a:ext uri="{63B3BB69-23CF-44E3-9099-C40C66FF867C}">
                  <a14:compatExt spid="_x0000_s14046"/>
                </a:ext>
                <a:ext uri="{FF2B5EF4-FFF2-40B4-BE49-F238E27FC236}">
                  <a16:creationId xmlns:a16="http://schemas.microsoft.com/office/drawing/2014/main" id="{00000000-0008-0000-0000-0000DE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4045" name="Button 2781" hidden="1">
              <a:extLst>
                <a:ext uri="{63B3BB69-23CF-44E3-9099-C40C66FF867C}">
                  <a14:compatExt spid="_x0000_s14045"/>
                </a:ext>
                <a:ext uri="{FF2B5EF4-FFF2-40B4-BE49-F238E27FC236}">
                  <a16:creationId xmlns:a16="http://schemas.microsoft.com/office/drawing/2014/main" id="{00000000-0008-0000-0000-0000DD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4044" name="Button 2780" hidden="1">
              <a:extLst>
                <a:ext uri="{63B3BB69-23CF-44E3-9099-C40C66FF867C}">
                  <a14:compatExt spid="_x0000_s14044"/>
                </a:ext>
                <a:ext uri="{FF2B5EF4-FFF2-40B4-BE49-F238E27FC236}">
                  <a16:creationId xmlns:a16="http://schemas.microsoft.com/office/drawing/2014/main" id="{00000000-0008-0000-0000-0000DC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4043" name="Button 2779" hidden="1">
              <a:extLst>
                <a:ext uri="{63B3BB69-23CF-44E3-9099-C40C66FF867C}">
                  <a14:compatExt spid="_x0000_s14043"/>
                </a:ext>
                <a:ext uri="{FF2B5EF4-FFF2-40B4-BE49-F238E27FC236}">
                  <a16:creationId xmlns:a16="http://schemas.microsoft.com/office/drawing/2014/main" id="{00000000-0008-0000-0000-0000DB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4042" name="Button 2778" hidden="1">
              <a:extLst>
                <a:ext uri="{63B3BB69-23CF-44E3-9099-C40C66FF867C}">
                  <a14:compatExt spid="_x0000_s14042"/>
                </a:ext>
                <a:ext uri="{FF2B5EF4-FFF2-40B4-BE49-F238E27FC236}">
                  <a16:creationId xmlns:a16="http://schemas.microsoft.com/office/drawing/2014/main" id="{00000000-0008-0000-0000-0000DA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4041" name="Button 2777" hidden="1">
              <a:extLst>
                <a:ext uri="{63B3BB69-23CF-44E3-9099-C40C66FF867C}">
                  <a14:compatExt spid="_x0000_s14041"/>
                </a:ext>
                <a:ext uri="{FF2B5EF4-FFF2-40B4-BE49-F238E27FC236}">
                  <a16:creationId xmlns:a16="http://schemas.microsoft.com/office/drawing/2014/main" id="{00000000-0008-0000-0000-0000D9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4040" name="Button 2776" hidden="1">
              <a:extLst>
                <a:ext uri="{63B3BB69-23CF-44E3-9099-C40C66FF867C}">
                  <a14:compatExt spid="_x0000_s14040"/>
                </a:ext>
                <a:ext uri="{FF2B5EF4-FFF2-40B4-BE49-F238E27FC236}">
                  <a16:creationId xmlns:a16="http://schemas.microsoft.com/office/drawing/2014/main" id="{00000000-0008-0000-0000-0000D8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4039" name="Button 2775" hidden="1">
              <a:extLst>
                <a:ext uri="{63B3BB69-23CF-44E3-9099-C40C66FF867C}">
                  <a14:compatExt spid="_x0000_s14039"/>
                </a:ext>
                <a:ext uri="{FF2B5EF4-FFF2-40B4-BE49-F238E27FC236}">
                  <a16:creationId xmlns:a16="http://schemas.microsoft.com/office/drawing/2014/main" id="{00000000-0008-0000-0000-0000D7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4038" name="Button 2774" hidden="1">
              <a:extLst>
                <a:ext uri="{63B3BB69-23CF-44E3-9099-C40C66FF867C}">
                  <a14:compatExt spid="_x0000_s14038"/>
                </a:ext>
                <a:ext uri="{FF2B5EF4-FFF2-40B4-BE49-F238E27FC236}">
                  <a16:creationId xmlns:a16="http://schemas.microsoft.com/office/drawing/2014/main" id="{00000000-0008-0000-0000-0000D6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4037" name="Button 2773" hidden="1">
              <a:extLst>
                <a:ext uri="{63B3BB69-23CF-44E3-9099-C40C66FF867C}">
                  <a14:compatExt spid="_x0000_s14037"/>
                </a:ext>
                <a:ext uri="{FF2B5EF4-FFF2-40B4-BE49-F238E27FC236}">
                  <a16:creationId xmlns:a16="http://schemas.microsoft.com/office/drawing/2014/main" id="{00000000-0008-0000-0000-0000D5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4036" name="Button 2772" hidden="1">
              <a:extLst>
                <a:ext uri="{63B3BB69-23CF-44E3-9099-C40C66FF867C}">
                  <a14:compatExt spid="_x0000_s14036"/>
                </a:ext>
                <a:ext uri="{FF2B5EF4-FFF2-40B4-BE49-F238E27FC236}">
                  <a16:creationId xmlns:a16="http://schemas.microsoft.com/office/drawing/2014/main" id="{00000000-0008-0000-0000-0000D4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4035" name="Button 2771" hidden="1">
              <a:extLst>
                <a:ext uri="{63B3BB69-23CF-44E3-9099-C40C66FF867C}">
                  <a14:compatExt spid="_x0000_s14035"/>
                </a:ext>
                <a:ext uri="{FF2B5EF4-FFF2-40B4-BE49-F238E27FC236}">
                  <a16:creationId xmlns:a16="http://schemas.microsoft.com/office/drawing/2014/main" id="{00000000-0008-0000-0000-0000D3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161925</xdr:rowOff>
        </xdr:to>
        <xdr:sp macro="" textlink="">
          <xdr:nvSpPr>
            <xdr:cNvPr id="14034" name="Button 2770" hidden="1">
              <a:extLst>
                <a:ext uri="{63B3BB69-23CF-44E3-9099-C40C66FF867C}">
                  <a14:compatExt spid="_x0000_s14034"/>
                </a:ext>
                <a:ext uri="{FF2B5EF4-FFF2-40B4-BE49-F238E27FC236}">
                  <a16:creationId xmlns:a16="http://schemas.microsoft.com/office/drawing/2014/main" id="{00000000-0008-0000-0000-0000D2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4033" name="Button 2769" hidden="1">
              <a:extLst>
                <a:ext uri="{63B3BB69-23CF-44E3-9099-C40C66FF867C}">
                  <a14:compatExt spid="_x0000_s14033"/>
                </a:ext>
                <a:ext uri="{FF2B5EF4-FFF2-40B4-BE49-F238E27FC236}">
                  <a16:creationId xmlns:a16="http://schemas.microsoft.com/office/drawing/2014/main" id="{00000000-0008-0000-0000-0000D1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4032" name="Button 2768" hidden="1">
              <a:extLst>
                <a:ext uri="{63B3BB69-23CF-44E3-9099-C40C66FF867C}">
                  <a14:compatExt spid="_x0000_s14032"/>
                </a:ext>
                <a:ext uri="{FF2B5EF4-FFF2-40B4-BE49-F238E27FC236}">
                  <a16:creationId xmlns:a16="http://schemas.microsoft.com/office/drawing/2014/main" id="{00000000-0008-0000-0000-0000D0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4031" name="Button 2767" hidden="1">
              <a:extLst>
                <a:ext uri="{63B3BB69-23CF-44E3-9099-C40C66FF867C}">
                  <a14:compatExt spid="_x0000_s14031"/>
                </a:ext>
                <a:ext uri="{FF2B5EF4-FFF2-40B4-BE49-F238E27FC236}">
                  <a16:creationId xmlns:a16="http://schemas.microsoft.com/office/drawing/2014/main" id="{00000000-0008-0000-0000-0000CF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4030" name="Button 2766" hidden="1">
              <a:extLst>
                <a:ext uri="{63B3BB69-23CF-44E3-9099-C40C66FF867C}">
                  <a14:compatExt spid="_x0000_s14030"/>
                </a:ext>
                <a:ext uri="{FF2B5EF4-FFF2-40B4-BE49-F238E27FC236}">
                  <a16:creationId xmlns:a16="http://schemas.microsoft.com/office/drawing/2014/main" id="{00000000-0008-0000-0000-0000CE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4029" name="Button 2765" hidden="1">
              <a:extLst>
                <a:ext uri="{63B3BB69-23CF-44E3-9099-C40C66FF867C}">
                  <a14:compatExt spid="_x0000_s14029"/>
                </a:ext>
                <a:ext uri="{FF2B5EF4-FFF2-40B4-BE49-F238E27FC236}">
                  <a16:creationId xmlns:a16="http://schemas.microsoft.com/office/drawing/2014/main" id="{00000000-0008-0000-0000-0000CD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4028" name="Button 2764" hidden="1">
              <a:extLst>
                <a:ext uri="{63B3BB69-23CF-44E3-9099-C40C66FF867C}">
                  <a14:compatExt spid="_x0000_s14028"/>
                </a:ext>
                <a:ext uri="{FF2B5EF4-FFF2-40B4-BE49-F238E27FC236}">
                  <a16:creationId xmlns:a16="http://schemas.microsoft.com/office/drawing/2014/main" id="{00000000-0008-0000-0000-0000CC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4027" name="Button 2763" hidden="1">
              <a:extLst>
                <a:ext uri="{63B3BB69-23CF-44E3-9099-C40C66FF867C}">
                  <a14:compatExt spid="_x0000_s14027"/>
                </a:ext>
                <a:ext uri="{FF2B5EF4-FFF2-40B4-BE49-F238E27FC236}">
                  <a16:creationId xmlns:a16="http://schemas.microsoft.com/office/drawing/2014/main" id="{00000000-0008-0000-0000-0000CB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4026" name="Button 2762" hidden="1">
              <a:extLst>
                <a:ext uri="{63B3BB69-23CF-44E3-9099-C40C66FF867C}">
                  <a14:compatExt spid="_x0000_s14026"/>
                </a:ext>
                <a:ext uri="{FF2B5EF4-FFF2-40B4-BE49-F238E27FC236}">
                  <a16:creationId xmlns:a16="http://schemas.microsoft.com/office/drawing/2014/main" id="{00000000-0008-0000-0000-0000CA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4025" name="Button 2761" hidden="1">
              <a:extLst>
                <a:ext uri="{63B3BB69-23CF-44E3-9099-C40C66FF867C}">
                  <a14:compatExt spid="_x0000_s14025"/>
                </a:ext>
                <a:ext uri="{FF2B5EF4-FFF2-40B4-BE49-F238E27FC236}">
                  <a16:creationId xmlns:a16="http://schemas.microsoft.com/office/drawing/2014/main" id="{00000000-0008-0000-0000-0000C9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4024" name="Button 2760" hidden="1">
              <a:extLst>
                <a:ext uri="{63B3BB69-23CF-44E3-9099-C40C66FF867C}">
                  <a14:compatExt spid="_x0000_s14024"/>
                </a:ext>
                <a:ext uri="{FF2B5EF4-FFF2-40B4-BE49-F238E27FC236}">
                  <a16:creationId xmlns:a16="http://schemas.microsoft.com/office/drawing/2014/main" id="{00000000-0008-0000-0000-0000C8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4023" name="Button 2759" hidden="1">
              <a:extLst>
                <a:ext uri="{63B3BB69-23CF-44E3-9099-C40C66FF867C}">
                  <a14:compatExt spid="_x0000_s14023"/>
                </a:ext>
                <a:ext uri="{FF2B5EF4-FFF2-40B4-BE49-F238E27FC236}">
                  <a16:creationId xmlns:a16="http://schemas.microsoft.com/office/drawing/2014/main" id="{00000000-0008-0000-0000-0000C7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4022" name="Button 2758" hidden="1">
              <a:extLst>
                <a:ext uri="{63B3BB69-23CF-44E3-9099-C40C66FF867C}">
                  <a14:compatExt spid="_x0000_s14022"/>
                </a:ext>
                <a:ext uri="{FF2B5EF4-FFF2-40B4-BE49-F238E27FC236}">
                  <a16:creationId xmlns:a16="http://schemas.microsoft.com/office/drawing/2014/main" id="{00000000-0008-0000-0000-0000C6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4021" name="Button 2757" hidden="1">
              <a:extLst>
                <a:ext uri="{63B3BB69-23CF-44E3-9099-C40C66FF867C}">
                  <a14:compatExt spid="_x0000_s14021"/>
                </a:ext>
                <a:ext uri="{FF2B5EF4-FFF2-40B4-BE49-F238E27FC236}">
                  <a16:creationId xmlns:a16="http://schemas.microsoft.com/office/drawing/2014/main" id="{00000000-0008-0000-0000-0000C5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4020" name="Button 2756" hidden="1">
              <a:extLst>
                <a:ext uri="{63B3BB69-23CF-44E3-9099-C40C66FF867C}">
                  <a14:compatExt spid="_x0000_s14020"/>
                </a:ext>
                <a:ext uri="{FF2B5EF4-FFF2-40B4-BE49-F238E27FC236}">
                  <a16:creationId xmlns:a16="http://schemas.microsoft.com/office/drawing/2014/main" id="{00000000-0008-0000-0000-0000C4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4019" name="Button 2755" hidden="1">
              <a:extLst>
                <a:ext uri="{63B3BB69-23CF-44E3-9099-C40C66FF867C}">
                  <a14:compatExt spid="_x0000_s14019"/>
                </a:ext>
                <a:ext uri="{FF2B5EF4-FFF2-40B4-BE49-F238E27FC236}">
                  <a16:creationId xmlns:a16="http://schemas.microsoft.com/office/drawing/2014/main" id="{00000000-0008-0000-0000-0000C3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247</xdr:row>
          <xdr:rowOff>0</xdr:rowOff>
        </xdr:to>
        <xdr:sp macro="" textlink="">
          <xdr:nvSpPr>
            <xdr:cNvPr id="14018" name="Button 2754" hidden="1">
              <a:extLst>
                <a:ext uri="{63B3BB69-23CF-44E3-9099-C40C66FF867C}">
                  <a14:compatExt spid="_x0000_s14018"/>
                </a:ext>
                <a:ext uri="{FF2B5EF4-FFF2-40B4-BE49-F238E27FC236}">
                  <a16:creationId xmlns:a16="http://schemas.microsoft.com/office/drawing/2014/main" id="{00000000-0008-0000-0000-0000C2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38100</xdr:rowOff>
        </xdr:to>
        <xdr:sp macro="" textlink="">
          <xdr:nvSpPr>
            <xdr:cNvPr id="14017" name="Button 2753" hidden="1">
              <a:extLst>
                <a:ext uri="{63B3BB69-23CF-44E3-9099-C40C66FF867C}">
                  <a14:compatExt spid="_x0000_s14017"/>
                </a:ext>
                <a:ext uri="{FF2B5EF4-FFF2-40B4-BE49-F238E27FC236}">
                  <a16:creationId xmlns:a16="http://schemas.microsoft.com/office/drawing/2014/main" id="{00000000-0008-0000-0000-0000C1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4016" name="Button 2752" hidden="1">
              <a:extLst>
                <a:ext uri="{63B3BB69-23CF-44E3-9099-C40C66FF867C}">
                  <a14:compatExt spid="_x0000_s14016"/>
                </a:ext>
                <a:ext uri="{FF2B5EF4-FFF2-40B4-BE49-F238E27FC236}">
                  <a16:creationId xmlns:a16="http://schemas.microsoft.com/office/drawing/2014/main" id="{00000000-0008-0000-0000-0000C0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258</xdr:row>
          <xdr:rowOff>0</xdr:rowOff>
        </xdr:to>
        <xdr:sp macro="" textlink="">
          <xdr:nvSpPr>
            <xdr:cNvPr id="14015" name="Button 2751" hidden="1">
              <a:extLst>
                <a:ext uri="{63B3BB69-23CF-44E3-9099-C40C66FF867C}">
                  <a14:compatExt spid="_x0000_s14015"/>
                </a:ext>
                <a:ext uri="{FF2B5EF4-FFF2-40B4-BE49-F238E27FC236}">
                  <a16:creationId xmlns:a16="http://schemas.microsoft.com/office/drawing/2014/main" id="{00000000-0008-0000-0000-0000BF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38100</xdr:rowOff>
        </xdr:to>
        <xdr:sp macro="" textlink="">
          <xdr:nvSpPr>
            <xdr:cNvPr id="14014" name="Button 2750" hidden="1">
              <a:extLst>
                <a:ext uri="{63B3BB69-23CF-44E3-9099-C40C66FF867C}">
                  <a14:compatExt spid="_x0000_s14014"/>
                </a:ext>
                <a:ext uri="{FF2B5EF4-FFF2-40B4-BE49-F238E27FC236}">
                  <a16:creationId xmlns:a16="http://schemas.microsoft.com/office/drawing/2014/main" id="{00000000-0008-0000-0000-0000BE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4013" name="Button 2749" hidden="1">
              <a:extLst>
                <a:ext uri="{63B3BB69-23CF-44E3-9099-C40C66FF867C}">
                  <a14:compatExt spid="_x0000_s14013"/>
                </a:ext>
                <a:ext uri="{FF2B5EF4-FFF2-40B4-BE49-F238E27FC236}">
                  <a16:creationId xmlns:a16="http://schemas.microsoft.com/office/drawing/2014/main" id="{00000000-0008-0000-0000-0000BD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269</xdr:row>
          <xdr:rowOff>0</xdr:rowOff>
        </xdr:to>
        <xdr:sp macro="" textlink="">
          <xdr:nvSpPr>
            <xdr:cNvPr id="14012" name="Button 2748" hidden="1">
              <a:extLst>
                <a:ext uri="{63B3BB69-23CF-44E3-9099-C40C66FF867C}">
                  <a14:compatExt spid="_x0000_s14012"/>
                </a:ext>
                <a:ext uri="{FF2B5EF4-FFF2-40B4-BE49-F238E27FC236}">
                  <a16:creationId xmlns:a16="http://schemas.microsoft.com/office/drawing/2014/main" id="{00000000-0008-0000-0000-0000BC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38100</xdr:rowOff>
        </xdr:to>
        <xdr:sp macro="" textlink="">
          <xdr:nvSpPr>
            <xdr:cNvPr id="14011" name="Button 2747" hidden="1">
              <a:extLst>
                <a:ext uri="{63B3BB69-23CF-44E3-9099-C40C66FF867C}">
                  <a14:compatExt spid="_x0000_s14011"/>
                </a:ext>
                <a:ext uri="{FF2B5EF4-FFF2-40B4-BE49-F238E27FC236}">
                  <a16:creationId xmlns:a16="http://schemas.microsoft.com/office/drawing/2014/main" id="{00000000-0008-0000-0000-0000BB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4010" name="Button 2746" hidden="1">
              <a:extLst>
                <a:ext uri="{63B3BB69-23CF-44E3-9099-C40C66FF867C}">
                  <a14:compatExt spid="_x0000_s14010"/>
                </a:ext>
                <a:ext uri="{FF2B5EF4-FFF2-40B4-BE49-F238E27FC236}">
                  <a16:creationId xmlns:a16="http://schemas.microsoft.com/office/drawing/2014/main" id="{00000000-0008-0000-0000-0000BA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280</xdr:row>
          <xdr:rowOff>0</xdr:rowOff>
        </xdr:to>
        <xdr:sp macro="" textlink="">
          <xdr:nvSpPr>
            <xdr:cNvPr id="14009" name="Button 2745" hidden="1">
              <a:extLst>
                <a:ext uri="{63B3BB69-23CF-44E3-9099-C40C66FF867C}">
                  <a14:compatExt spid="_x0000_s14009"/>
                </a:ext>
                <a:ext uri="{FF2B5EF4-FFF2-40B4-BE49-F238E27FC236}">
                  <a16:creationId xmlns:a16="http://schemas.microsoft.com/office/drawing/2014/main" id="{00000000-0008-0000-0000-0000B9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38100</xdr:rowOff>
        </xdr:to>
        <xdr:sp macro="" textlink="">
          <xdr:nvSpPr>
            <xdr:cNvPr id="14008" name="Button 2744" hidden="1">
              <a:extLst>
                <a:ext uri="{63B3BB69-23CF-44E3-9099-C40C66FF867C}">
                  <a14:compatExt spid="_x0000_s14008"/>
                </a:ext>
                <a:ext uri="{FF2B5EF4-FFF2-40B4-BE49-F238E27FC236}">
                  <a16:creationId xmlns:a16="http://schemas.microsoft.com/office/drawing/2014/main" id="{00000000-0008-0000-0000-0000B8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4007" name="Button 2743" hidden="1">
              <a:extLst>
                <a:ext uri="{63B3BB69-23CF-44E3-9099-C40C66FF867C}">
                  <a14:compatExt spid="_x0000_s14007"/>
                </a:ext>
                <a:ext uri="{FF2B5EF4-FFF2-40B4-BE49-F238E27FC236}">
                  <a16:creationId xmlns:a16="http://schemas.microsoft.com/office/drawing/2014/main" id="{00000000-0008-0000-0000-0000B7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4006" name="Button 2742" hidden="1">
              <a:extLst>
                <a:ext uri="{63B3BB69-23CF-44E3-9099-C40C66FF867C}">
                  <a14:compatExt spid="_x0000_s14006"/>
                </a:ext>
                <a:ext uri="{FF2B5EF4-FFF2-40B4-BE49-F238E27FC236}">
                  <a16:creationId xmlns:a16="http://schemas.microsoft.com/office/drawing/2014/main" id="{00000000-0008-0000-0000-0000B6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4005" name="Button 2741" hidden="1">
              <a:extLst>
                <a:ext uri="{63B3BB69-23CF-44E3-9099-C40C66FF867C}">
                  <a14:compatExt spid="_x0000_s14005"/>
                </a:ext>
                <a:ext uri="{FF2B5EF4-FFF2-40B4-BE49-F238E27FC236}">
                  <a16:creationId xmlns:a16="http://schemas.microsoft.com/office/drawing/2014/main" id="{00000000-0008-0000-0000-0000B5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4004" name="Button 2740" hidden="1">
              <a:extLst>
                <a:ext uri="{63B3BB69-23CF-44E3-9099-C40C66FF867C}">
                  <a14:compatExt spid="_x0000_s14004"/>
                </a:ext>
                <a:ext uri="{FF2B5EF4-FFF2-40B4-BE49-F238E27FC236}">
                  <a16:creationId xmlns:a16="http://schemas.microsoft.com/office/drawing/2014/main" id="{00000000-0008-0000-0000-0000B4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4003" name="Button 2739" hidden="1">
              <a:extLst>
                <a:ext uri="{63B3BB69-23CF-44E3-9099-C40C66FF867C}">
                  <a14:compatExt spid="_x0000_s14003"/>
                </a:ext>
                <a:ext uri="{FF2B5EF4-FFF2-40B4-BE49-F238E27FC236}">
                  <a16:creationId xmlns:a16="http://schemas.microsoft.com/office/drawing/2014/main" id="{00000000-0008-0000-0000-0000B3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4002" name="Button 2738" hidden="1">
              <a:extLst>
                <a:ext uri="{63B3BB69-23CF-44E3-9099-C40C66FF867C}">
                  <a14:compatExt spid="_x0000_s14002"/>
                </a:ext>
                <a:ext uri="{FF2B5EF4-FFF2-40B4-BE49-F238E27FC236}">
                  <a16:creationId xmlns:a16="http://schemas.microsoft.com/office/drawing/2014/main" id="{00000000-0008-0000-0000-0000B2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4001" name="Button 2737" hidden="1">
              <a:extLst>
                <a:ext uri="{63B3BB69-23CF-44E3-9099-C40C66FF867C}">
                  <a14:compatExt spid="_x0000_s14001"/>
                </a:ext>
                <a:ext uri="{FF2B5EF4-FFF2-40B4-BE49-F238E27FC236}">
                  <a16:creationId xmlns:a16="http://schemas.microsoft.com/office/drawing/2014/main" id="{00000000-0008-0000-0000-0000B1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4000" name="Button 2736" hidden="1">
              <a:extLst>
                <a:ext uri="{63B3BB69-23CF-44E3-9099-C40C66FF867C}">
                  <a14:compatExt spid="_x0000_s14000"/>
                </a:ext>
                <a:ext uri="{FF2B5EF4-FFF2-40B4-BE49-F238E27FC236}">
                  <a16:creationId xmlns:a16="http://schemas.microsoft.com/office/drawing/2014/main" id="{00000000-0008-0000-0000-0000B0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3999" name="Button 2735" hidden="1">
              <a:extLst>
                <a:ext uri="{63B3BB69-23CF-44E3-9099-C40C66FF867C}">
                  <a14:compatExt spid="_x0000_s13999"/>
                </a:ext>
                <a:ext uri="{FF2B5EF4-FFF2-40B4-BE49-F238E27FC236}">
                  <a16:creationId xmlns:a16="http://schemas.microsoft.com/office/drawing/2014/main" id="{00000000-0008-0000-0000-0000AF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3998" name="Button 2734" hidden="1">
              <a:extLst>
                <a:ext uri="{63B3BB69-23CF-44E3-9099-C40C66FF867C}">
                  <a14:compatExt spid="_x0000_s13998"/>
                </a:ext>
                <a:ext uri="{FF2B5EF4-FFF2-40B4-BE49-F238E27FC236}">
                  <a16:creationId xmlns:a16="http://schemas.microsoft.com/office/drawing/2014/main" id="{00000000-0008-0000-0000-0000AE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3997" name="Button 2733" hidden="1">
              <a:extLst>
                <a:ext uri="{63B3BB69-23CF-44E3-9099-C40C66FF867C}">
                  <a14:compatExt spid="_x0000_s13997"/>
                </a:ext>
                <a:ext uri="{FF2B5EF4-FFF2-40B4-BE49-F238E27FC236}">
                  <a16:creationId xmlns:a16="http://schemas.microsoft.com/office/drawing/2014/main" id="{00000000-0008-0000-0000-0000AD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3996" name="Button 2732" hidden="1">
              <a:extLst>
                <a:ext uri="{63B3BB69-23CF-44E3-9099-C40C66FF867C}">
                  <a14:compatExt spid="_x0000_s13996"/>
                </a:ext>
                <a:ext uri="{FF2B5EF4-FFF2-40B4-BE49-F238E27FC236}">
                  <a16:creationId xmlns:a16="http://schemas.microsoft.com/office/drawing/2014/main" id="{00000000-0008-0000-0000-0000AC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3995" name="Button 2731" hidden="1">
              <a:extLst>
                <a:ext uri="{63B3BB69-23CF-44E3-9099-C40C66FF867C}">
                  <a14:compatExt spid="_x0000_s13995"/>
                </a:ext>
                <a:ext uri="{FF2B5EF4-FFF2-40B4-BE49-F238E27FC236}">
                  <a16:creationId xmlns:a16="http://schemas.microsoft.com/office/drawing/2014/main" id="{00000000-0008-0000-0000-0000AB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3994" name="Button 2730" hidden="1">
              <a:extLst>
                <a:ext uri="{63B3BB69-23CF-44E3-9099-C40C66FF867C}">
                  <a14:compatExt spid="_x0000_s13994"/>
                </a:ext>
                <a:ext uri="{FF2B5EF4-FFF2-40B4-BE49-F238E27FC236}">
                  <a16:creationId xmlns:a16="http://schemas.microsoft.com/office/drawing/2014/main" id="{00000000-0008-0000-0000-0000AA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3993" name="Button 2729" hidden="1">
              <a:extLst>
                <a:ext uri="{63B3BB69-23CF-44E3-9099-C40C66FF867C}">
                  <a14:compatExt spid="_x0000_s13993"/>
                </a:ext>
                <a:ext uri="{FF2B5EF4-FFF2-40B4-BE49-F238E27FC236}">
                  <a16:creationId xmlns:a16="http://schemas.microsoft.com/office/drawing/2014/main" id="{00000000-0008-0000-0000-0000A9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3992" name="Button 2728" hidden="1">
              <a:extLst>
                <a:ext uri="{63B3BB69-23CF-44E3-9099-C40C66FF867C}">
                  <a14:compatExt spid="_x0000_s13992"/>
                </a:ext>
                <a:ext uri="{FF2B5EF4-FFF2-40B4-BE49-F238E27FC236}">
                  <a16:creationId xmlns:a16="http://schemas.microsoft.com/office/drawing/2014/main" id="{00000000-0008-0000-0000-0000A8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3991" name="Button 2727" hidden="1">
              <a:extLst>
                <a:ext uri="{63B3BB69-23CF-44E3-9099-C40C66FF867C}">
                  <a14:compatExt spid="_x0000_s13991"/>
                </a:ext>
                <a:ext uri="{FF2B5EF4-FFF2-40B4-BE49-F238E27FC236}">
                  <a16:creationId xmlns:a16="http://schemas.microsoft.com/office/drawing/2014/main" id="{00000000-0008-0000-0000-0000A7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3990" name="Button 2726" hidden="1">
              <a:extLst>
                <a:ext uri="{63B3BB69-23CF-44E3-9099-C40C66FF867C}">
                  <a14:compatExt spid="_x0000_s13990"/>
                </a:ext>
                <a:ext uri="{FF2B5EF4-FFF2-40B4-BE49-F238E27FC236}">
                  <a16:creationId xmlns:a16="http://schemas.microsoft.com/office/drawing/2014/main" id="{00000000-0008-0000-0000-0000A6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3989" name="Button 2725" hidden="1">
              <a:extLst>
                <a:ext uri="{63B3BB69-23CF-44E3-9099-C40C66FF867C}">
                  <a14:compatExt spid="_x0000_s13989"/>
                </a:ext>
                <a:ext uri="{FF2B5EF4-FFF2-40B4-BE49-F238E27FC236}">
                  <a16:creationId xmlns:a16="http://schemas.microsoft.com/office/drawing/2014/main" id="{00000000-0008-0000-0000-0000A5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3988" name="Button 2724" hidden="1">
              <a:extLst>
                <a:ext uri="{63B3BB69-23CF-44E3-9099-C40C66FF867C}">
                  <a14:compatExt spid="_x0000_s13988"/>
                </a:ext>
                <a:ext uri="{FF2B5EF4-FFF2-40B4-BE49-F238E27FC236}">
                  <a16:creationId xmlns:a16="http://schemas.microsoft.com/office/drawing/2014/main" id="{00000000-0008-0000-0000-0000A4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310</xdr:row>
          <xdr:rowOff>0</xdr:rowOff>
        </xdr:to>
        <xdr:sp macro="" textlink="">
          <xdr:nvSpPr>
            <xdr:cNvPr id="13987" name="Button 2723" hidden="1">
              <a:extLst>
                <a:ext uri="{63B3BB69-23CF-44E3-9099-C40C66FF867C}">
                  <a14:compatExt spid="_x0000_s13987"/>
                </a:ext>
                <a:ext uri="{FF2B5EF4-FFF2-40B4-BE49-F238E27FC236}">
                  <a16:creationId xmlns:a16="http://schemas.microsoft.com/office/drawing/2014/main" id="{00000000-0008-0000-0000-0000A3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38100</xdr:rowOff>
        </xdr:to>
        <xdr:sp macro="" textlink="">
          <xdr:nvSpPr>
            <xdr:cNvPr id="13986" name="Button 2722" hidden="1">
              <a:extLst>
                <a:ext uri="{63B3BB69-23CF-44E3-9099-C40C66FF867C}">
                  <a14:compatExt spid="_x0000_s13986"/>
                </a:ext>
                <a:ext uri="{FF2B5EF4-FFF2-40B4-BE49-F238E27FC236}">
                  <a16:creationId xmlns:a16="http://schemas.microsoft.com/office/drawing/2014/main" id="{00000000-0008-0000-0000-0000A2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3985" name="Button 2721" hidden="1">
              <a:extLst>
                <a:ext uri="{63B3BB69-23CF-44E3-9099-C40C66FF867C}">
                  <a14:compatExt spid="_x0000_s13985"/>
                </a:ext>
                <a:ext uri="{FF2B5EF4-FFF2-40B4-BE49-F238E27FC236}">
                  <a16:creationId xmlns:a16="http://schemas.microsoft.com/office/drawing/2014/main" id="{00000000-0008-0000-0000-0000A1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321</xdr:row>
          <xdr:rowOff>0</xdr:rowOff>
        </xdr:to>
        <xdr:sp macro="" textlink="">
          <xdr:nvSpPr>
            <xdr:cNvPr id="13984" name="Button 2720" hidden="1">
              <a:extLst>
                <a:ext uri="{63B3BB69-23CF-44E3-9099-C40C66FF867C}">
                  <a14:compatExt spid="_x0000_s13984"/>
                </a:ext>
                <a:ext uri="{FF2B5EF4-FFF2-40B4-BE49-F238E27FC236}">
                  <a16:creationId xmlns:a16="http://schemas.microsoft.com/office/drawing/2014/main" id="{00000000-0008-0000-0000-0000A0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38100</xdr:rowOff>
        </xdr:to>
        <xdr:sp macro="" textlink="">
          <xdr:nvSpPr>
            <xdr:cNvPr id="13983" name="Button 2719" hidden="1">
              <a:extLst>
                <a:ext uri="{63B3BB69-23CF-44E3-9099-C40C66FF867C}">
                  <a14:compatExt spid="_x0000_s13983"/>
                </a:ext>
                <a:ext uri="{FF2B5EF4-FFF2-40B4-BE49-F238E27FC236}">
                  <a16:creationId xmlns:a16="http://schemas.microsoft.com/office/drawing/2014/main" id="{00000000-0008-0000-0000-00009F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3982" name="Button 2718" hidden="1">
              <a:extLst>
                <a:ext uri="{63B3BB69-23CF-44E3-9099-C40C66FF867C}">
                  <a14:compatExt spid="_x0000_s13982"/>
                </a:ext>
                <a:ext uri="{FF2B5EF4-FFF2-40B4-BE49-F238E27FC236}">
                  <a16:creationId xmlns:a16="http://schemas.microsoft.com/office/drawing/2014/main" id="{00000000-0008-0000-0000-00009E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3981" name="Button 2717" hidden="1">
              <a:extLst>
                <a:ext uri="{63B3BB69-23CF-44E3-9099-C40C66FF867C}">
                  <a14:compatExt spid="_x0000_s13981"/>
                </a:ext>
                <a:ext uri="{FF2B5EF4-FFF2-40B4-BE49-F238E27FC236}">
                  <a16:creationId xmlns:a16="http://schemas.microsoft.com/office/drawing/2014/main" id="{00000000-0008-0000-0000-00009D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3980" name="Button 2716" hidden="1">
              <a:extLst>
                <a:ext uri="{63B3BB69-23CF-44E3-9099-C40C66FF867C}">
                  <a14:compatExt spid="_x0000_s13980"/>
                </a:ext>
                <a:ext uri="{FF2B5EF4-FFF2-40B4-BE49-F238E27FC236}">
                  <a16:creationId xmlns:a16="http://schemas.microsoft.com/office/drawing/2014/main" id="{00000000-0008-0000-0000-00009C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3979" name="Button 2715" hidden="1">
              <a:extLst>
                <a:ext uri="{63B3BB69-23CF-44E3-9099-C40C66FF867C}">
                  <a14:compatExt spid="_x0000_s13979"/>
                </a:ext>
                <a:ext uri="{FF2B5EF4-FFF2-40B4-BE49-F238E27FC236}">
                  <a16:creationId xmlns:a16="http://schemas.microsoft.com/office/drawing/2014/main" id="{00000000-0008-0000-0000-00009B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3978" name="Button 2714" hidden="1">
              <a:extLst>
                <a:ext uri="{63B3BB69-23CF-44E3-9099-C40C66FF867C}">
                  <a14:compatExt spid="_x0000_s13978"/>
                </a:ext>
                <a:ext uri="{FF2B5EF4-FFF2-40B4-BE49-F238E27FC236}">
                  <a16:creationId xmlns:a16="http://schemas.microsoft.com/office/drawing/2014/main" id="{00000000-0008-0000-0000-00009A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3977" name="Button 2713" hidden="1">
              <a:extLst>
                <a:ext uri="{63B3BB69-23CF-44E3-9099-C40C66FF867C}">
                  <a14:compatExt spid="_x0000_s13977"/>
                </a:ext>
                <a:ext uri="{FF2B5EF4-FFF2-40B4-BE49-F238E27FC236}">
                  <a16:creationId xmlns:a16="http://schemas.microsoft.com/office/drawing/2014/main" id="{00000000-0008-0000-0000-000099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3976" name="Button 2712" hidden="1">
              <a:extLst>
                <a:ext uri="{63B3BB69-23CF-44E3-9099-C40C66FF867C}">
                  <a14:compatExt spid="_x0000_s13976"/>
                </a:ext>
                <a:ext uri="{FF2B5EF4-FFF2-40B4-BE49-F238E27FC236}">
                  <a16:creationId xmlns:a16="http://schemas.microsoft.com/office/drawing/2014/main" id="{00000000-0008-0000-0000-000098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3975" name="Button 2711" hidden="1">
              <a:extLst>
                <a:ext uri="{63B3BB69-23CF-44E3-9099-C40C66FF867C}">
                  <a14:compatExt spid="_x0000_s13975"/>
                </a:ext>
                <a:ext uri="{FF2B5EF4-FFF2-40B4-BE49-F238E27FC236}">
                  <a16:creationId xmlns:a16="http://schemas.microsoft.com/office/drawing/2014/main" id="{00000000-0008-0000-0000-000097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3974" name="Button 2710" hidden="1">
              <a:extLst>
                <a:ext uri="{63B3BB69-23CF-44E3-9099-C40C66FF867C}">
                  <a14:compatExt spid="_x0000_s13974"/>
                </a:ext>
                <a:ext uri="{FF2B5EF4-FFF2-40B4-BE49-F238E27FC236}">
                  <a16:creationId xmlns:a16="http://schemas.microsoft.com/office/drawing/2014/main" id="{00000000-0008-0000-0000-000096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3973" name="Button 2709" hidden="1">
              <a:extLst>
                <a:ext uri="{63B3BB69-23CF-44E3-9099-C40C66FF867C}">
                  <a14:compatExt spid="_x0000_s13973"/>
                </a:ext>
                <a:ext uri="{FF2B5EF4-FFF2-40B4-BE49-F238E27FC236}">
                  <a16:creationId xmlns:a16="http://schemas.microsoft.com/office/drawing/2014/main" id="{00000000-0008-0000-0000-000095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3972" name="Button 2708" hidden="1">
              <a:extLst>
                <a:ext uri="{63B3BB69-23CF-44E3-9099-C40C66FF867C}">
                  <a14:compatExt spid="_x0000_s13972"/>
                </a:ext>
                <a:ext uri="{FF2B5EF4-FFF2-40B4-BE49-F238E27FC236}">
                  <a16:creationId xmlns:a16="http://schemas.microsoft.com/office/drawing/2014/main" id="{00000000-0008-0000-0000-000094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3971" name="Button 2707" hidden="1">
              <a:extLst>
                <a:ext uri="{63B3BB69-23CF-44E3-9099-C40C66FF867C}">
                  <a14:compatExt spid="_x0000_s13971"/>
                </a:ext>
                <a:ext uri="{FF2B5EF4-FFF2-40B4-BE49-F238E27FC236}">
                  <a16:creationId xmlns:a16="http://schemas.microsoft.com/office/drawing/2014/main" id="{00000000-0008-0000-0000-000093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3970" name="Button 2706" hidden="1">
              <a:extLst>
                <a:ext uri="{63B3BB69-23CF-44E3-9099-C40C66FF867C}">
                  <a14:compatExt spid="_x0000_s13970"/>
                </a:ext>
                <a:ext uri="{FF2B5EF4-FFF2-40B4-BE49-F238E27FC236}">
                  <a16:creationId xmlns:a16="http://schemas.microsoft.com/office/drawing/2014/main" id="{00000000-0008-0000-0000-000092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3969" name="Button 2705" hidden="1">
              <a:extLst>
                <a:ext uri="{63B3BB69-23CF-44E3-9099-C40C66FF867C}">
                  <a14:compatExt spid="_x0000_s13969"/>
                </a:ext>
                <a:ext uri="{FF2B5EF4-FFF2-40B4-BE49-F238E27FC236}">
                  <a16:creationId xmlns:a16="http://schemas.microsoft.com/office/drawing/2014/main" id="{00000000-0008-0000-0000-000091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3968" name="Button 2704" hidden="1">
              <a:extLst>
                <a:ext uri="{63B3BB69-23CF-44E3-9099-C40C66FF867C}">
                  <a14:compatExt spid="_x0000_s13968"/>
                </a:ext>
                <a:ext uri="{FF2B5EF4-FFF2-40B4-BE49-F238E27FC236}">
                  <a16:creationId xmlns:a16="http://schemas.microsoft.com/office/drawing/2014/main" id="{00000000-0008-0000-0000-000090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3967" name="Button 2703" hidden="1">
              <a:extLst>
                <a:ext uri="{63B3BB69-23CF-44E3-9099-C40C66FF867C}">
                  <a14:compatExt spid="_x0000_s13967"/>
                </a:ext>
                <a:ext uri="{FF2B5EF4-FFF2-40B4-BE49-F238E27FC236}">
                  <a16:creationId xmlns:a16="http://schemas.microsoft.com/office/drawing/2014/main" id="{00000000-0008-0000-0000-00008F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3966" name="Button 2702" hidden="1">
              <a:extLst>
                <a:ext uri="{63B3BB69-23CF-44E3-9099-C40C66FF867C}">
                  <a14:compatExt spid="_x0000_s13966"/>
                </a:ext>
                <a:ext uri="{FF2B5EF4-FFF2-40B4-BE49-F238E27FC236}">
                  <a16:creationId xmlns:a16="http://schemas.microsoft.com/office/drawing/2014/main" id="{00000000-0008-0000-0000-00008E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3965" name="Button 2701" hidden="1">
              <a:extLst>
                <a:ext uri="{63B3BB69-23CF-44E3-9099-C40C66FF867C}">
                  <a14:compatExt spid="_x0000_s13965"/>
                </a:ext>
                <a:ext uri="{FF2B5EF4-FFF2-40B4-BE49-F238E27FC236}">
                  <a16:creationId xmlns:a16="http://schemas.microsoft.com/office/drawing/2014/main" id="{00000000-0008-0000-0000-00008D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3964" name="Button 2700" hidden="1">
              <a:extLst>
                <a:ext uri="{63B3BB69-23CF-44E3-9099-C40C66FF867C}">
                  <a14:compatExt spid="_x0000_s13964"/>
                </a:ext>
                <a:ext uri="{FF2B5EF4-FFF2-40B4-BE49-F238E27FC236}">
                  <a16:creationId xmlns:a16="http://schemas.microsoft.com/office/drawing/2014/main" id="{00000000-0008-0000-0000-00008C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3963" name="Button 2699" hidden="1">
              <a:extLst>
                <a:ext uri="{63B3BB69-23CF-44E3-9099-C40C66FF867C}">
                  <a14:compatExt spid="_x0000_s13963"/>
                </a:ext>
                <a:ext uri="{FF2B5EF4-FFF2-40B4-BE49-F238E27FC236}">
                  <a16:creationId xmlns:a16="http://schemas.microsoft.com/office/drawing/2014/main" id="{00000000-0008-0000-0000-00008B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3962" name="Button 2698" hidden="1">
              <a:extLst>
                <a:ext uri="{63B3BB69-23CF-44E3-9099-C40C66FF867C}">
                  <a14:compatExt spid="_x0000_s13962"/>
                </a:ext>
                <a:ext uri="{FF2B5EF4-FFF2-40B4-BE49-F238E27FC236}">
                  <a16:creationId xmlns:a16="http://schemas.microsoft.com/office/drawing/2014/main" id="{00000000-0008-0000-0000-00008A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3961" name="Button 2697" hidden="1">
              <a:extLst>
                <a:ext uri="{63B3BB69-23CF-44E3-9099-C40C66FF867C}">
                  <a14:compatExt spid="_x0000_s13961"/>
                </a:ext>
                <a:ext uri="{FF2B5EF4-FFF2-40B4-BE49-F238E27FC236}">
                  <a16:creationId xmlns:a16="http://schemas.microsoft.com/office/drawing/2014/main" id="{00000000-0008-0000-0000-000089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3960" name="Button 2696" hidden="1">
              <a:extLst>
                <a:ext uri="{63B3BB69-23CF-44E3-9099-C40C66FF867C}">
                  <a14:compatExt spid="_x0000_s13960"/>
                </a:ext>
                <a:ext uri="{FF2B5EF4-FFF2-40B4-BE49-F238E27FC236}">
                  <a16:creationId xmlns:a16="http://schemas.microsoft.com/office/drawing/2014/main" id="{00000000-0008-0000-0000-000088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3959" name="Button 2695" hidden="1">
              <a:extLst>
                <a:ext uri="{63B3BB69-23CF-44E3-9099-C40C66FF867C}">
                  <a14:compatExt spid="_x0000_s13959"/>
                </a:ext>
                <a:ext uri="{FF2B5EF4-FFF2-40B4-BE49-F238E27FC236}">
                  <a16:creationId xmlns:a16="http://schemas.microsoft.com/office/drawing/2014/main" id="{00000000-0008-0000-0000-000087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3958" name="Button 2694" hidden="1">
              <a:extLst>
                <a:ext uri="{63B3BB69-23CF-44E3-9099-C40C66FF867C}">
                  <a14:compatExt spid="_x0000_s13958"/>
                </a:ext>
                <a:ext uri="{FF2B5EF4-FFF2-40B4-BE49-F238E27FC236}">
                  <a16:creationId xmlns:a16="http://schemas.microsoft.com/office/drawing/2014/main" id="{00000000-0008-0000-0000-000086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3957" name="Button 2693" hidden="1">
              <a:extLst>
                <a:ext uri="{63B3BB69-23CF-44E3-9099-C40C66FF867C}">
                  <a14:compatExt spid="_x0000_s13957"/>
                </a:ext>
                <a:ext uri="{FF2B5EF4-FFF2-40B4-BE49-F238E27FC236}">
                  <a16:creationId xmlns:a16="http://schemas.microsoft.com/office/drawing/2014/main" id="{00000000-0008-0000-0000-000085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3956" name="Button 2692" hidden="1">
              <a:extLst>
                <a:ext uri="{63B3BB69-23CF-44E3-9099-C40C66FF867C}">
                  <a14:compatExt spid="_x0000_s13956"/>
                </a:ext>
                <a:ext uri="{FF2B5EF4-FFF2-40B4-BE49-F238E27FC236}">
                  <a16:creationId xmlns:a16="http://schemas.microsoft.com/office/drawing/2014/main" id="{00000000-0008-0000-0000-000084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3955" name="Button 2691" hidden="1">
              <a:extLst>
                <a:ext uri="{63B3BB69-23CF-44E3-9099-C40C66FF867C}">
                  <a14:compatExt spid="_x0000_s13955"/>
                </a:ext>
                <a:ext uri="{FF2B5EF4-FFF2-40B4-BE49-F238E27FC236}">
                  <a16:creationId xmlns:a16="http://schemas.microsoft.com/office/drawing/2014/main" id="{00000000-0008-0000-0000-000083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3954" name="Button 2690" hidden="1">
              <a:extLst>
                <a:ext uri="{63B3BB69-23CF-44E3-9099-C40C66FF867C}">
                  <a14:compatExt spid="_x0000_s13954"/>
                </a:ext>
                <a:ext uri="{FF2B5EF4-FFF2-40B4-BE49-F238E27FC236}">
                  <a16:creationId xmlns:a16="http://schemas.microsoft.com/office/drawing/2014/main" id="{00000000-0008-0000-0000-000082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3953" name="Button 2689" hidden="1">
              <a:extLst>
                <a:ext uri="{63B3BB69-23CF-44E3-9099-C40C66FF867C}">
                  <a14:compatExt spid="_x0000_s13953"/>
                </a:ext>
                <a:ext uri="{FF2B5EF4-FFF2-40B4-BE49-F238E27FC236}">
                  <a16:creationId xmlns:a16="http://schemas.microsoft.com/office/drawing/2014/main" id="{00000000-0008-0000-0000-000081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3952" name="Button 2688" hidden="1">
              <a:extLst>
                <a:ext uri="{63B3BB69-23CF-44E3-9099-C40C66FF867C}">
                  <a14:compatExt spid="_x0000_s13952"/>
                </a:ext>
                <a:ext uri="{FF2B5EF4-FFF2-40B4-BE49-F238E27FC236}">
                  <a16:creationId xmlns:a16="http://schemas.microsoft.com/office/drawing/2014/main" id="{00000000-0008-0000-0000-000080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3951" name="Button 2687" hidden="1">
              <a:extLst>
                <a:ext uri="{63B3BB69-23CF-44E3-9099-C40C66FF867C}">
                  <a14:compatExt spid="_x0000_s13951"/>
                </a:ext>
                <a:ext uri="{FF2B5EF4-FFF2-40B4-BE49-F238E27FC236}">
                  <a16:creationId xmlns:a16="http://schemas.microsoft.com/office/drawing/2014/main" id="{00000000-0008-0000-0000-00007F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3950" name="Button 2686" hidden="1">
              <a:extLst>
                <a:ext uri="{63B3BB69-23CF-44E3-9099-C40C66FF867C}">
                  <a14:compatExt spid="_x0000_s13950"/>
                </a:ext>
                <a:ext uri="{FF2B5EF4-FFF2-40B4-BE49-F238E27FC236}">
                  <a16:creationId xmlns:a16="http://schemas.microsoft.com/office/drawing/2014/main" id="{00000000-0008-0000-0000-00007E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3949" name="Button 2685" hidden="1">
              <a:extLst>
                <a:ext uri="{63B3BB69-23CF-44E3-9099-C40C66FF867C}">
                  <a14:compatExt spid="_x0000_s13949"/>
                </a:ext>
                <a:ext uri="{FF2B5EF4-FFF2-40B4-BE49-F238E27FC236}">
                  <a16:creationId xmlns:a16="http://schemas.microsoft.com/office/drawing/2014/main" id="{00000000-0008-0000-0000-00007D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3948" name="Button 2684" hidden="1">
              <a:extLst>
                <a:ext uri="{63B3BB69-23CF-44E3-9099-C40C66FF867C}">
                  <a14:compatExt spid="_x0000_s13948"/>
                </a:ext>
                <a:ext uri="{FF2B5EF4-FFF2-40B4-BE49-F238E27FC236}">
                  <a16:creationId xmlns:a16="http://schemas.microsoft.com/office/drawing/2014/main" id="{00000000-0008-0000-0000-00007C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3947" name="Button 2683" hidden="1">
              <a:extLst>
                <a:ext uri="{63B3BB69-23CF-44E3-9099-C40C66FF867C}">
                  <a14:compatExt spid="_x0000_s13947"/>
                </a:ext>
                <a:ext uri="{FF2B5EF4-FFF2-40B4-BE49-F238E27FC236}">
                  <a16:creationId xmlns:a16="http://schemas.microsoft.com/office/drawing/2014/main" id="{00000000-0008-0000-0000-00007B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3946" name="Button 2682" hidden="1">
              <a:extLst>
                <a:ext uri="{63B3BB69-23CF-44E3-9099-C40C66FF867C}">
                  <a14:compatExt spid="_x0000_s13946"/>
                </a:ext>
                <a:ext uri="{FF2B5EF4-FFF2-40B4-BE49-F238E27FC236}">
                  <a16:creationId xmlns:a16="http://schemas.microsoft.com/office/drawing/2014/main" id="{00000000-0008-0000-0000-00007A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3945" name="Button 2681" hidden="1">
              <a:extLst>
                <a:ext uri="{63B3BB69-23CF-44E3-9099-C40C66FF867C}">
                  <a14:compatExt spid="_x0000_s13945"/>
                </a:ext>
                <a:ext uri="{FF2B5EF4-FFF2-40B4-BE49-F238E27FC236}">
                  <a16:creationId xmlns:a16="http://schemas.microsoft.com/office/drawing/2014/main" id="{00000000-0008-0000-0000-000079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3944" name="Button 2680" hidden="1">
              <a:extLst>
                <a:ext uri="{63B3BB69-23CF-44E3-9099-C40C66FF867C}">
                  <a14:compatExt spid="_x0000_s13944"/>
                </a:ext>
                <a:ext uri="{FF2B5EF4-FFF2-40B4-BE49-F238E27FC236}">
                  <a16:creationId xmlns:a16="http://schemas.microsoft.com/office/drawing/2014/main" id="{00000000-0008-0000-0000-000078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3943" name="Button 2679" hidden="1">
              <a:extLst>
                <a:ext uri="{63B3BB69-23CF-44E3-9099-C40C66FF867C}">
                  <a14:compatExt spid="_x0000_s13943"/>
                </a:ext>
                <a:ext uri="{FF2B5EF4-FFF2-40B4-BE49-F238E27FC236}">
                  <a16:creationId xmlns:a16="http://schemas.microsoft.com/office/drawing/2014/main" id="{00000000-0008-0000-0000-000077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3942" name="Button 2678" hidden="1">
              <a:extLst>
                <a:ext uri="{63B3BB69-23CF-44E3-9099-C40C66FF867C}">
                  <a14:compatExt spid="_x0000_s13942"/>
                </a:ext>
                <a:ext uri="{FF2B5EF4-FFF2-40B4-BE49-F238E27FC236}">
                  <a16:creationId xmlns:a16="http://schemas.microsoft.com/office/drawing/2014/main" id="{00000000-0008-0000-0000-000076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3941" name="Button 2677" hidden="1">
              <a:extLst>
                <a:ext uri="{63B3BB69-23CF-44E3-9099-C40C66FF867C}">
                  <a14:compatExt spid="_x0000_s13941"/>
                </a:ext>
                <a:ext uri="{FF2B5EF4-FFF2-40B4-BE49-F238E27FC236}">
                  <a16:creationId xmlns:a16="http://schemas.microsoft.com/office/drawing/2014/main" id="{00000000-0008-0000-0000-000075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3940" name="Button 2676" hidden="1">
              <a:extLst>
                <a:ext uri="{63B3BB69-23CF-44E3-9099-C40C66FF867C}">
                  <a14:compatExt spid="_x0000_s13940"/>
                </a:ext>
                <a:ext uri="{FF2B5EF4-FFF2-40B4-BE49-F238E27FC236}">
                  <a16:creationId xmlns:a16="http://schemas.microsoft.com/office/drawing/2014/main" id="{00000000-0008-0000-0000-000074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3939" name="Button 2675" hidden="1">
              <a:extLst>
                <a:ext uri="{63B3BB69-23CF-44E3-9099-C40C66FF867C}">
                  <a14:compatExt spid="_x0000_s13939"/>
                </a:ext>
                <a:ext uri="{FF2B5EF4-FFF2-40B4-BE49-F238E27FC236}">
                  <a16:creationId xmlns:a16="http://schemas.microsoft.com/office/drawing/2014/main" id="{00000000-0008-0000-0000-000073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3938" name="Button 2674" hidden="1">
              <a:extLst>
                <a:ext uri="{63B3BB69-23CF-44E3-9099-C40C66FF867C}">
                  <a14:compatExt spid="_x0000_s13938"/>
                </a:ext>
                <a:ext uri="{FF2B5EF4-FFF2-40B4-BE49-F238E27FC236}">
                  <a16:creationId xmlns:a16="http://schemas.microsoft.com/office/drawing/2014/main" id="{00000000-0008-0000-0000-000072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 textlink="">
          <xdr:nvSpPr>
            <xdr:cNvPr id="13937" name="Button 2673" hidden="1">
              <a:extLst>
                <a:ext uri="{63B3BB69-23CF-44E3-9099-C40C66FF867C}">
                  <a14:compatExt spid="_x0000_s13937"/>
                </a:ext>
                <a:ext uri="{FF2B5EF4-FFF2-40B4-BE49-F238E27FC236}">
                  <a16:creationId xmlns:a16="http://schemas.microsoft.com/office/drawing/2014/main" id="{00000000-0008-0000-0000-000071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38100</xdr:rowOff>
        </xdr:to>
        <xdr:sp macro="" textlink="">
          <xdr:nvSpPr>
            <xdr:cNvPr id="13936" name="Button 2672" hidden="1">
              <a:extLst>
                <a:ext uri="{63B3BB69-23CF-44E3-9099-C40C66FF867C}">
                  <a14:compatExt spid="_x0000_s13936"/>
                </a:ext>
                <a:ext uri="{FF2B5EF4-FFF2-40B4-BE49-F238E27FC236}">
                  <a16:creationId xmlns:a16="http://schemas.microsoft.com/office/drawing/2014/main" id="{00000000-0008-0000-0000-000070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3935" name="Button 2671" hidden="1">
              <a:extLst>
                <a:ext uri="{63B3BB69-23CF-44E3-9099-C40C66FF867C}">
                  <a14:compatExt spid="_x0000_s13935"/>
                </a:ext>
                <a:ext uri="{FF2B5EF4-FFF2-40B4-BE49-F238E27FC236}">
                  <a16:creationId xmlns:a16="http://schemas.microsoft.com/office/drawing/2014/main" id="{00000000-0008-0000-0000-00006F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3934" name="Button 2670" hidden="1">
              <a:extLst>
                <a:ext uri="{63B3BB69-23CF-44E3-9099-C40C66FF867C}">
                  <a14:compatExt spid="_x0000_s13934"/>
                </a:ext>
                <a:ext uri="{FF2B5EF4-FFF2-40B4-BE49-F238E27FC236}">
                  <a16:creationId xmlns:a16="http://schemas.microsoft.com/office/drawing/2014/main" id="{00000000-0008-0000-0000-00006E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3933" name="Button 2669" hidden="1">
              <a:extLst>
                <a:ext uri="{63B3BB69-23CF-44E3-9099-C40C66FF867C}">
                  <a14:compatExt spid="_x0000_s13933"/>
                </a:ext>
                <a:ext uri="{FF2B5EF4-FFF2-40B4-BE49-F238E27FC236}">
                  <a16:creationId xmlns:a16="http://schemas.microsoft.com/office/drawing/2014/main" id="{00000000-0008-0000-0000-00006D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3932" name="Button 2668" hidden="1">
              <a:extLst>
                <a:ext uri="{63B3BB69-23CF-44E3-9099-C40C66FF867C}">
                  <a14:compatExt spid="_x0000_s13932"/>
                </a:ext>
                <a:ext uri="{FF2B5EF4-FFF2-40B4-BE49-F238E27FC236}">
                  <a16:creationId xmlns:a16="http://schemas.microsoft.com/office/drawing/2014/main" id="{00000000-0008-0000-0000-00006C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3931" name="Button 2667" hidden="1">
              <a:extLst>
                <a:ext uri="{63B3BB69-23CF-44E3-9099-C40C66FF867C}">
                  <a14:compatExt spid="_x0000_s13931"/>
                </a:ext>
                <a:ext uri="{FF2B5EF4-FFF2-40B4-BE49-F238E27FC236}">
                  <a16:creationId xmlns:a16="http://schemas.microsoft.com/office/drawing/2014/main" id="{00000000-0008-0000-0000-00006B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3930" name="Button 2666" hidden="1">
              <a:extLst>
                <a:ext uri="{63B3BB69-23CF-44E3-9099-C40C66FF867C}">
                  <a14:compatExt spid="_x0000_s13930"/>
                </a:ext>
                <a:ext uri="{FF2B5EF4-FFF2-40B4-BE49-F238E27FC236}">
                  <a16:creationId xmlns:a16="http://schemas.microsoft.com/office/drawing/2014/main" id="{00000000-0008-0000-0000-00006A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3929" name="Button 2665" hidden="1">
              <a:extLst>
                <a:ext uri="{63B3BB69-23CF-44E3-9099-C40C66FF867C}">
                  <a14:compatExt spid="_x0000_s13929"/>
                </a:ext>
                <a:ext uri="{FF2B5EF4-FFF2-40B4-BE49-F238E27FC236}">
                  <a16:creationId xmlns:a16="http://schemas.microsoft.com/office/drawing/2014/main" id="{00000000-0008-0000-0000-000069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3928" name="Button 2664" hidden="1">
              <a:extLst>
                <a:ext uri="{63B3BB69-23CF-44E3-9099-C40C66FF867C}">
                  <a14:compatExt spid="_x0000_s13928"/>
                </a:ext>
                <a:ext uri="{FF2B5EF4-FFF2-40B4-BE49-F238E27FC236}">
                  <a16:creationId xmlns:a16="http://schemas.microsoft.com/office/drawing/2014/main" id="{00000000-0008-0000-0000-000068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3927" name="Button 2663" hidden="1">
              <a:extLst>
                <a:ext uri="{63B3BB69-23CF-44E3-9099-C40C66FF867C}">
                  <a14:compatExt spid="_x0000_s13927"/>
                </a:ext>
                <a:ext uri="{FF2B5EF4-FFF2-40B4-BE49-F238E27FC236}">
                  <a16:creationId xmlns:a16="http://schemas.microsoft.com/office/drawing/2014/main" id="{00000000-0008-0000-0000-000067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3926" name="Button 2662" hidden="1">
              <a:extLst>
                <a:ext uri="{63B3BB69-23CF-44E3-9099-C40C66FF867C}">
                  <a14:compatExt spid="_x0000_s13926"/>
                </a:ext>
                <a:ext uri="{FF2B5EF4-FFF2-40B4-BE49-F238E27FC236}">
                  <a16:creationId xmlns:a16="http://schemas.microsoft.com/office/drawing/2014/main" id="{00000000-0008-0000-0000-000066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396</xdr:row>
          <xdr:rowOff>0</xdr:rowOff>
        </xdr:to>
        <xdr:sp macro="" textlink="">
          <xdr:nvSpPr>
            <xdr:cNvPr id="13925" name="Button 2661" hidden="1">
              <a:extLst>
                <a:ext uri="{63B3BB69-23CF-44E3-9099-C40C66FF867C}">
                  <a14:compatExt spid="_x0000_s13925"/>
                </a:ext>
                <a:ext uri="{FF2B5EF4-FFF2-40B4-BE49-F238E27FC236}">
                  <a16:creationId xmlns:a16="http://schemas.microsoft.com/office/drawing/2014/main" id="{00000000-0008-0000-0000-000065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38100</xdr:rowOff>
        </xdr:to>
        <xdr:sp macro="" textlink="">
          <xdr:nvSpPr>
            <xdr:cNvPr id="13924" name="Button 2660" hidden="1">
              <a:extLst>
                <a:ext uri="{63B3BB69-23CF-44E3-9099-C40C66FF867C}">
                  <a14:compatExt spid="_x0000_s13924"/>
                </a:ext>
                <a:ext uri="{FF2B5EF4-FFF2-40B4-BE49-F238E27FC236}">
                  <a16:creationId xmlns:a16="http://schemas.microsoft.com/office/drawing/2014/main" id="{00000000-0008-0000-0000-000064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3923" name="Button 2659" hidden="1">
              <a:extLst>
                <a:ext uri="{63B3BB69-23CF-44E3-9099-C40C66FF867C}">
                  <a14:compatExt spid="_x0000_s13923"/>
                </a:ext>
                <a:ext uri="{FF2B5EF4-FFF2-40B4-BE49-F238E27FC236}">
                  <a16:creationId xmlns:a16="http://schemas.microsoft.com/office/drawing/2014/main" id="{00000000-0008-0000-0000-000063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3922" name="Button 2658" hidden="1">
              <a:extLst>
                <a:ext uri="{63B3BB69-23CF-44E3-9099-C40C66FF867C}">
                  <a14:compatExt spid="_x0000_s13922"/>
                </a:ext>
                <a:ext uri="{FF2B5EF4-FFF2-40B4-BE49-F238E27FC236}">
                  <a16:creationId xmlns:a16="http://schemas.microsoft.com/office/drawing/2014/main" id="{00000000-0008-0000-0000-000062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3921" name="Button 2657" hidden="1">
              <a:extLst>
                <a:ext uri="{63B3BB69-23CF-44E3-9099-C40C66FF867C}">
                  <a14:compatExt spid="_x0000_s13921"/>
                </a:ext>
                <a:ext uri="{FF2B5EF4-FFF2-40B4-BE49-F238E27FC236}">
                  <a16:creationId xmlns:a16="http://schemas.microsoft.com/office/drawing/2014/main" id="{00000000-0008-0000-0000-000061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3920" name="Button 2656" hidden="1">
              <a:extLst>
                <a:ext uri="{63B3BB69-23CF-44E3-9099-C40C66FF867C}">
                  <a14:compatExt spid="_x0000_s13920"/>
                </a:ext>
                <a:ext uri="{FF2B5EF4-FFF2-40B4-BE49-F238E27FC236}">
                  <a16:creationId xmlns:a16="http://schemas.microsoft.com/office/drawing/2014/main" id="{00000000-0008-0000-0000-000060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3919" name="Button 2655" hidden="1">
              <a:extLst>
                <a:ext uri="{63B3BB69-23CF-44E3-9099-C40C66FF867C}">
                  <a14:compatExt spid="_x0000_s13919"/>
                </a:ext>
                <a:ext uri="{FF2B5EF4-FFF2-40B4-BE49-F238E27FC236}">
                  <a16:creationId xmlns:a16="http://schemas.microsoft.com/office/drawing/2014/main" id="{00000000-0008-0000-0000-00005F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3918" name="Button 2654" hidden="1">
              <a:extLst>
                <a:ext uri="{63B3BB69-23CF-44E3-9099-C40C66FF867C}">
                  <a14:compatExt spid="_x0000_s13918"/>
                </a:ext>
                <a:ext uri="{FF2B5EF4-FFF2-40B4-BE49-F238E27FC236}">
                  <a16:creationId xmlns:a16="http://schemas.microsoft.com/office/drawing/2014/main" id="{00000000-0008-0000-0000-00005E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3917" name="Button 2653" hidden="1">
              <a:extLst>
                <a:ext uri="{63B3BB69-23CF-44E3-9099-C40C66FF867C}">
                  <a14:compatExt spid="_x0000_s13917"/>
                </a:ext>
                <a:ext uri="{FF2B5EF4-FFF2-40B4-BE49-F238E27FC236}">
                  <a16:creationId xmlns:a16="http://schemas.microsoft.com/office/drawing/2014/main" id="{00000000-0008-0000-0000-00005D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3916" name="Button 2652" hidden="1">
              <a:extLst>
                <a:ext uri="{63B3BB69-23CF-44E3-9099-C40C66FF867C}">
                  <a14:compatExt spid="_x0000_s13916"/>
                </a:ext>
                <a:ext uri="{FF2B5EF4-FFF2-40B4-BE49-F238E27FC236}">
                  <a16:creationId xmlns:a16="http://schemas.microsoft.com/office/drawing/2014/main" id="{00000000-0008-0000-0000-00005C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3915" name="Button 2651" hidden="1">
              <a:extLst>
                <a:ext uri="{63B3BB69-23CF-44E3-9099-C40C66FF867C}">
                  <a14:compatExt spid="_x0000_s13915"/>
                </a:ext>
                <a:ext uri="{FF2B5EF4-FFF2-40B4-BE49-F238E27FC236}">
                  <a16:creationId xmlns:a16="http://schemas.microsoft.com/office/drawing/2014/main" id="{00000000-0008-0000-0000-00005B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3914" name="Button 2650" hidden="1">
              <a:extLst>
                <a:ext uri="{63B3BB69-23CF-44E3-9099-C40C66FF867C}">
                  <a14:compatExt spid="_x0000_s13914"/>
                </a:ext>
                <a:ext uri="{FF2B5EF4-FFF2-40B4-BE49-F238E27FC236}">
                  <a16:creationId xmlns:a16="http://schemas.microsoft.com/office/drawing/2014/main" id="{00000000-0008-0000-0000-00005A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3913" name="Button 2649" hidden="1">
              <a:extLst>
                <a:ext uri="{63B3BB69-23CF-44E3-9099-C40C66FF867C}">
                  <a14:compatExt spid="_x0000_s13913"/>
                </a:ext>
                <a:ext uri="{FF2B5EF4-FFF2-40B4-BE49-F238E27FC236}">
                  <a16:creationId xmlns:a16="http://schemas.microsoft.com/office/drawing/2014/main" id="{00000000-0008-0000-0000-000059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3912" name="Button 2648" hidden="1">
              <a:extLst>
                <a:ext uri="{63B3BB69-23CF-44E3-9099-C40C66FF867C}">
                  <a14:compatExt spid="_x0000_s13912"/>
                </a:ext>
                <a:ext uri="{FF2B5EF4-FFF2-40B4-BE49-F238E27FC236}">
                  <a16:creationId xmlns:a16="http://schemas.microsoft.com/office/drawing/2014/main" id="{00000000-0008-0000-0000-000058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3911" name="Button 2647" hidden="1">
              <a:extLst>
                <a:ext uri="{63B3BB69-23CF-44E3-9099-C40C66FF867C}">
                  <a14:compatExt spid="_x0000_s13911"/>
                </a:ext>
                <a:ext uri="{FF2B5EF4-FFF2-40B4-BE49-F238E27FC236}">
                  <a16:creationId xmlns:a16="http://schemas.microsoft.com/office/drawing/2014/main" id="{00000000-0008-0000-0000-000057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3910" name="Button 2646" hidden="1">
              <a:extLst>
                <a:ext uri="{63B3BB69-23CF-44E3-9099-C40C66FF867C}">
                  <a14:compatExt spid="_x0000_s13910"/>
                </a:ext>
                <a:ext uri="{FF2B5EF4-FFF2-40B4-BE49-F238E27FC236}">
                  <a16:creationId xmlns:a16="http://schemas.microsoft.com/office/drawing/2014/main" id="{00000000-0008-0000-0000-000056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3909" name="Button 2645" hidden="1">
              <a:extLst>
                <a:ext uri="{63B3BB69-23CF-44E3-9099-C40C66FF867C}">
                  <a14:compatExt spid="_x0000_s13909"/>
                </a:ext>
                <a:ext uri="{FF2B5EF4-FFF2-40B4-BE49-F238E27FC236}">
                  <a16:creationId xmlns:a16="http://schemas.microsoft.com/office/drawing/2014/main" id="{00000000-0008-0000-0000-000055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3908" name="Button 2644" hidden="1">
              <a:extLst>
                <a:ext uri="{63B3BB69-23CF-44E3-9099-C40C66FF867C}">
                  <a14:compatExt spid="_x0000_s13908"/>
                </a:ext>
                <a:ext uri="{FF2B5EF4-FFF2-40B4-BE49-F238E27FC236}">
                  <a16:creationId xmlns:a16="http://schemas.microsoft.com/office/drawing/2014/main" id="{00000000-0008-0000-0000-000054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3907" name="Button 2643" hidden="1">
              <a:extLst>
                <a:ext uri="{63B3BB69-23CF-44E3-9099-C40C66FF867C}">
                  <a14:compatExt spid="_x0000_s13907"/>
                </a:ext>
                <a:ext uri="{FF2B5EF4-FFF2-40B4-BE49-F238E27FC236}">
                  <a16:creationId xmlns:a16="http://schemas.microsoft.com/office/drawing/2014/main" id="{00000000-0008-0000-0000-000053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3906" name="Button 2642" hidden="1">
              <a:extLst>
                <a:ext uri="{63B3BB69-23CF-44E3-9099-C40C66FF867C}">
                  <a14:compatExt spid="_x0000_s13906"/>
                </a:ext>
                <a:ext uri="{FF2B5EF4-FFF2-40B4-BE49-F238E27FC236}">
                  <a16:creationId xmlns:a16="http://schemas.microsoft.com/office/drawing/2014/main" id="{00000000-0008-0000-0000-000052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3905" name="Button 2641" hidden="1">
              <a:extLst>
                <a:ext uri="{63B3BB69-23CF-44E3-9099-C40C66FF867C}">
                  <a14:compatExt spid="_x0000_s13905"/>
                </a:ext>
                <a:ext uri="{FF2B5EF4-FFF2-40B4-BE49-F238E27FC236}">
                  <a16:creationId xmlns:a16="http://schemas.microsoft.com/office/drawing/2014/main" id="{00000000-0008-0000-0000-000051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3904" name="Button 2640" hidden="1">
              <a:extLst>
                <a:ext uri="{63B3BB69-23CF-44E3-9099-C40C66FF867C}">
                  <a14:compatExt spid="_x0000_s13904"/>
                </a:ext>
                <a:ext uri="{FF2B5EF4-FFF2-40B4-BE49-F238E27FC236}">
                  <a16:creationId xmlns:a16="http://schemas.microsoft.com/office/drawing/2014/main" id="{00000000-0008-0000-0000-000050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3903" name="Button 2639" hidden="1">
              <a:extLst>
                <a:ext uri="{63B3BB69-23CF-44E3-9099-C40C66FF867C}">
                  <a14:compatExt spid="_x0000_s13903"/>
                </a:ext>
                <a:ext uri="{FF2B5EF4-FFF2-40B4-BE49-F238E27FC236}">
                  <a16:creationId xmlns:a16="http://schemas.microsoft.com/office/drawing/2014/main" id="{00000000-0008-0000-0000-00004F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3902" name="Button 2638" hidden="1">
              <a:extLst>
                <a:ext uri="{63B3BB69-23CF-44E3-9099-C40C66FF867C}">
                  <a14:compatExt spid="_x0000_s13902"/>
                </a:ext>
                <a:ext uri="{FF2B5EF4-FFF2-40B4-BE49-F238E27FC236}">
                  <a16:creationId xmlns:a16="http://schemas.microsoft.com/office/drawing/2014/main" id="{00000000-0008-0000-0000-00004E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3901" name="Button 2637" hidden="1">
              <a:extLst>
                <a:ext uri="{63B3BB69-23CF-44E3-9099-C40C66FF867C}">
                  <a14:compatExt spid="_x0000_s13901"/>
                </a:ext>
                <a:ext uri="{FF2B5EF4-FFF2-40B4-BE49-F238E27FC236}">
                  <a16:creationId xmlns:a16="http://schemas.microsoft.com/office/drawing/2014/main" id="{00000000-0008-0000-0000-00004D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3900" name="Button 2636" hidden="1">
              <a:extLst>
                <a:ext uri="{63B3BB69-23CF-44E3-9099-C40C66FF867C}">
                  <a14:compatExt spid="_x0000_s13900"/>
                </a:ext>
                <a:ext uri="{FF2B5EF4-FFF2-40B4-BE49-F238E27FC236}">
                  <a16:creationId xmlns:a16="http://schemas.microsoft.com/office/drawing/2014/main" id="{00000000-0008-0000-0000-00004C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3899" name="Button 2635" hidden="1">
              <a:extLst>
                <a:ext uri="{63B3BB69-23CF-44E3-9099-C40C66FF867C}">
                  <a14:compatExt spid="_x0000_s13899"/>
                </a:ext>
                <a:ext uri="{FF2B5EF4-FFF2-40B4-BE49-F238E27FC236}">
                  <a16:creationId xmlns:a16="http://schemas.microsoft.com/office/drawing/2014/main" id="{00000000-0008-0000-0000-00004B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3898" name="Button 2634" hidden="1">
              <a:extLst>
                <a:ext uri="{63B3BB69-23CF-44E3-9099-C40C66FF867C}">
                  <a14:compatExt spid="_x0000_s13898"/>
                </a:ext>
                <a:ext uri="{FF2B5EF4-FFF2-40B4-BE49-F238E27FC236}">
                  <a16:creationId xmlns:a16="http://schemas.microsoft.com/office/drawing/2014/main" id="{00000000-0008-0000-0000-00004A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3897" name="Button 2633" hidden="1">
              <a:extLst>
                <a:ext uri="{63B3BB69-23CF-44E3-9099-C40C66FF867C}">
                  <a14:compatExt spid="_x0000_s13897"/>
                </a:ext>
                <a:ext uri="{FF2B5EF4-FFF2-40B4-BE49-F238E27FC236}">
                  <a16:creationId xmlns:a16="http://schemas.microsoft.com/office/drawing/2014/main" id="{00000000-0008-0000-0000-000049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3896" name="Button 2632" hidden="1">
              <a:extLst>
                <a:ext uri="{63B3BB69-23CF-44E3-9099-C40C66FF867C}">
                  <a14:compatExt spid="_x0000_s13896"/>
                </a:ext>
                <a:ext uri="{FF2B5EF4-FFF2-40B4-BE49-F238E27FC236}">
                  <a16:creationId xmlns:a16="http://schemas.microsoft.com/office/drawing/2014/main" id="{00000000-0008-0000-0000-000048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3895" name="Button 2631" hidden="1">
              <a:extLst>
                <a:ext uri="{63B3BB69-23CF-44E3-9099-C40C66FF867C}">
                  <a14:compatExt spid="_x0000_s13895"/>
                </a:ext>
                <a:ext uri="{FF2B5EF4-FFF2-40B4-BE49-F238E27FC236}">
                  <a16:creationId xmlns:a16="http://schemas.microsoft.com/office/drawing/2014/main" id="{00000000-0008-0000-0000-000047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3894" name="Button 2630" hidden="1">
              <a:extLst>
                <a:ext uri="{63B3BB69-23CF-44E3-9099-C40C66FF867C}">
                  <a14:compatExt spid="_x0000_s13894"/>
                </a:ext>
                <a:ext uri="{FF2B5EF4-FFF2-40B4-BE49-F238E27FC236}">
                  <a16:creationId xmlns:a16="http://schemas.microsoft.com/office/drawing/2014/main" id="{00000000-0008-0000-0000-000046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3893" name="Button 2629" hidden="1">
              <a:extLst>
                <a:ext uri="{63B3BB69-23CF-44E3-9099-C40C66FF867C}">
                  <a14:compatExt spid="_x0000_s13893"/>
                </a:ext>
                <a:ext uri="{FF2B5EF4-FFF2-40B4-BE49-F238E27FC236}">
                  <a16:creationId xmlns:a16="http://schemas.microsoft.com/office/drawing/2014/main" id="{00000000-0008-0000-0000-000045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437</xdr:row>
          <xdr:rowOff>0</xdr:rowOff>
        </xdr:to>
        <xdr:sp macro="" textlink="">
          <xdr:nvSpPr>
            <xdr:cNvPr id="13892" name="Button 2628" hidden="1">
              <a:extLst>
                <a:ext uri="{63B3BB69-23CF-44E3-9099-C40C66FF867C}">
                  <a14:compatExt spid="_x0000_s13892"/>
                </a:ext>
                <a:ext uri="{FF2B5EF4-FFF2-40B4-BE49-F238E27FC236}">
                  <a16:creationId xmlns:a16="http://schemas.microsoft.com/office/drawing/2014/main" id="{00000000-0008-0000-0000-000044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38100</xdr:rowOff>
        </xdr:to>
        <xdr:sp macro="" textlink="">
          <xdr:nvSpPr>
            <xdr:cNvPr id="13891" name="Button 2627" hidden="1">
              <a:extLst>
                <a:ext uri="{63B3BB69-23CF-44E3-9099-C40C66FF867C}">
                  <a14:compatExt spid="_x0000_s13891"/>
                </a:ext>
                <a:ext uri="{FF2B5EF4-FFF2-40B4-BE49-F238E27FC236}">
                  <a16:creationId xmlns:a16="http://schemas.microsoft.com/office/drawing/2014/main" id="{00000000-0008-0000-0000-000043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3890" name="Button 2626" hidden="1">
              <a:extLst>
                <a:ext uri="{63B3BB69-23CF-44E3-9099-C40C66FF867C}">
                  <a14:compatExt spid="_x0000_s13890"/>
                </a:ext>
                <a:ext uri="{FF2B5EF4-FFF2-40B4-BE49-F238E27FC236}">
                  <a16:creationId xmlns:a16="http://schemas.microsoft.com/office/drawing/2014/main" id="{00000000-0008-0000-0000-000042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3889" name="Button 2625" hidden="1">
              <a:extLst>
                <a:ext uri="{63B3BB69-23CF-44E3-9099-C40C66FF867C}">
                  <a14:compatExt spid="_x0000_s13889"/>
                </a:ext>
                <a:ext uri="{FF2B5EF4-FFF2-40B4-BE49-F238E27FC236}">
                  <a16:creationId xmlns:a16="http://schemas.microsoft.com/office/drawing/2014/main" id="{00000000-0008-0000-0000-000041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3888" name="Button 2624" hidden="1">
              <a:extLst>
                <a:ext uri="{63B3BB69-23CF-44E3-9099-C40C66FF867C}">
                  <a14:compatExt spid="_x0000_s13888"/>
                </a:ext>
                <a:ext uri="{FF2B5EF4-FFF2-40B4-BE49-F238E27FC236}">
                  <a16:creationId xmlns:a16="http://schemas.microsoft.com/office/drawing/2014/main" id="{00000000-0008-0000-0000-000040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3887" name="Button 2623" hidden="1">
              <a:extLst>
                <a:ext uri="{63B3BB69-23CF-44E3-9099-C40C66FF867C}">
                  <a14:compatExt spid="_x0000_s13887"/>
                </a:ext>
                <a:ext uri="{FF2B5EF4-FFF2-40B4-BE49-F238E27FC236}">
                  <a16:creationId xmlns:a16="http://schemas.microsoft.com/office/drawing/2014/main" id="{00000000-0008-0000-0000-00003F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3886" name="Button 2622" hidden="1">
              <a:extLst>
                <a:ext uri="{63B3BB69-23CF-44E3-9099-C40C66FF867C}">
                  <a14:compatExt spid="_x0000_s13886"/>
                </a:ext>
                <a:ext uri="{FF2B5EF4-FFF2-40B4-BE49-F238E27FC236}">
                  <a16:creationId xmlns:a16="http://schemas.microsoft.com/office/drawing/2014/main" id="{00000000-0008-0000-0000-00003E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3885" name="Button 2621" hidden="1">
              <a:extLst>
                <a:ext uri="{63B3BB69-23CF-44E3-9099-C40C66FF867C}">
                  <a14:compatExt spid="_x0000_s13885"/>
                </a:ext>
                <a:ext uri="{FF2B5EF4-FFF2-40B4-BE49-F238E27FC236}">
                  <a16:creationId xmlns:a16="http://schemas.microsoft.com/office/drawing/2014/main" id="{00000000-0008-0000-0000-00003D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3884" name="Button 2620" hidden="1">
              <a:extLst>
                <a:ext uri="{63B3BB69-23CF-44E3-9099-C40C66FF867C}">
                  <a14:compatExt spid="_x0000_s13884"/>
                </a:ext>
                <a:ext uri="{FF2B5EF4-FFF2-40B4-BE49-F238E27FC236}">
                  <a16:creationId xmlns:a16="http://schemas.microsoft.com/office/drawing/2014/main" id="{00000000-0008-0000-0000-00003C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3883" name="Button 2619" hidden="1">
              <a:extLst>
                <a:ext uri="{63B3BB69-23CF-44E3-9099-C40C66FF867C}">
                  <a14:compatExt spid="_x0000_s13883"/>
                </a:ext>
                <a:ext uri="{FF2B5EF4-FFF2-40B4-BE49-F238E27FC236}">
                  <a16:creationId xmlns:a16="http://schemas.microsoft.com/office/drawing/2014/main" id="{00000000-0008-0000-0000-00003B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3882" name="Button 2618" hidden="1">
              <a:extLst>
                <a:ext uri="{63B3BB69-23CF-44E3-9099-C40C66FF867C}">
                  <a14:compatExt spid="_x0000_s13882"/>
                </a:ext>
                <a:ext uri="{FF2B5EF4-FFF2-40B4-BE49-F238E27FC236}">
                  <a16:creationId xmlns:a16="http://schemas.microsoft.com/office/drawing/2014/main" id="{00000000-0008-0000-0000-00003A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3881" name="Button 2617" hidden="1">
              <a:extLst>
                <a:ext uri="{63B3BB69-23CF-44E3-9099-C40C66FF867C}">
                  <a14:compatExt spid="_x0000_s13881"/>
                </a:ext>
                <a:ext uri="{FF2B5EF4-FFF2-40B4-BE49-F238E27FC236}">
                  <a16:creationId xmlns:a16="http://schemas.microsoft.com/office/drawing/2014/main" id="{00000000-0008-0000-0000-000039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3880" name="Button 2616" hidden="1">
              <a:extLst>
                <a:ext uri="{63B3BB69-23CF-44E3-9099-C40C66FF867C}">
                  <a14:compatExt spid="_x0000_s13880"/>
                </a:ext>
                <a:ext uri="{FF2B5EF4-FFF2-40B4-BE49-F238E27FC236}">
                  <a16:creationId xmlns:a16="http://schemas.microsoft.com/office/drawing/2014/main" id="{00000000-0008-0000-0000-000038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3879" name="Button 2615" hidden="1">
              <a:extLst>
                <a:ext uri="{63B3BB69-23CF-44E3-9099-C40C66FF867C}">
                  <a14:compatExt spid="_x0000_s13879"/>
                </a:ext>
                <a:ext uri="{FF2B5EF4-FFF2-40B4-BE49-F238E27FC236}">
                  <a16:creationId xmlns:a16="http://schemas.microsoft.com/office/drawing/2014/main" id="{00000000-0008-0000-0000-000037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3878" name="Button 2614" hidden="1">
              <a:extLst>
                <a:ext uri="{63B3BB69-23CF-44E3-9099-C40C66FF867C}">
                  <a14:compatExt spid="_x0000_s13878"/>
                </a:ext>
                <a:ext uri="{FF2B5EF4-FFF2-40B4-BE49-F238E27FC236}">
                  <a16:creationId xmlns:a16="http://schemas.microsoft.com/office/drawing/2014/main" id="{00000000-0008-0000-0000-000036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3877" name="Button 2613" hidden="1">
              <a:extLst>
                <a:ext uri="{63B3BB69-23CF-44E3-9099-C40C66FF867C}">
                  <a14:compatExt spid="_x0000_s13877"/>
                </a:ext>
                <a:ext uri="{FF2B5EF4-FFF2-40B4-BE49-F238E27FC236}">
                  <a16:creationId xmlns:a16="http://schemas.microsoft.com/office/drawing/2014/main" id="{00000000-0008-0000-0000-000035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3876" name="Button 2612" hidden="1">
              <a:extLst>
                <a:ext uri="{63B3BB69-23CF-44E3-9099-C40C66FF867C}">
                  <a14:compatExt spid="_x0000_s13876"/>
                </a:ext>
                <a:ext uri="{FF2B5EF4-FFF2-40B4-BE49-F238E27FC236}">
                  <a16:creationId xmlns:a16="http://schemas.microsoft.com/office/drawing/2014/main" id="{00000000-0008-0000-0000-000034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161925</xdr:rowOff>
        </xdr:to>
        <xdr:sp macro="" textlink="">
          <xdr:nvSpPr>
            <xdr:cNvPr id="13875" name="Button 2611" hidden="1">
              <a:extLst>
                <a:ext uri="{63B3BB69-23CF-44E3-9099-C40C66FF867C}">
                  <a14:compatExt spid="_x0000_s13875"/>
                </a:ext>
                <a:ext uri="{FF2B5EF4-FFF2-40B4-BE49-F238E27FC236}">
                  <a16:creationId xmlns:a16="http://schemas.microsoft.com/office/drawing/2014/main" id="{00000000-0008-0000-0000-000033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3874" name="Button 2610" hidden="1">
              <a:extLst>
                <a:ext uri="{63B3BB69-23CF-44E3-9099-C40C66FF867C}">
                  <a14:compatExt spid="_x0000_s13874"/>
                </a:ext>
                <a:ext uri="{FF2B5EF4-FFF2-40B4-BE49-F238E27FC236}">
                  <a16:creationId xmlns:a16="http://schemas.microsoft.com/office/drawing/2014/main" id="{00000000-0008-0000-0000-000032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3873" name="Button 2609" hidden="1">
              <a:extLst>
                <a:ext uri="{63B3BB69-23CF-44E3-9099-C40C66FF867C}">
                  <a14:compatExt spid="_x0000_s13873"/>
                </a:ext>
                <a:ext uri="{FF2B5EF4-FFF2-40B4-BE49-F238E27FC236}">
                  <a16:creationId xmlns:a16="http://schemas.microsoft.com/office/drawing/2014/main" id="{00000000-0008-0000-0000-000031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3872" name="Button 2608" hidden="1">
              <a:extLst>
                <a:ext uri="{63B3BB69-23CF-44E3-9099-C40C66FF867C}">
                  <a14:compatExt spid="_x0000_s13872"/>
                </a:ext>
                <a:ext uri="{FF2B5EF4-FFF2-40B4-BE49-F238E27FC236}">
                  <a16:creationId xmlns:a16="http://schemas.microsoft.com/office/drawing/2014/main" id="{00000000-0008-0000-0000-000030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3871" name="Button 2607" hidden="1">
              <a:extLst>
                <a:ext uri="{63B3BB69-23CF-44E3-9099-C40C66FF867C}">
                  <a14:compatExt spid="_x0000_s13871"/>
                </a:ext>
                <a:ext uri="{FF2B5EF4-FFF2-40B4-BE49-F238E27FC236}">
                  <a16:creationId xmlns:a16="http://schemas.microsoft.com/office/drawing/2014/main" id="{00000000-0008-0000-0000-00002F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3870" name="Button 2606" hidden="1">
              <a:extLst>
                <a:ext uri="{63B3BB69-23CF-44E3-9099-C40C66FF867C}">
                  <a14:compatExt spid="_x0000_s13870"/>
                </a:ext>
                <a:ext uri="{FF2B5EF4-FFF2-40B4-BE49-F238E27FC236}">
                  <a16:creationId xmlns:a16="http://schemas.microsoft.com/office/drawing/2014/main" id="{00000000-0008-0000-0000-00002E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3869" name="Button 2605" hidden="1">
              <a:extLst>
                <a:ext uri="{63B3BB69-23CF-44E3-9099-C40C66FF867C}">
                  <a14:compatExt spid="_x0000_s13869"/>
                </a:ext>
                <a:ext uri="{FF2B5EF4-FFF2-40B4-BE49-F238E27FC236}">
                  <a16:creationId xmlns:a16="http://schemas.microsoft.com/office/drawing/2014/main" id="{00000000-0008-0000-0000-00002D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3868" name="Button 2604" hidden="1">
              <a:extLst>
                <a:ext uri="{63B3BB69-23CF-44E3-9099-C40C66FF867C}">
                  <a14:compatExt spid="_x0000_s13868"/>
                </a:ext>
                <a:ext uri="{FF2B5EF4-FFF2-40B4-BE49-F238E27FC236}">
                  <a16:creationId xmlns:a16="http://schemas.microsoft.com/office/drawing/2014/main" id="{00000000-0008-0000-0000-00002C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3867" name="Button 2603" hidden="1">
              <a:extLst>
                <a:ext uri="{63B3BB69-23CF-44E3-9099-C40C66FF867C}">
                  <a14:compatExt spid="_x0000_s13867"/>
                </a:ext>
                <a:ext uri="{FF2B5EF4-FFF2-40B4-BE49-F238E27FC236}">
                  <a16:creationId xmlns:a16="http://schemas.microsoft.com/office/drawing/2014/main" id="{00000000-0008-0000-0000-00002B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3866" name="Button 2602" hidden="1">
              <a:extLst>
                <a:ext uri="{63B3BB69-23CF-44E3-9099-C40C66FF867C}">
                  <a14:compatExt spid="_x0000_s13866"/>
                </a:ext>
                <a:ext uri="{FF2B5EF4-FFF2-40B4-BE49-F238E27FC236}">
                  <a16:creationId xmlns:a16="http://schemas.microsoft.com/office/drawing/2014/main" id="{00000000-0008-0000-0000-00002A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3865" name="Button 2601" hidden="1">
              <a:extLst>
                <a:ext uri="{63B3BB69-23CF-44E3-9099-C40C66FF867C}">
                  <a14:compatExt spid="_x0000_s13865"/>
                </a:ext>
                <a:ext uri="{FF2B5EF4-FFF2-40B4-BE49-F238E27FC236}">
                  <a16:creationId xmlns:a16="http://schemas.microsoft.com/office/drawing/2014/main" id="{00000000-0008-0000-0000-000029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3864" name="Button 2600" hidden="1">
              <a:extLst>
                <a:ext uri="{63B3BB69-23CF-44E3-9099-C40C66FF867C}">
                  <a14:compatExt spid="_x0000_s13864"/>
                </a:ext>
                <a:ext uri="{FF2B5EF4-FFF2-40B4-BE49-F238E27FC236}">
                  <a16:creationId xmlns:a16="http://schemas.microsoft.com/office/drawing/2014/main" id="{00000000-0008-0000-0000-000028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3863" name="Button 2599" hidden="1">
              <a:extLst>
                <a:ext uri="{63B3BB69-23CF-44E3-9099-C40C66FF867C}">
                  <a14:compatExt spid="_x0000_s13863"/>
                </a:ext>
                <a:ext uri="{FF2B5EF4-FFF2-40B4-BE49-F238E27FC236}">
                  <a16:creationId xmlns:a16="http://schemas.microsoft.com/office/drawing/2014/main" id="{00000000-0008-0000-0000-000027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3862" name="Button 2598" hidden="1">
              <a:extLst>
                <a:ext uri="{63B3BB69-23CF-44E3-9099-C40C66FF867C}">
                  <a14:compatExt spid="_x0000_s13862"/>
                </a:ext>
                <a:ext uri="{FF2B5EF4-FFF2-40B4-BE49-F238E27FC236}">
                  <a16:creationId xmlns:a16="http://schemas.microsoft.com/office/drawing/2014/main" id="{00000000-0008-0000-0000-000026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3861" name="Button 2597" hidden="1">
              <a:extLst>
                <a:ext uri="{63B3BB69-23CF-44E3-9099-C40C66FF867C}">
                  <a14:compatExt spid="_x0000_s13861"/>
                </a:ext>
                <a:ext uri="{FF2B5EF4-FFF2-40B4-BE49-F238E27FC236}">
                  <a16:creationId xmlns:a16="http://schemas.microsoft.com/office/drawing/2014/main" id="{00000000-0008-0000-0000-000025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3860" name="Button 2596" hidden="1">
              <a:extLst>
                <a:ext uri="{63B3BB69-23CF-44E3-9099-C40C66FF867C}">
                  <a14:compatExt spid="_x0000_s13860"/>
                </a:ext>
                <a:ext uri="{FF2B5EF4-FFF2-40B4-BE49-F238E27FC236}">
                  <a16:creationId xmlns:a16="http://schemas.microsoft.com/office/drawing/2014/main" id="{00000000-0008-0000-0000-000024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3859" name="Button 2595" hidden="1">
              <a:extLst>
                <a:ext uri="{63B3BB69-23CF-44E3-9099-C40C66FF867C}">
                  <a14:compatExt spid="_x0000_s13859"/>
                </a:ext>
                <a:ext uri="{FF2B5EF4-FFF2-40B4-BE49-F238E27FC236}">
                  <a16:creationId xmlns:a16="http://schemas.microsoft.com/office/drawing/2014/main" id="{00000000-0008-0000-0000-000023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3858" name="Button 2594" hidden="1">
              <a:extLst>
                <a:ext uri="{63B3BB69-23CF-44E3-9099-C40C66FF867C}">
                  <a14:compatExt spid="_x0000_s13858"/>
                </a:ext>
                <a:ext uri="{FF2B5EF4-FFF2-40B4-BE49-F238E27FC236}">
                  <a16:creationId xmlns:a16="http://schemas.microsoft.com/office/drawing/2014/main" id="{00000000-0008-0000-0000-000022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3857" name="Button 2593" hidden="1">
              <a:extLst>
                <a:ext uri="{63B3BB69-23CF-44E3-9099-C40C66FF867C}">
                  <a14:compatExt spid="_x0000_s13857"/>
                </a:ext>
                <a:ext uri="{FF2B5EF4-FFF2-40B4-BE49-F238E27FC236}">
                  <a16:creationId xmlns:a16="http://schemas.microsoft.com/office/drawing/2014/main" id="{00000000-0008-0000-0000-000021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3856" name="Button 2592" hidden="1">
              <a:extLst>
                <a:ext uri="{63B3BB69-23CF-44E3-9099-C40C66FF867C}">
                  <a14:compatExt spid="_x0000_s13856"/>
                </a:ext>
                <a:ext uri="{FF2B5EF4-FFF2-40B4-BE49-F238E27FC236}">
                  <a16:creationId xmlns:a16="http://schemas.microsoft.com/office/drawing/2014/main" id="{00000000-0008-0000-0000-000020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3855" name="Button 2591" hidden="1">
              <a:extLst>
                <a:ext uri="{63B3BB69-23CF-44E3-9099-C40C66FF867C}">
                  <a14:compatExt spid="_x0000_s13855"/>
                </a:ext>
                <a:ext uri="{FF2B5EF4-FFF2-40B4-BE49-F238E27FC236}">
                  <a16:creationId xmlns:a16="http://schemas.microsoft.com/office/drawing/2014/main" id="{00000000-0008-0000-0000-00001F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3854" name="Button 2590" hidden="1">
              <a:extLst>
                <a:ext uri="{63B3BB69-23CF-44E3-9099-C40C66FF867C}">
                  <a14:compatExt spid="_x0000_s13854"/>
                </a:ext>
                <a:ext uri="{FF2B5EF4-FFF2-40B4-BE49-F238E27FC236}">
                  <a16:creationId xmlns:a16="http://schemas.microsoft.com/office/drawing/2014/main" id="{00000000-0008-0000-0000-00001E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3853" name="Button 2589" hidden="1">
              <a:extLst>
                <a:ext uri="{63B3BB69-23CF-44E3-9099-C40C66FF867C}">
                  <a14:compatExt spid="_x0000_s13853"/>
                </a:ext>
                <a:ext uri="{FF2B5EF4-FFF2-40B4-BE49-F238E27FC236}">
                  <a16:creationId xmlns:a16="http://schemas.microsoft.com/office/drawing/2014/main" id="{00000000-0008-0000-0000-00001D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3852" name="Button 2588" hidden="1">
              <a:extLst>
                <a:ext uri="{63B3BB69-23CF-44E3-9099-C40C66FF867C}">
                  <a14:compatExt spid="_x0000_s13852"/>
                </a:ext>
                <a:ext uri="{FF2B5EF4-FFF2-40B4-BE49-F238E27FC236}">
                  <a16:creationId xmlns:a16="http://schemas.microsoft.com/office/drawing/2014/main" id="{00000000-0008-0000-0000-00001C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3851" name="Button 2587" hidden="1">
              <a:extLst>
                <a:ext uri="{63B3BB69-23CF-44E3-9099-C40C66FF867C}">
                  <a14:compatExt spid="_x0000_s13851"/>
                </a:ext>
                <a:ext uri="{FF2B5EF4-FFF2-40B4-BE49-F238E27FC236}">
                  <a16:creationId xmlns:a16="http://schemas.microsoft.com/office/drawing/2014/main" id="{00000000-0008-0000-0000-00001B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3850" name="Button 2586" hidden="1">
              <a:extLst>
                <a:ext uri="{63B3BB69-23CF-44E3-9099-C40C66FF867C}">
                  <a14:compatExt spid="_x0000_s13850"/>
                </a:ext>
                <a:ext uri="{FF2B5EF4-FFF2-40B4-BE49-F238E27FC236}">
                  <a16:creationId xmlns:a16="http://schemas.microsoft.com/office/drawing/2014/main" id="{00000000-0008-0000-0000-00001A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3849" name="Button 2585" hidden="1">
              <a:extLst>
                <a:ext uri="{63B3BB69-23CF-44E3-9099-C40C66FF867C}">
                  <a14:compatExt spid="_x0000_s13849"/>
                </a:ext>
                <a:ext uri="{FF2B5EF4-FFF2-40B4-BE49-F238E27FC236}">
                  <a16:creationId xmlns:a16="http://schemas.microsoft.com/office/drawing/2014/main" id="{00000000-0008-0000-0000-000019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3848" name="Button 2584" hidden="1">
              <a:extLst>
                <a:ext uri="{63B3BB69-23CF-44E3-9099-C40C66FF867C}">
                  <a14:compatExt spid="_x0000_s13848"/>
                </a:ext>
                <a:ext uri="{FF2B5EF4-FFF2-40B4-BE49-F238E27FC236}">
                  <a16:creationId xmlns:a16="http://schemas.microsoft.com/office/drawing/2014/main" id="{00000000-0008-0000-0000-000018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3847" name="Button 2583" hidden="1">
              <a:extLst>
                <a:ext uri="{63B3BB69-23CF-44E3-9099-C40C66FF867C}">
                  <a14:compatExt spid="_x0000_s13847"/>
                </a:ext>
                <a:ext uri="{FF2B5EF4-FFF2-40B4-BE49-F238E27FC236}">
                  <a16:creationId xmlns:a16="http://schemas.microsoft.com/office/drawing/2014/main" id="{00000000-0008-0000-0000-000017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3846" name="Button 2582" hidden="1">
              <a:extLst>
                <a:ext uri="{63B3BB69-23CF-44E3-9099-C40C66FF867C}">
                  <a14:compatExt spid="_x0000_s13846"/>
                </a:ext>
                <a:ext uri="{FF2B5EF4-FFF2-40B4-BE49-F238E27FC236}">
                  <a16:creationId xmlns:a16="http://schemas.microsoft.com/office/drawing/2014/main" id="{00000000-0008-0000-0000-000016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3845" name="Button 2581" hidden="1">
              <a:extLst>
                <a:ext uri="{63B3BB69-23CF-44E3-9099-C40C66FF867C}">
                  <a14:compatExt spid="_x0000_s13845"/>
                </a:ext>
                <a:ext uri="{FF2B5EF4-FFF2-40B4-BE49-F238E27FC236}">
                  <a16:creationId xmlns:a16="http://schemas.microsoft.com/office/drawing/2014/main" id="{00000000-0008-0000-0000-000015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3844" name="Button 2580" hidden="1">
              <a:extLst>
                <a:ext uri="{63B3BB69-23CF-44E3-9099-C40C66FF867C}">
                  <a14:compatExt spid="_x0000_s13844"/>
                </a:ext>
                <a:ext uri="{FF2B5EF4-FFF2-40B4-BE49-F238E27FC236}">
                  <a16:creationId xmlns:a16="http://schemas.microsoft.com/office/drawing/2014/main" id="{00000000-0008-0000-0000-000014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3843" name="Button 2579" hidden="1">
              <a:extLst>
                <a:ext uri="{63B3BB69-23CF-44E3-9099-C40C66FF867C}">
                  <a14:compatExt spid="_x0000_s13843"/>
                </a:ext>
                <a:ext uri="{FF2B5EF4-FFF2-40B4-BE49-F238E27FC236}">
                  <a16:creationId xmlns:a16="http://schemas.microsoft.com/office/drawing/2014/main" id="{00000000-0008-0000-0000-000013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3842" name="Button 2578" hidden="1">
              <a:extLst>
                <a:ext uri="{63B3BB69-23CF-44E3-9099-C40C66FF867C}">
                  <a14:compatExt spid="_x0000_s13842"/>
                </a:ext>
                <a:ext uri="{FF2B5EF4-FFF2-40B4-BE49-F238E27FC236}">
                  <a16:creationId xmlns:a16="http://schemas.microsoft.com/office/drawing/2014/main" id="{00000000-0008-0000-0000-000012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3841" name="Button 2577" hidden="1">
              <a:extLst>
                <a:ext uri="{63B3BB69-23CF-44E3-9099-C40C66FF867C}">
                  <a14:compatExt spid="_x0000_s13841"/>
                </a:ext>
                <a:ext uri="{FF2B5EF4-FFF2-40B4-BE49-F238E27FC236}">
                  <a16:creationId xmlns:a16="http://schemas.microsoft.com/office/drawing/2014/main" id="{00000000-0008-0000-0000-000011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3840" name="Button 2576" hidden="1">
              <a:extLst>
                <a:ext uri="{63B3BB69-23CF-44E3-9099-C40C66FF867C}">
                  <a14:compatExt spid="_x0000_s13840"/>
                </a:ext>
                <a:ext uri="{FF2B5EF4-FFF2-40B4-BE49-F238E27FC236}">
                  <a16:creationId xmlns:a16="http://schemas.microsoft.com/office/drawing/2014/main" id="{00000000-0008-0000-0000-000010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3839" name="Button 2575" hidden="1">
              <a:extLst>
                <a:ext uri="{63B3BB69-23CF-44E3-9099-C40C66FF867C}">
                  <a14:compatExt spid="_x0000_s13839"/>
                </a:ext>
                <a:ext uri="{FF2B5EF4-FFF2-40B4-BE49-F238E27FC236}">
                  <a16:creationId xmlns:a16="http://schemas.microsoft.com/office/drawing/2014/main" id="{00000000-0008-0000-0000-00000F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3838" name="Button 2574" hidden="1">
              <a:extLst>
                <a:ext uri="{63B3BB69-23CF-44E3-9099-C40C66FF867C}">
                  <a14:compatExt spid="_x0000_s13838"/>
                </a:ext>
                <a:ext uri="{FF2B5EF4-FFF2-40B4-BE49-F238E27FC236}">
                  <a16:creationId xmlns:a16="http://schemas.microsoft.com/office/drawing/2014/main" id="{00000000-0008-0000-0000-00000E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3837" name="Button 2573" hidden="1">
              <a:extLst>
                <a:ext uri="{63B3BB69-23CF-44E3-9099-C40C66FF867C}">
                  <a14:compatExt spid="_x0000_s13837"/>
                </a:ext>
                <a:ext uri="{FF2B5EF4-FFF2-40B4-BE49-F238E27FC236}">
                  <a16:creationId xmlns:a16="http://schemas.microsoft.com/office/drawing/2014/main" id="{00000000-0008-0000-0000-00000D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3836" name="Button 2572" hidden="1">
              <a:extLst>
                <a:ext uri="{63B3BB69-23CF-44E3-9099-C40C66FF867C}">
                  <a14:compatExt spid="_x0000_s13836"/>
                </a:ext>
                <a:ext uri="{FF2B5EF4-FFF2-40B4-BE49-F238E27FC236}">
                  <a16:creationId xmlns:a16="http://schemas.microsoft.com/office/drawing/2014/main" id="{00000000-0008-0000-0000-00000C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3835" name="Button 2571" hidden="1">
              <a:extLst>
                <a:ext uri="{63B3BB69-23CF-44E3-9099-C40C66FF867C}">
                  <a14:compatExt spid="_x0000_s13835"/>
                </a:ext>
                <a:ext uri="{FF2B5EF4-FFF2-40B4-BE49-F238E27FC236}">
                  <a16:creationId xmlns:a16="http://schemas.microsoft.com/office/drawing/2014/main" id="{00000000-0008-0000-0000-00000B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3834" name="Button 2570" hidden="1">
              <a:extLst>
                <a:ext uri="{63B3BB69-23CF-44E3-9099-C40C66FF867C}">
                  <a14:compatExt spid="_x0000_s13834"/>
                </a:ext>
                <a:ext uri="{FF2B5EF4-FFF2-40B4-BE49-F238E27FC236}">
                  <a16:creationId xmlns:a16="http://schemas.microsoft.com/office/drawing/2014/main" id="{00000000-0008-0000-0000-00000A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3833" name="Button 2569" hidden="1">
              <a:extLst>
                <a:ext uri="{63B3BB69-23CF-44E3-9099-C40C66FF867C}">
                  <a14:compatExt spid="_x0000_s13833"/>
                </a:ext>
                <a:ext uri="{FF2B5EF4-FFF2-40B4-BE49-F238E27FC236}">
                  <a16:creationId xmlns:a16="http://schemas.microsoft.com/office/drawing/2014/main" id="{00000000-0008-0000-0000-000009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3832" name="Button 2568" hidden="1">
              <a:extLst>
                <a:ext uri="{63B3BB69-23CF-44E3-9099-C40C66FF867C}">
                  <a14:compatExt spid="_x0000_s13832"/>
                </a:ext>
                <a:ext uri="{FF2B5EF4-FFF2-40B4-BE49-F238E27FC236}">
                  <a16:creationId xmlns:a16="http://schemas.microsoft.com/office/drawing/2014/main" id="{00000000-0008-0000-0000-000008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3831" name="Button 2567" hidden="1">
              <a:extLst>
                <a:ext uri="{63B3BB69-23CF-44E3-9099-C40C66FF867C}">
                  <a14:compatExt spid="_x0000_s13831"/>
                </a:ext>
                <a:ext uri="{FF2B5EF4-FFF2-40B4-BE49-F238E27FC236}">
                  <a16:creationId xmlns:a16="http://schemas.microsoft.com/office/drawing/2014/main" id="{00000000-0008-0000-0000-000007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3830" name="Button 2566" hidden="1">
              <a:extLst>
                <a:ext uri="{63B3BB69-23CF-44E3-9099-C40C66FF867C}">
                  <a14:compatExt spid="_x0000_s13830"/>
                </a:ext>
                <a:ext uri="{FF2B5EF4-FFF2-40B4-BE49-F238E27FC236}">
                  <a16:creationId xmlns:a16="http://schemas.microsoft.com/office/drawing/2014/main" id="{00000000-0008-0000-0000-000006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3829" name="Button 2565" hidden="1">
              <a:extLst>
                <a:ext uri="{63B3BB69-23CF-44E3-9099-C40C66FF867C}">
                  <a14:compatExt spid="_x0000_s13829"/>
                </a:ext>
                <a:ext uri="{FF2B5EF4-FFF2-40B4-BE49-F238E27FC236}">
                  <a16:creationId xmlns:a16="http://schemas.microsoft.com/office/drawing/2014/main" id="{00000000-0008-0000-0000-000005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3828" name="Button 2564" hidden="1">
              <a:extLst>
                <a:ext uri="{63B3BB69-23CF-44E3-9099-C40C66FF867C}">
                  <a14:compatExt spid="_x0000_s13828"/>
                </a:ext>
                <a:ext uri="{FF2B5EF4-FFF2-40B4-BE49-F238E27FC236}">
                  <a16:creationId xmlns:a16="http://schemas.microsoft.com/office/drawing/2014/main" id="{00000000-0008-0000-0000-000004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3827" name="Button 2563" hidden="1">
              <a:extLst>
                <a:ext uri="{63B3BB69-23CF-44E3-9099-C40C66FF867C}">
                  <a14:compatExt spid="_x0000_s13827"/>
                </a:ext>
                <a:ext uri="{FF2B5EF4-FFF2-40B4-BE49-F238E27FC236}">
                  <a16:creationId xmlns:a16="http://schemas.microsoft.com/office/drawing/2014/main" id="{00000000-0008-0000-0000-000003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3826" name="Button 2562" hidden="1">
              <a:extLst>
                <a:ext uri="{63B3BB69-23CF-44E3-9099-C40C66FF867C}">
                  <a14:compatExt spid="_x0000_s13826"/>
                </a:ext>
                <a:ext uri="{FF2B5EF4-FFF2-40B4-BE49-F238E27FC236}">
                  <a16:creationId xmlns:a16="http://schemas.microsoft.com/office/drawing/2014/main" id="{00000000-0008-0000-0000-000002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3825" name="Button 2561" hidden="1">
              <a:extLst>
                <a:ext uri="{63B3BB69-23CF-44E3-9099-C40C66FF867C}">
                  <a14:compatExt spid="_x0000_s13825"/>
                </a:ext>
                <a:ext uri="{FF2B5EF4-FFF2-40B4-BE49-F238E27FC236}">
                  <a16:creationId xmlns:a16="http://schemas.microsoft.com/office/drawing/2014/main" id="{00000000-0008-0000-0000-000001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3824" name="Button 2560" hidden="1">
              <a:extLst>
                <a:ext uri="{63B3BB69-23CF-44E3-9099-C40C66FF867C}">
                  <a14:compatExt spid="_x0000_s13824"/>
                </a:ext>
                <a:ext uri="{FF2B5EF4-FFF2-40B4-BE49-F238E27FC236}">
                  <a16:creationId xmlns:a16="http://schemas.microsoft.com/office/drawing/2014/main" id="{00000000-0008-0000-0000-0000003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3823" name="Button 2559" hidden="1">
              <a:extLst>
                <a:ext uri="{63B3BB69-23CF-44E3-9099-C40C66FF867C}">
                  <a14:compatExt spid="_x0000_s13823"/>
                </a:ext>
                <a:ext uri="{FF2B5EF4-FFF2-40B4-BE49-F238E27FC236}">
                  <a16:creationId xmlns:a16="http://schemas.microsoft.com/office/drawing/2014/main" id="{00000000-0008-0000-0000-0000FF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3822" name="Button 2558" hidden="1">
              <a:extLst>
                <a:ext uri="{63B3BB69-23CF-44E3-9099-C40C66FF867C}">
                  <a14:compatExt spid="_x0000_s13822"/>
                </a:ext>
                <a:ext uri="{FF2B5EF4-FFF2-40B4-BE49-F238E27FC236}">
                  <a16:creationId xmlns:a16="http://schemas.microsoft.com/office/drawing/2014/main" id="{00000000-0008-0000-0000-0000FE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3821" name="Button 2557" hidden="1">
              <a:extLst>
                <a:ext uri="{63B3BB69-23CF-44E3-9099-C40C66FF867C}">
                  <a14:compatExt spid="_x0000_s13821"/>
                </a:ext>
                <a:ext uri="{FF2B5EF4-FFF2-40B4-BE49-F238E27FC236}">
                  <a16:creationId xmlns:a16="http://schemas.microsoft.com/office/drawing/2014/main" id="{00000000-0008-0000-0000-0000FD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3820" name="Button 2556" hidden="1">
              <a:extLst>
                <a:ext uri="{63B3BB69-23CF-44E3-9099-C40C66FF867C}">
                  <a14:compatExt spid="_x0000_s13820"/>
                </a:ext>
                <a:ext uri="{FF2B5EF4-FFF2-40B4-BE49-F238E27FC236}">
                  <a16:creationId xmlns:a16="http://schemas.microsoft.com/office/drawing/2014/main" id="{00000000-0008-0000-0000-0000FC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3819" name="Button 2555" hidden="1">
              <a:extLst>
                <a:ext uri="{63B3BB69-23CF-44E3-9099-C40C66FF867C}">
                  <a14:compatExt spid="_x0000_s13819"/>
                </a:ext>
                <a:ext uri="{FF2B5EF4-FFF2-40B4-BE49-F238E27FC236}">
                  <a16:creationId xmlns:a16="http://schemas.microsoft.com/office/drawing/2014/main" id="{00000000-0008-0000-0000-0000FB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3818" name="Button 2554" hidden="1">
              <a:extLst>
                <a:ext uri="{63B3BB69-23CF-44E3-9099-C40C66FF867C}">
                  <a14:compatExt spid="_x0000_s13818"/>
                </a:ext>
                <a:ext uri="{FF2B5EF4-FFF2-40B4-BE49-F238E27FC236}">
                  <a16:creationId xmlns:a16="http://schemas.microsoft.com/office/drawing/2014/main" id="{00000000-0008-0000-0000-0000FA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3817" name="Button 2553" hidden="1">
              <a:extLst>
                <a:ext uri="{63B3BB69-23CF-44E3-9099-C40C66FF867C}">
                  <a14:compatExt spid="_x0000_s13817"/>
                </a:ext>
                <a:ext uri="{FF2B5EF4-FFF2-40B4-BE49-F238E27FC236}">
                  <a16:creationId xmlns:a16="http://schemas.microsoft.com/office/drawing/2014/main" id="{00000000-0008-0000-0000-0000F9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3816" name="Button 2552" hidden="1">
              <a:extLst>
                <a:ext uri="{63B3BB69-23CF-44E3-9099-C40C66FF867C}">
                  <a14:compatExt spid="_x0000_s13816"/>
                </a:ext>
                <a:ext uri="{FF2B5EF4-FFF2-40B4-BE49-F238E27FC236}">
                  <a16:creationId xmlns:a16="http://schemas.microsoft.com/office/drawing/2014/main" id="{00000000-0008-0000-0000-0000F8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3815" name="Button 2551" hidden="1">
              <a:extLst>
                <a:ext uri="{63B3BB69-23CF-44E3-9099-C40C66FF867C}">
                  <a14:compatExt spid="_x0000_s13815"/>
                </a:ext>
                <a:ext uri="{FF2B5EF4-FFF2-40B4-BE49-F238E27FC236}">
                  <a16:creationId xmlns:a16="http://schemas.microsoft.com/office/drawing/2014/main" id="{00000000-0008-0000-0000-0000F7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3814" name="Button 2550" hidden="1">
              <a:extLst>
                <a:ext uri="{63B3BB69-23CF-44E3-9099-C40C66FF867C}">
                  <a14:compatExt spid="_x0000_s13814"/>
                </a:ext>
                <a:ext uri="{FF2B5EF4-FFF2-40B4-BE49-F238E27FC236}">
                  <a16:creationId xmlns:a16="http://schemas.microsoft.com/office/drawing/2014/main" id="{00000000-0008-0000-0000-0000F6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524</xdr:row>
          <xdr:rowOff>0</xdr:rowOff>
        </xdr:to>
        <xdr:sp macro="" textlink="">
          <xdr:nvSpPr>
            <xdr:cNvPr id="13813" name="Button 2549" hidden="1">
              <a:extLst>
                <a:ext uri="{63B3BB69-23CF-44E3-9099-C40C66FF867C}">
                  <a14:compatExt spid="_x0000_s13813"/>
                </a:ext>
                <a:ext uri="{FF2B5EF4-FFF2-40B4-BE49-F238E27FC236}">
                  <a16:creationId xmlns:a16="http://schemas.microsoft.com/office/drawing/2014/main" id="{00000000-0008-0000-0000-0000F5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38100</xdr:rowOff>
        </xdr:to>
        <xdr:sp macro="" textlink="">
          <xdr:nvSpPr>
            <xdr:cNvPr id="13812" name="Button 2548" hidden="1">
              <a:extLst>
                <a:ext uri="{63B3BB69-23CF-44E3-9099-C40C66FF867C}">
                  <a14:compatExt spid="_x0000_s13812"/>
                </a:ext>
                <a:ext uri="{FF2B5EF4-FFF2-40B4-BE49-F238E27FC236}">
                  <a16:creationId xmlns:a16="http://schemas.microsoft.com/office/drawing/2014/main" id="{00000000-0008-0000-0000-0000F4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3811" name="Button 2547" hidden="1">
              <a:extLst>
                <a:ext uri="{63B3BB69-23CF-44E3-9099-C40C66FF867C}">
                  <a14:compatExt spid="_x0000_s13811"/>
                </a:ext>
                <a:ext uri="{FF2B5EF4-FFF2-40B4-BE49-F238E27FC236}">
                  <a16:creationId xmlns:a16="http://schemas.microsoft.com/office/drawing/2014/main" id="{00000000-0008-0000-0000-0000F3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3810" name="Button 2546" hidden="1">
              <a:extLst>
                <a:ext uri="{63B3BB69-23CF-44E3-9099-C40C66FF867C}">
                  <a14:compatExt spid="_x0000_s13810"/>
                </a:ext>
                <a:ext uri="{FF2B5EF4-FFF2-40B4-BE49-F238E27FC236}">
                  <a16:creationId xmlns:a16="http://schemas.microsoft.com/office/drawing/2014/main" id="{00000000-0008-0000-0000-0000F2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3809" name="Button 2545" hidden="1">
              <a:extLst>
                <a:ext uri="{63B3BB69-23CF-44E3-9099-C40C66FF867C}">
                  <a14:compatExt spid="_x0000_s13809"/>
                </a:ext>
                <a:ext uri="{FF2B5EF4-FFF2-40B4-BE49-F238E27FC236}">
                  <a16:creationId xmlns:a16="http://schemas.microsoft.com/office/drawing/2014/main" id="{00000000-0008-0000-0000-0000F1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3808" name="Button 2544" hidden="1">
              <a:extLst>
                <a:ext uri="{63B3BB69-23CF-44E3-9099-C40C66FF867C}">
                  <a14:compatExt spid="_x0000_s13808"/>
                </a:ext>
                <a:ext uri="{FF2B5EF4-FFF2-40B4-BE49-F238E27FC236}">
                  <a16:creationId xmlns:a16="http://schemas.microsoft.com/office/drawing/2014/main" id="{00000000-0008-0000-0000-0000F0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3807" name="Button 2543" hidden="1">
              <a:extLst>
                <a:ext uri="{63B3BB69-23CF-44E3-9099-C40C66FF867C}">
                  <a14:compatExt spid="_x0000_s13807"/>
                </a:ext>
                <a:ext uri="{FF2B5EF4-FFF2-40B4-BE49-F238E27FC236}">
                  <a16:creationId xmlns:a16="http://schemas.microsoft.com/office/drawing/2014/main" id="{00000000-0008-0000-0000-0000EF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3806" name="Button 2542" hidden="1">
              <a:extLst>
                <a:ext uri="{63B3BB69-23CF-44E3-9099-C40C66FF867C}">
                  <a14:compatExt spid="_x0000_s13806"/>
                </a:ext>
                <a:ext uri="{FF2B5EF4-FFF2-40B4-BE49-F238E27FC236}">
                  <a16:creationId xmlns:a16="http://schemas.microsoft.com/office/drawing/2014/main" id="{00000000-0008-0000-0000-0000EE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3805" name="Button 2541" hidden="1">
              <a:extLst>
                <a:ext uri="{63B3BB69-23CF-44E3-9099-C40C66FF867C}">
                  <a14:compatExt spid="_x0000_s13805"/>
                </a:ext>
                <a:ext uri="{FF2B5EF4-FFF2-40B4-BE49-F238E27FC236}">
                  <a16:creationId xmlns:a16="http://schemas.microsoft.com/office/drawing/2014/main" id="{00000000-0008-0000-0000-0000ED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3804" name="Button 2540" hidden="1">
              <a:extLst>
                <a:ext uri="{63B3BB69-23CF-44E3-9099-C40C66FF867C}">
                  <a14:compatExt spid="_x0000_s13804"/>
                </a:ext>
                <a:ext uri="{FF2B5EF4-FFF2-40B4-BE49-F238E27FC236}">
                  <a16:creationId xmlns:a16="http://schemas.microsoft.com/office/drawing/2014/main" id="{00000000-0008-0000-0000-0000EC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3803" name="Button 2539" hidden="1">
              <a:extLst>
                <a:ext uri="{63B3BB69-23CF-44E3-9099-C40C66FF867C}">
                  <a14:compatExt spid="_x0000_s13803"/>
                </a:ext>
                <a:ext uri="{FF2B5EF4-FFF2-40B4-BE49-F238E27FC236}">
                  <a16:creationId xmlns:a16="http://schemas.microsoft.com/office/drawing/2014/main" id="{00000000-0008-0000-0000-0000EB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3802" name="Button 2538" hidden="1">
              <a:extLst>
                <a:ext uri="{63B3BB69-23CF-44E3-9099-C40C66FF867C}">
                  <a14:compatExt spid="_x0000_s13802"/>
                </a:ext>
                <a:ext uri="{FF2B5EF4-FFF2-40B4-BE49-F238E27FC236}">
                  <a16:creationId xmlns:a16="http://schemas.microsoft.com/office/drawing/2014/main" id="{00000000-0008-0000-0000-0000EA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3801" name="Button 2537" hidden="1">
              <a:extLst>
                <a:ext uri="{63B3BB69-23CF-44E3-9099-C40C66FF867C}">
                  <a14:compatExt spid="_x0000_s13801"/>
                </a:ext>
                <a:ext uri="{FF2B5EF4-FFF2-40B4-BE49-F238E27FC236}">
                  <a16:creationId xmlns:a16="http://schemas.microsoft.com/office/drawing/2014/main" id="{00000000-0008-0000-0000-0000E9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3800" name="Button 2536" hidden="1">
              <a:extLst>
                <a:ext uri="{63B3BB69-23CF-44E3-9099-C40C66FF867C}">
                  <a14:compatExt spid="_x0000_s13800"/>
                </a:ext>
                <a:ext uri="{FF2B5EF4-FFF2-40B4-BE49-F238E27FC236}">
                  <a16:creationId xmlns:a16="http://schemas.microsoft.com/office/drawing/2014/main" id="{00000000-0008-0000-0000-0000E8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3799" name="Button 2535" hidden="1">
              <a:extLst>
                <a:ext uri="{63B3BB69-23CF-44E3-9099-C40C66FF867C}">
                  <a14:compatExt spid="_x0000_s13799"/>
                </a:ext>
                <a:ext uri="{FF2B5EF4-FFF2-40B4-BE49-F238E27FC236}">
                  <a16:creationId xmlns:a16="http://schemas.microsoft.com/office/drawing/2014/main" id="{00000000-0008-0000-0000-0000E7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161925</xdr:rowOff>
        </xdr:to>
        <xdr:sp macro="" textlink="">
          <xdr:nvSpPr>
            <xdr:cNvPr id="13798" name="Button 2534" hidden="1">
              <a:extLst>
                <a:ext uri="{63B3BB69-23CF-44E3-9099-C40C66FF867C}">
                  <a14:compatExt spid="_x0000_s13798"/>
                </a:ext>
                <a:ext uri="{FF2B5EF4-FFF2-40B4-BE49-F238E27FC236}">
                  <a16:creationId xmlns:a16="http://schemas.microsoft.com/office/drawing/2014/main" id="{00000000-0008-0000-0000-0000E6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161925</xdr:rowOff>
        </xdr:to>
        <xdr:sp macro="" textlink="">
          <xdr:nvSpPr>
            <xdr:cNvPr id="13797" name="Button 2533" hidden="1">
              <a:extLst>
                <a:ext uri="{63B3BB69-23CF-44E3-9099-C40C66FF867C}">
                  <a14:compatExt spid="_x0000_s13797"/>
                </a:ext>
                <a:ext uri="{FF2B5EF4-FFF2-40B4-BE49-F238E27FC236}">
                  <a16:creationId xmlns:a16="http://schemas.microsoft.com/office/drawing/2014/main" id="{00000000-0008-0000-0000-0000E5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161925</xdr:rowOff>
        </xdr:to>
        <xdr:sp macro="" textlink="">
          <xdr:nvSpPr>
            <xdr:cNvPr id="13796" name="Button 2532" hidden="1">
              <a:extLst>
                <a:ext uri="{63B3BB69-23CF-44E3-9099-C40C66FF867C}">
                  <a14:compatExt spid="_x0000_s13796"/>
                </a:ext>
                <a:ext uri="{FF2B5EF4-FFF2-40B4-BE49-F238E27FC236}">
                  <a16:creationId xmlns:a16="http://schemas.microsoft.com/office/drawing/2014/main" id="{00000000-0008-0000-0000-0000E4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161925</xdr:rowOff>
        </xdr:to>
        <xdr:sp macro="" textlink="">
          <xdr:nvSpPr>
            <xdr:cNvPr id="13795" name="Button 2531" hidden="1">
              <a:extLst>
                <a:ext uri="{63B3BB69-23CF-44E3-9099-C40C66FF867C}">
                  <a14:compatExt spid="_x0000_s13795"/>
                </a:ext>
                <a:ext uri="{FF2B5EF4-FFF2-40B4-BE49-F238E27FC236}">
                  <a16:creationId xmlns:a16="http://schemas.microsoft.com/office/drawing/2014/main" id="{00000000-0008-0000-0000-0000E3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161925</xdr:rowOff>
        </xdr:to>
        <xdr:sp macro="" textlink="">
          <xdr:nvSpPr>
            <xdr:cNvPr id="13794" name="Button 2530" hidden="1">
              <a:extLst>
                <a:ext uri="{63B3BB69-23CF-44E3-9099-C40C66FF867C}">
                  <a14:compatExt spid="_x0000_s13794"/>
                </a:ext>
                <a:ext uri="{FF2B5EF4-FFF2-40B4-BE49-F238E27FC236}">
                  <a16:creationId xmlns:a16="http://schemas.microsoft.com/office/drawing/2014/main" id="{00000000-0008-0000-0000-0000E2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3793" name="Button 2529" hidden="1">
              <a:extLst>
                <a:ext uri="{63B3BB69-23CF-44E3-9099-C40C66FF867C}">
                  <a14:compatExt spid="_x0000_s13793"/>
                </a:ext>
                <a:ext uri="{FF2B5EF4-FFF2-40B4-BE49-F238E27FC236}">
                  <a16:creationId xmlns:a16="http://schemas.microsoft.com/office/drawing/2014/main" id="{00000000-0008-0000-0000-0000E1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3792" name="Button 2528" hidden="1">
              <a:extLst>
                <a:ext uri="{63B3BB69-23CF-44E3-9099-C40C66FF867C}">
                  <a14:compatExt spid="_x0000_s13792"/>
                </a:ext>
                <a:ext uri="{FF2B5EF4-FFF2-40B4-BE49-F238E27FC236}">
                  <a16:creationId xmlns:a16="http://schemas.microsoft.com/office/drawing/2014/main" id="{00000000-0008-0000-0000-0000E0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3791" name="Button 2527" hidden="1">
              <a:extLst>
                <a:ext uri="{63B3BB69-23CF-44E3-9099-C40C66FF867C}">
                  <a14:compatExt spid="_x0000_s13791"/>
                </a:ext>
                <a:ext uri="{FF2B5EF4-FFF2-40B4-BE49-F238E27FC236}">
                  <a16:creationId xmlns:a16="http://schemas.microsoft.com/office/drawing/2014/main" id="{00000000-0008-0000-0000-0000DF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3790" name="Button 2526" hidden="1">
              <a:extLst>
                <a:ext uri="{63B3BB69-23CF-44E3-9099-C40C66FF867C}">
                  <a14:compatExt spid="_x0000_s13790"/>
                </a:ext>
                <a:ext uri="{FF2B5EF4-FFF2-40B4-BE49-F238E27FC236}">
                  <a16:creationId xmlns:a16="http://schemas.microsoft.com/office/drawing/2014/main" id="{00000000-0008-0000-0000-0000DE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3789" name="Button 2525" hidden="1">
              <a:extLst>
                <a:ext uri="{63B3BB69-23CF-44E3-9099-C40C66FF867C}">
                  <a14:compatExt spid="_x0000_s13789"/>
                </a:ext>
                <a:ext uri="{FF2B5EF4-FFF2-40B4-BE49-F238E27FC236}">
                  <a16:creationId xmlns:a16="http://schemas.microsoft.com/office/drawing/2014/main" id="{00000000-0008-0000-0000-0000DD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3788" name="Button 2524" hidden="1">
              <a:extLst>
                <a:ext uri="{63B3BB69-23CF-44E3-9099-C40C66FF867C}">
                  <a14:compatExt spid="_x0000_s13788"/>
                </a:ext>
                <a:ext uri="{FF2B5EF4-FFF2-40B4-BE49-F238E27FC236}">
                  <a16:creationId xmlns:a16="http://schemas.microsoft.com/office/drawing/2014/main" id="{00000000-0008-0000-0000-0000DC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3787" name="Button 2523" hidden="1">
              <a:extLst>
                <a:ext uri="{63B3BB69-23CF-44E3-9099-C40C66FF867C}">
                  <a14:compatExt spid="_x0000_s13787"/>
                </a:ext>
                <a:ext uri="{FF2B5EF4-FFF2-40B4-BE49-F238E27FC236}">
                  <a16:creationId xmlns:a16="http://schemas.microsoft.com/office/drawing/2014/main" id="{00000000-0008-0000-0000-0000DB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3786" name="Button 2522" hidden="1">
              <a:extLst>
                <a:ext uri="{63B3BB69-23CF-44E3-9099-C40C66FF867C}">
                  <a14:compatExt spid="_x0000_s13786"/>
                </a:ext>
                <a:ext uri="{FF2B5EF4-FFF2-40B4-BE49-F238E27FC236}">
                  <a16:creationId xmlns:a16="http://schemas.microsoft.com/office/drawing/2014/main" id="{00000000-0008-0000-0000-0000DA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3785" name="Button 2521" hidden="1">
              <a:extLst>
                <a:ext uri="{63B3BB69-23CF-44E3-9099-C40C66FF867C}">
                  <a14:compatExt spid="_x0000_s13785"/>
                </a:ext>
                <a:ext uri="{FF2B5EF4-FFF2-40B4-BE49-F238E27FC236}">
                  <a16:creationId xmlns:a16="http://schemas.microsoft.com/office/drawing/2014/main" id="{00000000-0008-0000-0000-0000D9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3784" name="Button 2520" hidden="1">
              <a:extLst>
                <a:ext uri="{63B3BB69-23CF-44E3-9099-C40C66FF867C}">
                  <a14:compatExt spid="_x0000_s13784"/>
                </a:ext>
                <a:ext uri="{FF2B5EF4-FFF2-40B4-BE49-F238E27FC236}">
                  <a16:creationId xmlns:a16="http://schemas.microsoft.com/office/drawing/2014/main" id="{00000000-0008-0000-0000-0000D8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3783" name="Button 2519" hidden="1">
              <a:extLst>
                <a:ext uri="{63B3BB69-23CF-44E3-9099-C40C66FF867C}">
                  <a14:compatExt spid="_x0000_s13783"/>
                </a:ext>
                <a:ext uri="{FF2B5EF4-FFF2-40B4-BE49-F238E27FC236}">
                  <a16:creationId xmlns:a16="http://schemas.microsoft.com/office/drawing/2014/main" id="{00000000-0008-0000-0000-0000D7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3782" name="Button 2518" hidden="1">
              <a:extLst>
                <a:ext uri="{63B3BB69-23CF-44E3-9099-C40C66FF867C}">
                  <a14:compatExt spid="_x0000_s13782"/>
                </a:ext>
                <a:ext uri="{FF2B5EF4-FFF2-40B4-BE49-F238E27FC236}">
                  <a16:creationId xmlns:a16="http://schemas.microsoft.com/office/drawing/2014/main" id="{00000000-0008-0000-0000-0000D6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3781" name="Button 2517" hidden="1">
              <a:extLst>
                <a:ext uri="{63B3BB69-23CF-44E3-9099-C40C66FF867C}">
                  <a14:compatExt spid="_x0000_s13781"/>
                </a:ext>
                <a:ext uri="{FF2B5EF4-FFF2-40B4-BE49-F238E27FC236}">
                  <a16:creationId xmlns:a16="http://schemas.microsoft.com/office/drawing/2014/main" id="{00000000-0008-0000-0000-0000D5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3780" name="Button 2516" hidden="1">
              <a:extLst>
                <a:ext uri="{63B3BB69-23CF-44E3-9099-C40C66FF867C}">
                  <a14:compatExt spid="_x0000_s13780"/>
                </a:ext>
                <a:ext uri="{FF2B5EF4-FFF2-40B4-BE49-F238E27FC236}">
                  <a16:creationId xmlns:a16="http://schemas.microsoft.com/office/drawing/2014/main" id="{00000000-0008-0000-0000-0000D4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3779" name="Button 2515" hidden="1">
              <a:extLst>
                <a:ext uri="{63B3BB69-23CF-44E3-9099-C40C66FF867C}">
                  <a14:compatExt spid="_x0000_s13779"/>
                </a:ext>
                <a:ext uri="{FF2B5EF4-FFF2-40B4-BE49-F238E27FC236}">
                  <a16:creationId xmlns:a16="http://schemas.microsoft.com/office/drawing/2014/main" id="{00000000-0008-0000-0000-0000D3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3778" name="Button 2514" hidden="1">
              <a:extLst>
                <a:ext uri="{63B3BB69-23CF-44E3-9099-C40C66FF867C}">
                  <a14:compatExt spid="_x0000_s13778"/>
                </a:ext>
                <a:ext uri="{FF2B5EF4-FFF2-40B4-BE49-F238E27FC236}">
                  <a16:creationId xmlns:a16="http://schemas.microsoft.com/office/drawing/2014/main" id="{00000000-0008-0000-0000-0000D2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3777" name="Button 2513" hidden="1">
              <a:extLst>
                <a:ext uri="{63B3BB69-23CF-44E3-9099-C40C66FF867C}">
                  <a14:compatExt spid="_x0000_s13777"/>
                </a:ext>
                <a:ext uri="{FF2B5EF4-FFF2-40B4-BE49-F238E27FC236}">
                  <a16:creationId xmlns:a16="http://schemas.microsoft.com/office/drawing/2014/main" id="{00000000-0008-0000-0000-0000D1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3776" name="Button 2512" hidden="1">
              <a:extLst>
                <a:ext uri="{63B3BB69-23CF-44E3-9099-C40C66FF867C}">
                  <a14:compatExt spid="_x0000_s13776"/>
                </a:ext>
                <a:ext uri="{FF2B5EF4-FFF2-40B4-BE49-F238E27FC236}">
                  <a16:creationId xmlns:a16="http://schemas.microsoft.com/office/drawing/2014/main" id="{00000000-0008-0000-0000-0000D0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3775" name="Button 2511" hidden="1">
              <a:extLst>
                <a:ext uri="{63B3BB69-23CF-44E3-9099-C40C66FF867C}">
                  <a14:compatExt spid="_x0000_s13775"/>
                </a:ext>
                <a:ext uri="{FF2B5EF4-FFF2-40B4-BE49-F238E27FC236}">
                  <a16:creationId xmlns:a16="http://schemas.microsoft.com/office/drawing/2014/main" id="{00000000-0008-0000-0000-0000CF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3774" name="Button 2510" hidden="1">
              <a:extLst>
                <a:ext uri="{63B3BB69-23CF-44E3-9099-C40C66FF867C}">
                  <a14:compatExt spid="_x0000_s13774"/>
                </a:ext>
                <a:ext uri="{FF2B5EF4-FFF2-40B4-BE49-F238E27FC236}">
                  <a16:creationId xmlns:a16="http://schemas.microsoft.com/office/drawing/2014/main" id="{00000000-0008-0000-0000-0000CE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3773" name="Button 2509" hidden="1">
              <a:extLst>
                <a:ext uri="{63B3BB69-23CF-44E3-9099-C40C66FF867C}">
                  <a14:compatExt spid="_x0000_s13773"/>
                </a:ext>
                <a:ext uri="{FF2B5EF4-FFF2-40B4-BE49-F238E27FC236}">
                  <a16:creationId xmlns:a16="http://schemas.microsoft.com/office/drawing/2014/main" id="{00000000-0008-0000-0000-0000CD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3772" name="Button 2508" hidden="1">
              <a:extLst>
                <a:ext uri="{63B3BB69-23CF-44E3-9099-C40C66FF867C}">
                  <a14:compatExt spid="_x0000_s13772"/>
                </a:ext>
                <a:ext uri="{FF2B5EF4-FFF2-40B4-BE49-F238E27FC236}">
                  <a16:creationId xmlns:a16="http://schemas.microsoft.com/office/drawing/2014/main" id="{00000000-0008-0000-0000-0000CC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3771" name="Button 2507" hidden="1">
              <a:extLst>
                <a:ext uri="{63B3BB69-23CF-44E3-9099-C40C66FF867C}">
                  <a14:compatExt spid="_x0000_s13771"/>
                </a:ext>
                <a:ext uri="{FF2B5EF4-FFF2-40B4-BE49-F238E27FC236}">
                  <a16:creationId xmlns:a16="http://schemas.microsoft.com/office/drawing/2014/main" id="{00000000-0008-0000-0000-0000CB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3770" name="Button 2506" hidden="1">
              <a:extLst>
                <a:ext uri="{63B3BB69-23CF-44E3-9099-C40C66FF867C}">
                  <a14:compatExt spid="_x0000_s13770"/>
                </a:ext>
                <a:ext uri="{FF2B5EF4-FFF2-40B4-BE49-F238E27FC236}">
                  <a16:creationId xmlns:a16="http://schemas.microsoft.com/office/drawing/2014/main" id="{00000000-0008-0000-0000-0000CA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3769" name="Button 2505" hidden="1">
              <a:extLst>
                <a:ext uri="{63B3BB69-23CF-44E3-9099-C40C66FF867C}">
                  <a14:compatExt spid="_x0000_s13769"/>
                </a:ext>
                <a:ext uri="{FF2B5EF4-FFF2-40B4-BE49-F238E27FC236}">
                  <a16:creationId xmlns:a16="http://schemas.microsoft.com/office/drawing/2014/main" id="{00000000-0008-0000-0000-0000C9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577</xdr:row>
          <xdr:rowOff>0</xdr:rowOff>
        </xdr:to>
        <xdr:sp macro="" textlink="">
          <xdr:nvSpPr>
            <xdr:cNvPr id="13768" name="Button 2504" hidden="1">
              <a:extLst>
                <a:ext uri="{63B3BB69-23CF-44E3-9099-C40C66FF867C}">
                  <a14:compatExt spid="_x0000_s13768"/>
                </a:ext>
                <a:ext uri="{FF2B5EF4-FFF2-40B4-BE49-F238E27FC236}">
                  <a16:creationId xmlns:a16="http://schemas.microsoft.com/office/drawing/2014/main" id="{00000000-0008-0000-0000-0000C8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38100</xdr:rowOff>
        </xdr:to>
        <xdr:sp macro="" textlink="">
          <xdr:nvSpPr>
            <xdr:cNvPr id="13767" name="Button 2503" hidden="1">
              <a:extLst>
                <a:ext uri="{63B3BB69-23CF-44E3-9099-C40C66FF867C}">
                  <a14:compatExt spid="_x0000_s13767"/>
                </a:ext>
                <a:ext uri="{FF2B5EF4-FFF2-40B4-BE49-F238E27FC236}">
                  <a16:creationId xmlns:a16="http://schemas.microsoft.com/office/drawing/2014/main" id="{00000000-0008-0000-0000-0000C7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3766" name="Button 2502" hidden="1">
              <a:extLst>
                <a:ext uri="{63B3BB69-23CF-44E3-9099-C40C66FF867C}">
                  <a14:compatExt spid="_x0000_s13766"/>
                </a:ext>
                <a:ext uri="{FF2B5EF4-FFF2-40B4-BE49-F238E27FC236}">
                  <a16:creationId xmlns:a16="http://schemas.microsoft.com/office/drawing/2014/main" id="{00000000-0008-0000-0000-0000C6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3765" name="Button 2501" hidden="1">
              <a:extLst>
                <a:ext uri="{63B3BB69-23CF-44E3-9099-C40C66FF867C}">
                  <a14:compatExt spid="_x0000_s13765"/>
                </a:ext>
                <a:ext uri="{FF2B5EF4-FFF2-40B4-BE49-F238E27FC236}">
                  <a16:creationId xmlns:a16="http://schemas.microsoft.com/office/drawing/2014/main" id="{00000000-0008-0000-0000-0000C5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3764" name="Button 2500" hidden="1">
              <a:extLst>
                <a:ext uri="{63B3BB69-23CF-44E3-9099-C40C66FF867C}">
                  <a14:compatExt spid="_x0000_s13764"/>
                </a:ext>
                <a:ext uri="{FF2B5EF4-FFF2-40B4-BE49-F238E27FC236}">
                  <a16:creationId xmlns:a16="http://schemas.microsoft.com/office/drawing/2014/main" id="{00000000-0008-0000-0000-0000C4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3763" name="Button 2499" hidden="1">
              <a:extLst>
                <a:ext uri="{63B3BB69-23CF-44E3-9099-C40C66FF867C}">
                  <a14:compatExt spid="_x0000_s13763"/>
                </a:ext>
                <a:ext uri="{FF2B5EF4-FFF2-40B4-BE49-F238E27FC236}">
                  <a16:creationId xmlns:a16="http://schemas.microsoft.com/office/drawing/2014/main" id="{00000000-0008-0000-0000-0000C3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3762" name="Button 2498" hidden="1">
              <a:extLst>
                <a:ext uri="{63B3BB69-23CF-44E3-9099-C40C66FF867C}">
                  <a14:compatExt spid="_x0000_s13762"/>
                </a:ext>
                <a:ext uri="{FF2B5EF4-FFF2-40B4-BE49-F238E27FC236}">
                  <a16:creationId xmlns:a16="http://schemas.microsoft.com/office/drawing/2014/main" id="{00000000-0008-0000-0000-0000C2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3761" name="Button 2497" hidden="1">
              <a:extLst>
                <a:ext uri="{63B3BB69-23CF-44E3-9099-C40C66FF867C}">
                  <a14:compatExt spid="_x0000_s13761"/>
                </a:ext>
                <a:ext uri="{FF2B5EF4-FFF2-40B4-BE49-F238E27FC236}">
                  <a16:creationId xmlns:a16="http://schemas.microsoft.com/office/drawing/2014/main" id="{00000000-0008-0000-0000-0000C1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3760" name="Button 2496" hidden="1">
              <a:extLst>
                <a:ext uri="{63B3BB69-23CF-44E3-9099-C40C66FF867C}">
                  <a14:compatExt spid="_x0000_s13760"/>
                </a:ext>
                <a:ext uri="{FF2B5EF4-FFF2-40B4-BE49-F238E27FC236}">
                  <a16:creationId xmlns:a16="http://schemas.microsoft.com/office/drawing/2014/main" id="{00000000-0008-0000-0000-0000C0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3759" name="Button 2495" hidden="1">
              <a:extLst>
                <a:ext uri="{63B3BB69-23CF-44E3-9099-C40C66FF867C}">
                  <a14:compatExt spid="_x0000_s13759"/>
                </a:ext>
                <a:ext uri="{FF2B5EF4-FFF2-40B4-BE49-F238E27FC236}">
                  <a16:creationId xmlns:a16="http://schemas.microsoft.com/office/drawing/2014/main" id="{00000000-0008-0000-0000-0000BF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3758" name="Button 2494" hidden="1">
              <a:extLst>
                <a:ext uri="{63B3BB69-23CF-44E3-9099-C40C66FF867C}">
                  <a14:compatExt spid="_x0000_s13758"/>
                </a:ext>
                <a:ext uri="{FF2B5EF4-FFF2-40B4-BE49-F238E27FC236}">
                  <a16:creationId xmlns:a16="http://schemas.microsoft.com/office/drawing/2014/main" id="{00000000-0008-0000-0000-0000BE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3757" name="Button 2493" hidden="1">
              <a:extLst>
                <a:ext uri="{63B3BB69-23CF-44E3-9099-C40C66FF867C}">
                  <a14:compatExt spid="_x0000_s13757"/>
                </a:ext>
                <a:ext uri="{FF2B5EF4-FFF2-40B4-BE49-F238E27FC236}">
                  <a16:creationId xmlns:a16="http://schemas.microsoft.com/office/drawing/2014/main" id="{00000000-0008-0000-0000-0000BD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3756" name="Button 2492" hidden="1">
              <a:extLst>
                <a:ext uri="{63B3BB69-23CF-44E3-9099-C40C66FF867C}">
                  <a14:compatExt spid="_x0000_s13756"/>
                </a:ext>
                <a:ext uri="{FF2B5EF4-FFF2-40B4-BE49-F238E27FC236}">
                  <a16:creationId xmlns:a16="http://schemas.microsoft.com/office/drawing/2014/main" id="{00000000-0008-0000-0000-0000BC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3755" name="Button 2491" hidden="1">
              <a:extLst>
                <a:ext uri="{63B3BB69-23CF-44E3-9099-C40C66FF867C}">
                  <a14:compatExt spid="_x0000_s13755"/>
                </a:ext>
                <a:ext uri="{FF2B5EF4-FFF2-40B4-BE49-F238E27FC236}">
                  <a16:creationId xmlns:a16="http://schemas.microsoft.com/office/drawing/2014/main" id="{00000000-0008-0000-0000-0000BB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3754" name="Button 2490" hidden="1">
              <a:extLst>
                <a:ext uri="{63B3BB69-23CF-44E3-9099-C40C66FF867C}">
                  <a14:compatExt spid="_x0000_s13754"/>
                </a:ext>
                <a:ext uri="{FF2B5EF4-FFF2-40B4-BE49-F238E27FC236}">
                  <a16:creationId xmlns:a16="http://schemas.microsoft.com/office/drawing/2014/main" id="{00000000-0008-0000-0000-0000BA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3753" name="Button 2489" hidden="1">
              <a:extLst>
                <a:ext uri="{63B3BB69-23CF-44E3-9099-C40C66FF867C}">
                  <a14:compatExt spid="_x0000_s13753"/>
                </a:ext>
                <a:ext uri="{FF2B5EF4-FFF2-40B4-BE49-F238E27FC236}">
                  <a16:creationId xmlns:a16="http://schemas.microsoft.com/office/drawing/2014/main" id="{00000000-0008-0000-0000-0000B9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3752" name="Button 2488" hidden="1">
              <a:extLst>
                <a:ext uri="{63B3BB69-23CF-44E3-9099-C40C66FF867C}">
                  <a14:compatExt spid="_x0000_s13752"/>
                </a:ext>
                <a:ext uri="{FF2B5EF4-FFF2-40B4-BE49-F238E27FC236}">
                  <a16:creationId xmlns:a16="http://schemas.microsoft.com/office/drawing/2014/main" id="{00000000-0008-0000-0000-0000B8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3751" name="Button 2487" hidden="1">
              <a:extLst>
                <a:ext uri="{63B3BB69-23CF-44E3-9099-C40C66FF867C}">
                  <a14:compatExt spid="_x0000_s13751"/>
                </a:ext>
                <a:ext uri="{FF2B5EF4-FFF2-40B4-BE49-F238E27FC236}">
                  <a16:creationId xmlns:a16="http://schemas.microsoft.com/office/drawing/2014/main" id="{00000000-0008-0000-0000-0000B7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3750" name="Button 2486" hidden="1">
              <a:extLst>
                <a:ext uri="{63B3BB69-23CF-44E3-9099-C40C66FF867C}">
                  <a14:compatExt spid="_x0000_s13750"/>
                </a:ext>
                <a:ext uri="{FF2B5EF4-FFF2-40B4-BE49-F238E27FC236}">
                  <a16:creationId xmlns:a16="http://schemas.microsoft.com/office/drawing/2014/main" id="{00000000-0008-0000-0000-0000B6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3749" name="Button 2485" hidden="1">
              <a:extLst>
                <a:ext uri="{63B3BB69-23CF-44E3-9099-C40C66FF867C}">
                  <a14:compatExt spid="_x0000_s13749"/>
                </a:ext>
                <a:ext uri="{FF2B5EF4-FFF2-40B4-BE49-F238E27FC236}">
                  <a16:creationId xmlns:a16="http://schemas.microsoft.com/office/drawing/2014/main" id="{00000000-0008-0000-0000-0000B5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3748" name="Button 2484" hidden="1">
              <a:extLst>
                <a:ext uri="{63B3BB69-23CF-44E3-9099-C40C66FF867C}">
                  <a14:compatExt spid="_x0000_s13748"/>
                </a:ext>
                <a:ext uri="{FF2B5EF4-FFF2-40B4-BE49-F238E27FC236}">
                  <a16:creationId xmlns:a16="http://schemas.microsoft.com/office/drawing/2014/main" id="{00000000-0008-0000-0000-0000B4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606</xdr:row>
          <xdr:rowOff>0</xdr:rowOff>
        </xdr:to>
        <xdr:sp macro="" textlink="">
          <xdr:nvSpPr>
            <xdr:cNvPr id="13747" name="Button 2483" hidden="1">
              <a:extLst>
                <a:ext uri="{63B3BB69-23CF-44E3-9099-C40C66FF867C}">
                  <a14:compatExt spid="_x0000_s13747"/>
                </a:ext>
                <a:ext uri="{FF2B5EF4-FFF2-40B4-BE49-F238E27FC236}">
                  <a16:creationId xmlns:a16="http://schemas.microsoft.com/office/drawing/2014/main" id="{00000000-0008-0000-0000-0000B3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38100</xdr:rowOff>
        </xdr:to>
        <xdr:sp macro="" textlink="">
          <xdr:nvSpPr>
            <xdr:cNvPr id="13746" name="Button 2482" hidden="1">
              <a:extLst>
                <a:ext uri="{63B3BB69-23CF-44E3-9099-C40C66FF867C}">
                  <a14:compatExt spid="_x0000_s13746"/>
                </a:ext>
                <a:ext uri="{FF2B5EF4-FFF2-40B4-BE49-F238E27FC236}">
                  <a16:creationId xmlns:a16="http://schemas.microsoft.com/office/drawing/2014/main" id="{00000000-0008-0000-0000-0000B2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3745" name="Button 2481" hidden="1">
              <a:extLst>
                <a:ext uri="{63B3BB69-23CF-44E3-9099-C40C66FF867C}">
                  <a14:compatExt spid="_x0000_s13745"/>
                </a:ext>
                <a:ext uri="{FF2B5EF4-FFF2-40B4-BE49-F238E27FC236}">
                  <a16:creationId xmlns:a16="http://schemas.microsoft.com/office/drawing/2014/main" id="{00000000-0008-0000-0000-0000B1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617</xdr:row>
          <xdr:rowOff>0</xdr:rowOff>
        </xdr:to>
        <xdr:sp macro="" textlink="">
          <xdr:nvSpPr>
            <xdr:cNvPr id="13744" name="Button 2480" hidden="1">
              <a:extLst>
                <a:ext uri="{63B3BB69-23CF-44E3-9099-C40C66FF867C}">
                  <a14:compatExt spid="_x0000_s13744"/>
                </a:ext>
                <a:ext uri="{FF2B5EF4-FFF2-40B4-BE49-F238E27FC236}">
                  <a16:creationId xmlns:a16="http://schemas.microsoft.com/office/drawing/2014/main" id="{00000000-0008-0000-0000-0000B0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38100</xdr:rowOff>
        </xdr:to>
        <xdr:sp macro="" textlink="">
          <xdr:nvSpPr>
            <xdr:cNvPr id="13743" name="Button 2479" hidden="1">
              <a:extLst>
                <a:ext uri="{63B3BB69-23CF-44E3-9099-C40C66FF867C}">
                  <a14:compatExt spid="_x0000_s13743"/>
                </a:ext>
                <a:ext uri="{FF2B5EF4-FFF2-40B4-BE49-F238E27FC236}">
                  <a16:creationId xmlns:a16="http://schemas.microsoft.com/office/drawing/2014/main" id="{00000000-0008-0000-0000-0000AF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3742" name="Button 2478" hidden="1">
              <a:extLst>
                <a:ext uri="{63B3BB69-23CF-44E3-9099-C40C66FF867C}">
                  <a14:compatExt spid="_x0000_s13742"/>
                </a:ext>
                <a:ext uri="{FF2B5EF4-FFF2-40B4-BE49-F238E27FC236}">
                  <a16:creationId xmlns:a16="http://schemas.microsoft.com/office/drawing/2014/main" id="{00000000-0008-0000-0000-0000AE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3741" name="Button 2477" hidden="1">
              <a:extLst>
                <a:ext uri="{63B3BB69-23CF-44E3-9099-C40C66FF867C}">
                  <a14:compatExt spid="_x0000_s13741"/>
                </a:ext>
                <a:ext uri="{FF2B5EF4-FFF2-40B4-BE49-F238E27FC236}">
                  <a16:creationId xmlns:a16="http://schemas.microsoft.com/office/drawing/2014/main" id="{00000000-0008-0000-0000-0000AD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3740" name="Button 2476" hidden="1">
              <a:extLst>
                <a:ext uri="{63B3BB69-23CF-44E3-9099-C40C66FF867C}">
                  <a14:compatExt spid="_x0000_s13740"/>
                </a:ext>
                <a:ext uri="{FF2B5EF4-FFF2-40B4-BE49-F238E27FC236}">
                  <a16:creationId xmlns:a16="http://schemas.microsoft.com/office/drawing/2014/main" id="{00000000-0008-0000-0000-0000AC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3739" name="Button 2475" hidden="1">
              <a:extLst>
                <a:ext uri="{63B3BB69-23CF-44E3-9099-C40C66FF867C}">
                  <a14:compatExt spid="_x0000_s13739"/>
                </a:ext>
                <a:ext uri="{FF2B5EF4-FFF2-40B4-BE49-F238E27FC236}">
                  <a16:creationId xmlns:a16="http://schemas.microsoft.com/office/drawing/2014/main" id="{00000000-0008-0000-0000-0000AB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3738" name="Button 2474" hidden="1">
              <a:extLst>
                <a:ext uri="{63B3BB69-23CF-44E3-9099-C40C66FF867C}">
                  <a14:compatExt spid="_x0000_s13738"/>
                </a:ext>
                <a:ext uri="{FF2B5EF4-FFF2-40B4-BE49-F238E27FC236}">
                  <a16:creationId xmlns:a16="http://schemas.microsoft.com/office/drawing/2014/main" id="{00000000-0008-0000-0000-0000AA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3737" name="Button 2473" hidden="1">
              <a:extLst>
                <a:ext uri="{63B3BB69-23CF-44E3-9099-C40C66FF867C}">
                  <a14:compatExt spid="_x0000_s13737"/>
                </a:ext>
                <a:ext uri="{FF2B5EF4-FFF2-40B4-BE49-F238E27FC236}">
                  <a16:creationId xmlns:a16="http://schemas.microsoft.com/office/drawing/2014/main" id="{00000000-0008-0000-0000-0000A9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3736" name="Button 2472" hidden="1">
              <a:extLst>
                <a:ext uri="{63B3BB69-23CF-44E3-9099-C40C66FF867C}">
                  <a14:compatExt spid="_x0000_s13736"/>
                </a:ext>
                <a:ext uri="{FF2B5EF4-FFF2-40B4-BE49-F238E27FC236}">
                  <a16:creationId xmlns:a16="http://schemas.microsoft.com/office/drawing/2014/main" id="{00000000-0008-0000-0000-0000A8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3735" name="Button 2471" hidden="1">
              <a:extLst>
                <a:ext uri="{63B3BB69-23CF-44E3-9099-C40C66FF867C}">
                  <a14:compatExt spid="_x0000_s13735"/>
                </a:ext>
                <a:ext uri="{FF2B5EF4-FFF2-40B4-BE49-F238E27FC236}">
                  <a16:creationId xmlns:a16="http://schemas.microsoft.com/office/drawing/2014/main" id="{00000000-0008-0000-0000-0000A7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3734" name="Button 2470" hidden="1">
              <a:extLst>
                <a:ext uri="{63B3BB69-23CF-44E3-9099-C40C66FF867C}">
                  <a14:compatExt spid="_x0000_s13734"/>
                </a:ext>
                <a:ext uri="{FF2B5EF4-FFF2-40B4-BE49-F238E27FC236}">
                  <a16:creationId xmlns:a16="http://schemas.microsoft.com/office/drawing/2014/main" id="{00000000-0008-0000-0000-0000A6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3733" name="Button 2469" hidden="1">
              <a:extLst>
                <a:ext uri="{63B3BB69-23CF-44E3-9099-C40C66FF867C}">
                  <a14:compatExt spid="_x0000_s13733"/>
                </a:ext>
                <a:ext uri="{FF2B5EF4-FFF2-40B4-BE49-F238E27FC236}">
                  <a16:creationId xmlns:a16="http://schemas.microsoft.com/office/drawing/2014/main" id="{00000000-0008-0000-0000-0000A5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161925</xdr:rowOff>
        </xdr:to>
        <xdr:sp macro="" textlink="">
          <xdr:nvSpPr>
            <xdr:cNvPr id="13732" name="Button 2468" hidden="1">
              <a:extLst>
                <a:ext uri="{63B3BB69-23CF-44E3-9099-C40C66FF867C}">
                  <a14:compatExt spid="_x0000_s13732"/>
                </a:ext>
                <a:ext uri="{FF2B5EF4-FFF2-40B4-BE49-F238E27FC236}">
                  <a16:creationId xmlns:a16="http://schemas.microsoft.com/office/drawing/2014/main" id="{00000000-0008-0000-0000-0000A4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3731" name="Button 2467" hidden="1">
              <a:extLst>
                <a:ext uri="{63B3BB69-23CF-44E3-9099-C40C66FF867C}">
                  <a14:compatExt spid="_x0000_s13731"/>
                </a:ext>
                <a:ext uri="{FF2B5EF4-FFF2-40B4-BE49-F238E27FC236}">
                  <a16:creationId xmlns:a16="http://schemas.microsoft.com/office/drawing/2014/main" id="{00000000-0008-0000-0000-0000A3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3730" name="Button 2466" hidden="1">
              <a:extLst>
                <a:ext uri="{63B3BB69-23CF-44E3-9099-C40C66FF867C}">
                  <a14:compatExt spid="_x0000_s13730"/>
                </a:ext>
                <a:ext uri="{FF2B5EF4-FFF2-40B4-BE49-F238E27FC236}">
                  <a16:creationId xmlns:a16="http://schemas.microsoft.com/office/drawing/2014/main" id="{00000000-0008-0000-0000-0000A2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3729" name="Button 2465" hidden="1">
              <a:extLst>
                <a:ext uri="{63B3BB69-23CF-44E3-9099-C40C66FF867C}">
                  <a14:compatExt spid="_x0000_s13729"/>
                </a:ext>
                <a:ext uri="{FF2B5EF4-FFF2-40B4-BE49-F238E27FC236}">
                  <a16:creationId xmlns:a16="http://schemas.microsoft.com/office/drawing/2014/main" id="{00000000-0008-0000-0000-0000A1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161925</xdr:rowOff>
        </xdr:to>
        <xdr:sp macro="" textlink="">
          <xdr:nvSpPr>
            <xdr:cNvPr id="13728" name="Button 2464" hidden="1">
              <a:extLst>
                <a:ext uri="{63B3BB69-23CF-44E3-9099-C40C66FF867C}">
                  <a14:compatExt spid="_x0000_s13728"/>
                </a:ext>
                <a:ext uri="{FF2B5EF4-FFF2-40B4-BE49-F238E27FC236}">
                  <a16:creationId xmlns:a16="http://schemas.microsoft.com/office/drawing/2014/main" id="{00000000-0008-0000-0000-0000A0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3727" name="Button 2463" hidden="1">
              <a:extLst>
                <a:ext uri="{63B3BB69-23CF-44E3-9099-C40C66FF867C}">
                  <a14:compatExt spid="_x0000_s13727"/>
                </a:ext>
                <a:ext uri="{FF2B5EF4-FFF2-40B4-BE49-F238E27FC236}">
                  <a16:creationId xmlns:a16="http://schemas.microsoft.com/office/drawing/2014/main" id="{00000000-0008-0000-0000-00009F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3726" name="Button 2462" hidden="1">
              <a:extLst>
                <a:ext uri="{63B3BB69-23CF-44E3-9099-C40C66FF867C}">
                  <a14:compatExt spid="_x0000_s13726"/>
                </a:ext>
                <a:ext uri="{FF2B5EF4-FFF2-40B4-BE49-F238E27FC236}">
                  <a16:creationId xmlns:a16="http://schemas.microsoft.com/office/drawing/2014/main" id="{00000000-0008-0000-0000-00009E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3725" name="Button 2461" hidden="1">
              <a:extLst>
                <a:ext uri="{63B3BB69-23CF-44E3-9099-C40C66FF867C}">
                  <a14:compatExt spid="_x0000_s13725"/>
                </a:ext>
                <a:ext uri="{FF2B5EF4-FFF2-40B4-BE49-F238E27FC236}">
                  <a16:creationId xmlns:a16="http://schemas.microsoft.com/office/drawing/2014/main" id="{00000000-0008-0000-0000-00009D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3724" name="Button 2460" hidden="1">
              <a:extLst>
                <a:ext uri="{63B3BB69-23CF-44E3-9099-C40C66FF867C}">
                  <a14:compatExt spid="_x0000_s13724"/>
                </a:ext>
                <a:ext uri="{FF2B5EF4-FFF2-40B4-BE49-F238E27FC236}">
                  <a16:creationId xmlns:a16="http://schemas.microsoft.com/office/drawing/2014/main" id="{00000000-0008-0000-0000-00009C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3723" name="Button 2459" hidden="1">
              <a:extLst>
                <a:ext uri="{63B3BB69-23CF-44E3-9099-C40C66FF867C}">
                  <a14:compatExt spid="_x0000_s13723"/>
                </a:ext>
                <a:ext uri="{FF2B5EF4-FFF2-40B4-BE49-F238E27FC236}">
                  <a16:creationId xmlns:a16="http://schemas.microsoft.com/office/drawing/2014/main" id="{00000000-0008-0000-0000-00009B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3722" name="Button 2458" hidden="1">
              <a:extLst>
                <a:ext uri="{63B3BB69-23CF-44E3-9099-C40C66FF867C}">
                  <a14:compatExt spid="_x0000_s13722"/>
                </a:ext>
                <a:ext uri="{FF2B5EF4-FFF2-40B4-BE49-F238E27FC236}">
                  <a16:creationId xmlns:a16="http://schemas.microsoft.com/office/drawing/2014/main" id="{00000000-0008-0000-0000-00009A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3721" name="Button 2457" hidden="1">
              <a:extLst>
                <a:ext uri="{63B3BB69-23CF-44E3-9099-C40C66FF867C}">
                  <a14:compatExt spid="_x0000_s13721"/>
                </a:ext>
                <a:ext uri="{FF2B5EF4-FFF2-40B4-BE49-F238E27FC236}">
                  <a16:creationId xmlns:a16="http://schemas.microsoft.com/office/drawing/2014/main" id="{00000000-0008-0000-0000-000099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3720" name="Button 2456" hidden="1">
              <a:extLst>
                <a:ext uri="{63B3BB69-23CF-44E3-9099-C40C66FF867C}">
                  <a14:compatExt spid="_x0000_s13720"/>
                </a:ext>
                <a:ext uri="{FF2B5EF4-FFF2-40B4-BE49-F238E27FC236}">
                  <a16:creationId xmlns:a16="http://schemas.microsoft.com/office/drawing/2014/main" id="{00000000-0008-0000-0000-000098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3719" name="Button 2455" hidden="1">
              <a:extLst>
                <a:ext uri="{63B3BB69-23CF-44E3-9099-C40C66FF867C}">
                  <a14:compatExt spid="_x0000_s13719"/>
                </a:ext>
                <a:ext uri="{FF2B5EF4-FFF2-40B4-BE49-F238E27FC236}">
                  <a16:creationId xmlns:a16="http://schemas.microsoft.com/office/drawing/2014/main" id="{00000000-0008-0000-0000-000097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3718" name="Button 2454" hidden="1">
              <a:extLst>
                <a:ext uri="{63B3BB69-23CF-44E3-9099-C40C66FF867C}">
                  <a14:compatExt spid="_x0000_s13718"/>
                </a:ext>
                <a:ext uri="{FF2B5EF4-FFF2-40B4-BE49-F238E27FC236}">
                  <a16:creationId xmlns:a16="http://schemas.microsoft.com/office/drawing/2014/main" id="{00000000-0008-0000-0000-000096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3717" name="Button 2453" hidden="1">
              <a:extLst>
                <a:ext uri="{63B3BB69-23CF-44E3-9099-C40C66FF867C}">
                  <a14:compatExt spid="_x0000_s13717"/>
                </a:ext>
                <a:ext uri="{FF2B5EF4-FFF2-40B4-BE49-F238E27FC236}">
                  <a16:creationId xmlns:a16="http://schemas.microsoft.com/office/drawing/2014/main" id="{00000000-0008-0000-0000-000095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3716" name="Button 2452" hidden="1">
              <a:extLst>
                <a:ext uri="{63B3BB69-23CF-44E3-9099-C40C66FF867C}">
                  <a14:compatExt spid="_x0000_s13716"/>
                </a:ext>
                <a:ext uri="{FF2B5EF4-FFF2-40B4-BE49-F238E27FC236}">
                  <a16:creationId xmlns:a16="http://schemas.microsoft.com/office/drawing/2014/main" id="{00000000-0008-0000-0000-000094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3715" name="Button 2451" hidden="1">
              <a:extLst>
                <a:ext uri="{63B3BB69-23CF-44E3-9099-C40C66FF867C}">
                  <a14:compatExt spid="_x0000_s13715"/>
                </a:ext>
                <a:ext uri="{FF2B5EF4-FFF2-40B4-BE49-F238E27FC236}">
                  <a16:creationId xmlns:a16="http://schemas.microsoft.com/office/drawing/2014/main" id="{00000000-0008-0000-0000-000093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3714" name="Button 2450" hidden="1">
              <a:extLst>
                <a:ext uri="{63B3BB69-23CF-44E3-9099-C40C66FF867C}">
                  <a14:compatExt spid="_x0000_s13714"/>
                </a:ext>
                <a:ext uri="{FF2B5EF4-FFF2-40B4-BE49-F238E27FC236}">
                  <a16:creationId xmlns:a16="http://schemas.microsoft.com/office/drawing/2014/main" id="{00000000-0008-0000-0000-000092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3713" name="Button 2449" hidden="1">
              <a:extLst>
                <a:ext uri="{63B3BB69-23CF-44E3-9099-C40C66FF867C}">
                  <a14:compatExt spid="_x0000_s13713"/>
                </a:ext>
                <a:ext uri="{FF2B5EF4-FFF2-40B4-BE49-F238E27FC236}">
                  <a16:creationId xmlns:a16="http://schemas.microsoft.com/office/drawing/2014/main" id="{00000000-0008-0000-0000-000091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3712" name="Button 2448" hidden="1">
              <a:extLst>
                <a:ext uri="{63B3BB69-23CF-44E3-9099-C40C66FF867C}">
                  <a14:compatExt spid="_x0000_s13712"/>
                </a:ext>
                <a:ext uri="{FF2B5EF4-FFF2-40B4-BE49-F238E27FC236}">
                  <a16:creationId xmlns:a16="http://schemas.microsoft.com/office/drawing/2014/main" id="{00000000-0008-0000-0000-000090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3711" name="Button 2447" hidden="1">
              <a:extLst>
                <a:ext uri="{63B3BB69-23CF-44E3-9099-C40C66FF867C}">
                  <a14:compatExt spid="_x0000_s13711"/>
                </a:ext>
                <a:ext uri="{FF2B5EF4-FFF2-40B4-BE49-F238E27FC236}">
                  <a16:creationId xmlns:a16="http://schemas.microsoft.com/office/drawing/2014/main" id="{00000000-0008-0000-0000-00008F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3710" name="Button 2446" hidden="1">
              <a:extLst>
                <a:ext uri="{63B3BB69-23CF-44E3-9099-C40C66FF867C}">
                  <a14:compatExt spid="_x0000_s13710"/>
                </a:ext>
                <a:ext uri="{FF2B5EF4-FFF2-40B4-BE49-F238E27FC236}">
                  <a16:creationId xmlns:a16="http://schemas.microsoft.com/office/drawing/2014/main" id="{00000000-0008-0000-0000-00008E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3709" name="Button 2445" hidden="1">
              <a:extLst>
                <a:ext uri="{63B3BB69-23CF-44E3-9099-C40C66FF867C}">
                  <a14:compatExt spid="_x0000_s13709"/>
                </a:ext>
                <a:ext uri="{FF2B5EF4-FFF2-40B4-BE49-F238E27FC236}">
                  <a16:creationId xmlns:a16="http://schemas.microsoft.com/office/drawing/2014/main" id="{00000000-0008-0000-0000-00008D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3708" name="Button 2444" hidden="1">
              <a:extLst>
                <a:ext uri="{63B3BB69-23CF-44E3-9099-C40C66FF867C}">
                  <a14:compatExt spid="_x0000_s13708"/>
                </a:ext>
                <a:ext uri="{FF2B5EF4-FFF2-40B4-BE49-F238E27FC236}">
                  <a16:creationId xmlns:a16="http://schemas.microsoft.com/office/drawing/2014/main" id="{00000000-0008-0000-0000-00008C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3707" name="Button 2443" hidden="1">
              <a:extLst>
                <a:ext uri="{63B3BB69-23CF-44E3-9099-C40C66FF867C}">
                  <a14:compatExt spid="_x0000_s13707"/>
                </a:ext>
                <a:ext uri="{FF2B5EF4-FFF2-40B4-BE49-F238E27FC236}">
                  <a16:creationId xmlns:a16="http://schemas.microsoft.com/office/drawing/2014/main" id="{00000000-0008-0000-0000-00008B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3706" name="Button 2442" hidden="1">
              <a:extLst>
                <a:ext uri="{63B3BB69-23CF-44E3-9099-C40C66FF867C}">
                  <a14:compatExt spid="_x0000_s13706"/>
                </a:ext>
                <a:ext uri="{FF2B5EF4-FFF2-40B4-BE49-F238E27FC236}">
                  <a16:creationId xmlns:a16="http://schemas.microsoft.com/office/drawing/2014/main" id="{00000000-0008-0000-0000-00008A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3705" name="Button 2441" hidden="1">
              <a:extLst>
                <a:ext uri="{63B3BB69-23CF-44E3-9099-C40C66FF867C}">
                  <a14:compatExt spid="_x0000_s13705"/>
                </a:ext>
                <a:ext uri="{FF2B5EF4-FFF2-40B4-BE49-F238E27FC236}">
                  <a16:creationId xmlns:a16="http://schemas.microsoft.com/office/drawing/2014/main" id="{00000000-0008-0000-0000-000089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3704" name="Button 2440" hidden="1">
              <a:extLst>
                <a:ext uri="{63B3BB69-23CF-44E3-9099-C40C66FF867C}">
                  <a14:compatExt spid="_x0000_s13704"/>
                </a:ext>
                <a:ext uri="{FF2B5EF4-FFF2-40B4-BE49-F238E27FC236}">
                  <a16:creationId xmlns:a16="http://schemas.microsoft.com/office/drawing/2014/main" id="{00000000-0008-0000-0000-000088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666</xdr:row>
          <xdr:rowOff>0</xdr:rowOff>
        </xdr:to>
        <xdr:sp macro="" textlink="">
          <xdr:nvSpPr>
            <xdr:cNvPr id="13703" name="Button 2439" hidden="1">
              <a:extLst>
                <a:ext uri="{63B3BB69-23CF-44E3-9099-C40C66FF867C}">
                  <a14:compatExt spid="_x0000_s13703"/>
                </a:ext>
                <a:ext uri="{FF2B5EF4-FFF2-40B4-BE49-F238E27FC236}">
                  <a16:creationId xmlns:a16="http://schemas.microsoft.com/office/drawing/2014/main" id="{00000000-0008-0000-0000-000087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38100</xdr:rowOff>
        </xdr:to>
        <xdr:sp macro="" textlink="">
          <xdr:nvSpPr>
            <xdr:cNvPr id="13702" name="Button 2438" hidden="1">
              <a:extLst>
                <a:ext uri="{63B3BB69-23CF-44E3-9099-C40C66FF867C}">
                  <a14:compatExt spid="_x0000_s13702"/>
                </a:ext>
                <a:ext uri="{FF2B5EF4-FFF2-40B4-BE49-F238E27FC236}">
                  <a16:creationId xmlns:a16="http://schemas.microsoft.com/office/drawing/2014/main" id="{00000000-0008-0000-0000-000086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3701" name="Button 2437" hidden="1">
              <a:extLst>
                <a:ext uri="{63B3BB69-23CF-44E3-9099-C40C66FF867C}">
                  <a14:compatExt spid="_x0000_s13701"/>
                </a:ext>
                <a:ext uri="{FF2B5EF4-FFF2-40B4-BE49-F238E27FC236}">
                  <a16:creationId xmlns:a16="http://schemas.microsoft.com/office/drawing/2014/main" id="{00000000-0008-0000-0000-000085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3700" name="Button 2436" hidden="1">
              <a:extLst>
                <a:ext uri="{63B3BB69-23CF-44E3-9099-C40C66FF867C}">
                  <a14:compatExt spid="_x0000_s13700"/>
                </a:ext>
                <a:ext uri="{FF2B5EF4-FFF2-40B4-BE49-F238E27FC236}">
                  <a16:creationId xmlns:a16="http://schemas.microsoft.com/office/drawing/2014/main" id="{00000000-0008-0000-0000-000084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3699" name="Button 2435" hidden="1">
              <a:extLst>
                <a:ext uri="{63B3BB69-23CF-44E3-9099-C40C66FF867C}">
                  <a14:compatExt spid="_x0000_s13699"/>
                </a:ext>
                <a:ext uri="{FF2B5EF4-FFF2-40B4-BE49-F238E27FC236}">
                  <a16:creationId xmlns:a16="http://schemas.microsoft.com/office/drawing/2014/main" id="{00000000-0008-0000-0000-000083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161925</xdr:rowOff>
        </xdr:to>
        <xdr:sp macro="" textlink="">
          <xdr:nvSpPr>
            <xdr:cNvPr id="13698" name="Button 2434" hidden="1">
              <a:extLst>
                <a:ext uri="{63B3BB69-23CF-44E3-9099-C40C66FF867C}">
                  <a14:compatExt spid="_x0000_s13698"/>
                </a:ext>
                <a:ext uri="{FF2B5EF4-FFF2-40B4-BE49-F238E27FC236}">
                  <a16:creationId xmlns:a16="http://schemas.microsoft.com/office/drawing/2014/main" id="{00000000-0008-0000-0000-000082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3697" name="Button 2433" hidden="1">
              <a:extLst>
                <a:ext uri="{63B3BB69-23CF-44E3-9099-C40C66FF867C}">
                  <a14:compatExt spid="_x0000_s13697"/>
                </a:ext>
                <a:ext uri="{FF2B5EF4-FFF2-40B4-BE49-F238E27FC236}">
                  <a16:creationId xmlns:a16="http://schemas.microsoft.com/office/drawing/2014/main" id="{00000000-0008-0000-0000-000081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3696" name="Button 2432" hidden="1">
              <a:extLst>
                <a:ext uri="{63B3BB69-23CF-44E3-9099-C40C66FF867C}">
                  <a14:compatExt spid="_x0000_s13696"/>
                </a:ext>
                <a:ext uri="{FF2B5EF4-FFF2-40B4-BE49-F238E27FC236}">
                  <a16:creationId xmlns:a16="http://schemas.microsoft.com/office/drawing/2014/main" id="{00000000-0008-0000-0000-000080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3695" name="Button 2431" hidden="1">
              <a:extLst>
                <a:ext uri="{63B3BB69-23CF-44E3-9099-C40C66FF867C}">
                  <a14:compatExt spid="_x0000_s13695"/>
                </a:ext>
                <a:ext uri="{FF2B5EF4-FFF2-40B4-BE49-F238E27FC236}">
                  <a16:creationId xmlns:a16="http://schemas.microsoft.com/office/drawing/2014/main" id="{00000000-0008-0000-0000-00007F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3694" name="Button 2430" hidden="1">
              <a:extLst>
                <a:ext uri="{63B3BB69-23CF-44E3-9099-C40C66FF867C}">
                  <a14:compatExt spid="_x0000_s13694"/>
                </a:ext>
                <a:ext uri="{FF2B5EF4-FFF2-40B4-BE49-F238E27FC236}">
                  <a16:creationId xmlns:a16="http://schemas.microsoft.com/office/drawing/2014/main" id="{00000000-0008-0000-0000-00007E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3693" name="Button 2429" hidden="1">
              <a:extLst>
                <a:ext uri="{63B3BB69-23CF-44E3-9099-C40C66FF867C}">
                  <a14:compatExt spid="_x0000_s13693"/>
                </a:ext>
                <a:ext uri="{FF2B5EF4-FFF2-40B4-BE49-F238E27FC236}">
                  <a16:creationId xmlns:a16="http://schemas.microsoft.com/office/drawing/2014/main" id="{00000000-0008-0000-0000-00007D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3692" name="Button 2428" hidden="1">
              <a:extLst>
                <a:ext uri="{63B3BB69-23CF-44E3-9099-C40C66FF867C}">
                  <a14:compatExt spid="_x0000_s13692"/>
                </a:ext>
                <a:ext uri="{FF2B5EF4-FFF2-40B4-BE49-F238E27FC236}">
                  <a16:creationId xmlns:a16="http://schemas.microsoft.com/office/drawing/2014/main" id="{00000000-0008-0000-0000-00007C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3691" name="Button 2427" hidden="1">
              <a:extLst>
                <a:ext uri="{63B3BB69-23CF-44E3-9099-C40C66FF867C}">
                  <a14:compatExt spid="_x0000_s13691"/>
                </a:ext>
                <a:ext uri="{FF2B5EF4-FFF2-40B4-BE49-F238E27FC236}">
                  <a16:creationId xmlns:a16="http://schemas.microsoft.com/office/drawing/2014/main" id="{00000000-0008-0000-0000-00007B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3690" name="Button 2426" hidden="1">
              <a:extLst>
                <a:ext uri="{63B3BB69-23CF-44E3-9099-C40C66FF867C}">
                  <a14:compatExt spid="_x0000_s13690"/>
                </a:ext>
                <a:ext uri="{FF2B5EF4-FFF2-40B4-BE49-F238E27FC236}">
                  <a16:creationId xmlns:a16="http://schemas.microsoft.com/office/drawing/2014/main" id="{00000000-0008-0000-0000-00007A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3689" name="Button 2425" hidden="1">
              <a:extLst>
                <a:ext uri="{63B3BB69-23CF-44E3-9099-C40C66FF867C}">
                  <a14:compatExt spid="_x0000_s13689"/>
                </a:ext>
                <a:ext uri="{FF2B5EF4-FFF2-40B4-BE49-F238E27FC236}">
                  <a16:creationId xmlns:a16="http://schemas.microsoft.com/office/drawing/2014/main" id="{00000000-0008-0000-0000-000079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3688" name="Button 2424" hidden="1">
              <a:extLst>
                <a:ext uri="{63B3BB69-23CF-44E3-9099-C40C66FF867C}">
                  <a14:compatExt spid="_x0000_s13688"/>
                </a:ext>
                <a:ext uri="{FF2B5EF4-FFF2-40B4-BE49-F238E27FC236}">
                  <a16:creationId xmlns:a16="http://schemas.microsoft.com/office/drawing/2014/main" id="{00000000-0008-0000-0000-000078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3687" name="Button 2423" hidden="1">
              <a:extLst>
                <a:ext uri="{63B3BB69-23CF-44E3-9099-C40C66FF867C}">
                  <a14:compatExt spid="_x0000_s13687"/>
                </a:ext>
                <a:ext uri="{FF2B5EF4-FFF2-40B4-BE49-F238E27FC236}">
                  <a16:creationId xmlns:a16="http://schemas.microsoft.com/office/drawing/2014/main" id="{00000000-0008-0000-0000-000077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3686" name="Button 2422" hidden="1">
              <a:extLst>
                <a:ext uri="{63B3BB69-23CF-44E3-9099-C40C66FF867C}">
                  <a14:compatExt spid="_x0000_s13686"/>
                </a:ext>
                <a:ext uri="{FF2B5EF4-FFF2-40B4-BE49-F238E27FC236}">
                  <a16:creationId xmlns:a16="http://schemas.microsoft.com/office/drawing/2014/main" id="{00000000-0008-0000-0000-000076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3685" name="Button 2421" hidden="1">
              <a:extLst>
                <a:ext uri="{63B3BB69-23CF-44E3-9099-C40C66FF867C}">
                  <a14:compatExt spid="_x0000_s13685"/>
                </a:ext>
                <a:ext uri="{FF2B5EF4-FFF2-40B4-BE49-F238E27FC236}">
                  <a16:creationId xmlns:a16="http://schemas.microsoft.com/office/drawing/2014/main" id="{00000000-0008-0000-0000-000075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3684" name="Button 2420" hidden="1">
              <a:extLst>
                <a:ext uri="{63B3BB69-23CF-44E3-9099-C40C66FF867C}">
                  <a14:compatExt spid="_x0000_s13684"/>
                </a:ext>
                <a:ext uri="{FF2B5EF4-FFF2-40B4-BE49-F238E27FC236}">
                  <a16:creationId xmlns:a16="http://schemas.microsoft.com/office/drawing/2014/main" id="{00000000-0008-0000-0000-000074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3683" name="Button 2419" hidden="1">
              <a:extLst>
                <a:ext uri="{63B3BB69-23CF-44E3-9099-C40C66FF867C}">
                  <a14:compatExt spid="_x0000_s13683"/>
                </a:ext>
                <a:ext uri="{FF2B5EF4-FFF2-40B4-BE49-F238E27FC236}">
                  <a16:creationId xmlns:a16="http://schemas.microsoft.com/office/drawing/2014/main" id="{00000000-0008-0000-0000-000073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3682" name="Button 2418" hidden="1">
              <a:extLst>
                <a:ext uri="{63B3BB69-23CF-44E3-9099-C40C66FF867C}">
                  <a14:compatExt spid="_x0000_s13682"/>
                </a:ext>
                <a:ext uri="{FF2B5EF4-FFF2-40B4-BE49-F238E27FC236}">
                  <a16:creationId xmlns:a16="http://schemas.microsoft.com/office/drawing/2014/main" id="{00000000-0008-0000-0000-000072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161925</xdr:rowOff>
        </xdr:to>
        <xdr:sp macro="" textlink="">
          <xdr:nvSpPr>
            <xdr:cNvPr id="13681" name="Button 2417" hidden="1">
              <a:extLst>
                <a:ext uri="{63B3BB69-23CF-44E3-9099-C40C66FF867C}">
                  <a14:compatExt spid="_x0000_s13681"/>
                </a:ext>
                <a:ext uri="{FF2B5EF4-FFF2-40B4-BE49-F238E27FC236}">
                  <a16:creationId xmlns:a16="http://schemas.microsoft.com/office/drawing/2014/main" id="{00000000-0008-0000-0000-000071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3680" name="Button 2416" hidden="1">
              <a:extLst>
                <a:ext uri="{63B3BB69-23CF-44E3-9099-C40C66FF867C}">
                  <a14:compatExt spid="_x0000_s13680"/>
                </a:ext>
                <a:ext uri="{FF2B5EF4-FFF2-40B4-BE49-F238E27FC236}">
                  <a16:creationId xmlns:a16="http://schemas.microsoft.com/office/drawing/2014/main" id="{00000000-0008-0000-0000-000070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161925</xdr:rowOff>
        </xdr:to>
        <xdr:sp macro="" textlink="">
          <xdr:nvSpPr>
            <xdr:cNvPr id="13679" name="Button 2415" hidden="1">
              <a:extLst>
                <a:ext uri="{63B3BB69-23CF-44E3-9099-C40C66FF867C}">
                  <a14:compatExt spid="_x0000_s13679"/>
                </a:ext>
                <a:ext uri="{FF2B5EF4-FFF2-40B4-BE49-F238E27FC236}">
                  <a16:creationId xmlns:a16="http://schemas.microsoft.com/office/drawing/2014/main" id="{00000000-0008-0000-0000-00006F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3678" name="Button 2414" hidden="1">
              <a:extLst>
                <a:ext uri="{63B3BB69-23CF-44E3-9099-C40C66FF867C}">
                  <a14:compatExt spid="_x0000_s13678"/>
                </a:ext>
                <a:ext uri="{FF2B5EF4-FFF2-40B4-BE49-F238E27FC236}">
                  <a16:creationId xmlns:a16="http://schemas.microsoft.com/office/drawing/2014/main" id="{00000000-0008-0000-0000-00006E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3677" name="Button 2413" hidden="1">
              <a:extLst>
                <a:ext uri="{63B3BB69-23CF-44E3-9099-C40C66FF867C}">
                  <a14:compatExt spid="_x0000_s13677"/>
                </a:ext>
                <a:ext uri="{FF2B5EF4-FFF2-40B4-BE49-F238E27FC236}">
                  <a16:creationId xmlns:a16="http://schemas.microsoft.com/office/drawing/2014/main" id="{00000000-0008-0000-0000-00006D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3676" name="Button 2412" hidden="1">
              <a:extLst>
                <a:ext uri="{63B3BB69-23CF-44E3-9099-C40C66FF867C}">
                  <a14:compatExt spid="_x0000_s13676"/>
                </a:ext>
                <a:ext uri="{FF2B5EF4-FFF2-40B4-BE49-F238E27FC236}">
                  <a16:creationId xmlns:a16="http://schemas.microsoft.com/office/drawing/2014/main" id="{00000000-0008-0000-0000-00006C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3675" name="Button 2411" hidden="1">
              <a:extLst>
                <a:ext uri="{63B3BB69-23CF-44E3-9099-C40C66FF867C}">
                  <a14:compatExt spid="_x0000_s13675"/>
                </a:ext>
                <a:ext uri="{FF2B5EF4-FFF2-40B4-BE49-F238E27FC236}">
                  <a16:creationId xmlns:a16="http://schemas.microsoft.com/office/drawing/2014/main" id="{00000000-0008-0000-0000-00006B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3674" name="Button 2410" hidden="1">
              <a:extLst>
                <a:ext uri="{63B3BB69-23CF-44E3-9099-C40C66FF867C}">
                  <a14:compatExt spid="_x0000_s13674"/>
                </a:ext>
                <a:ext uri="{FF2B5EF4-FFF2-40B4-BE49-F238E27FC236}">
                  <a16:creationId xmlns:a16="http://schemas.microsoft.com/office/drawing/2014/main" id="{00000000-0008-0000-0000-00006A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3673" name="Button 2409" hidden="1">
              <a:extLst>
                <a:ext uri="{63B3BB69-23CF-44E3-9099-C40C66FF867C}">
                  <a14:compatExt spid="_x0000_s13673"/>
                </a:ext>
                <a:ext uri="{FF2B5EF4-FFF2-40B4-BE49-F238E27FC236}">
                  <a16:creationId xmlns:a16="http://schemas.microsoft.com/office/drawing/2014/main" id="{00000000-0008-0000-0000-000069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3672" name="Button 2408" hidden="1">
              <a:extLst>
                <a:ext uri="{63B3BB69-23CF-44E3-9099-C40C66FF867C}">
                  <a14:compatExt spid="_x0000_s13672"/>
                </a:ext>
                <a:ext uri="{FF2B5EF4-FFF2-40B4-BE49-F238E27FC236}">
                  <a16:creationId xmlns:a16="http://schemas.microsoft.com/office/drawing/2014/main" id="{00000000-0008-0000-0000-000068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3671" name="Button 2407" hidden="1">
              <a:extLst>
                <a:ext uri="{63B3BB69-23CF-44E3-9099-C40C66FF867C}">
                  <a14:compatExt spid="_x0000_s13671"/>
                </a:ext>
                <a:ext uri="{FF2B5EF4-FFF2-40B4-BE49-F238E27FC236}">
                  <a16:creationId xmlns:a16="http://schemas.microsoft.com/office/drawing/2014/main" id="{00000000-0008-0000-0000-000067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3670" name="Button 2406" hidden="1">
              <a:extLst>
                <a:ext uri="{63B3BB69-23CF-44E3-9099-C40C66FF867C}">
                  <a14:compatExt spid="_x0000_s13670"/>
                </a:ext>
                <a:ext uri="{FF2B5EF4-FFF2-40B4-BE49-F238E27FC236}">
                  <a16:creationId xmlns:a16="http://schemas.microsoft.com/office/drawing/2014/main" id="{00000000-0008-0000-0000-000066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3669" name="Button 2405" hidden="1">
              <a:extLst>
                <a:ext uri="{63B3BB69-23CF-44E3-9099-C40C66FF867C}">
                  <a14:compatExt spid="_x0000_s13669"/>
                </a:ext>
                <a:ext uri="{FF2B5EF4-FFF2-40B4-BE49-F238E27FC236}">
                  <a16:creationId xmlns:a16="http://schemas.microsoft.com/office/drawing/2014/main" id="{00000000-0008-0000-0000-000065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3668" name="Button 2404" hidden="1">
              <a:extLst>
                <a:ext uri="{63B3BB69-23CF-44E3-9099-C40C66FF867C}">
                  <a14:compatExt spid="_x0000_s13668"/>
                </a:ext>
                <a:ext uri="{FF2B5EF4-FFF2-40B4-BE49-F238E27FC236}">
                  <a16:creationId xmlns:a16="http://schemas.microsoft.com/office/drawing/2014/main" id="{00000000-0008-0000-0000-000064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3667" name="Button 2403" hidden="1">
              <a:extLst>
                <a:ext uri="{63B3BB69-23CF-44E3-9099-C40C66FF867C}">
                  <a14:compatExt spid="_x0000_s13667"/>
                </a:ext>
                <a:ext uri="{FF2B5EF4-FFF2-40B4-BE49-F238E27FC236}">
                  <a16:creationId xmlns:a16="http://schemas.microsoft.com/office/drawing/2014/main" id="{00000000-0008-0000-0000-000063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711</xdr:row>
          <xdr:rowOff>0</xdr:rowOff>
        </xdr:to>
        <xdr:sp macro="" textlink="">
          <xdr:nvSpPr>
            <xdr:cNvPr id="13666" name="Button 2402" hidden="1">
              <a:extLst>
                <a:ext uri="{63B3BB69-23CF-44E3-9099-C40C66FF867C}">
                  <a14:compatExt spid="_x0000_s13666"/>
                </a:ext>
                <a:ext uri="{FF2B5EF4-FFF2-40B4-BE49-F238E27FC236}">
                  <a16:creationId xmlns:a16="http://schemas.microsoft.com/office/drawing/2014/main" id="{00000000-0008-0000-0000-000062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38100</xdr:rowOff>
        </xdr:to>
        <xdr:sp macro="" textlink="">
          <xdr:nvSpPr>
            <xdr:cNvPr id="13665" name="Button 2401" hidden="1">
              <a:extLst>
                <a:ext uri="{63B3BB69-23CF-44E3-9099-C40C66FF867C}">
                  <a14:compatExt spid="_x0000_s13665"/>
                </a:ext>
                <a:ext uri="{FF2B5EF4-FFF2-40B4-BE49-F238E27FC236}">
                  <a16:creationId xmlns:a16="http://schemas.microsoft.com/office/drawing/2014/main" id="{00000000-0008-0000-0000-000061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3664" name="Button 2400" hidden="1">
              <a:extLst>
                <a:ext uri="{63B3BB69-23CF-44E3-9099-C40C66FF867C}">
                  <a14:compatExt spid="_x0000_s13664"/>
                </a:ext>
                <a:ext uri="{FF2B5EF4-FFF2-40B4-BE49-F238E27FC236}">
                  <a16:creationId xmlns:a16="http://schemas.microsoft.com/office/drawing/2014/main" id="{00000000-0008-0000-0000-000060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3663" name="Button 2399" hidden="1">
              <a:extLst>
                <a:ext uri="{63B3BB69-23CF-44E3-9099-C40C66FF867C}">
                  <a14:compatExt spid="_x0000_s13663"/>
                </a:ext>
                <a:ext uri="{FF2B5EF4-FFF2-40B4-BE49-F238E27FC236}">
                  <a16:creationId xmlns:a16="http://schemas.microsoft.com/office/drawing/2014/main" id="{00000000-0008-0000-0000-00005F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3662" name="Button 2398" hidden="1">
              <a:extLst>
                <a:ext uri="{63B3BB69-23CF-44E3-9099-C40C66FF867C}">
                  <a14:compatExt spid="_x0000_s13662"/>
                </a:ext>
                <a:ext uri="{FF2B5EF4-FFF2-40B4-BE49-F238E27FC236}">
                  <a16:creationId xmlns:a16="http://schemas.microsoft.com/office/drawing/2014/main" id="{00000000-0008-0000-0000-00005E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3661" name="Button 2397" hidden="1">
              <a:extLst>
                <a:ext uri="{63B3BB69-23CF-44E3-9099-C40C66FF867C}">
                  <a14:compatExt spid="_x0000_s13661"/>
                </a:ext>
                <a:ext uri="{FF2B5EF4-FFF2-40B4-BE49-F238E27FC236}">
                  <a16:creationId xmlns:a16="http://schemas.microsoft.com/office/drawing/2014/main" id="{00000000-0008-0000-0000-00005D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3660" name="Button 2396" hidden="1">
              <a:extLst>
                <a:ext uri="{63B3BB69-23CF-44E3-9099-C40C66FF867C}">
                  <a14:compatExt spid="_x0000_s13660"/>
                </a:ext>
                <a:ext uri="{FF2B5EF4-FFF2-40B4-BE49-F238E27FC236}">
                  <a16:creationId xmlns:a16="http://schemas.microsoft.com/office/drawing/2014/main" id="{00000000-0008-0000-0000-00005C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726</xdr:row>
          <xdr:rowOff>0</xdr:rowOff>
        </xdr:to>
        <xdr:sp macro="" textlink="">
          <xdr:nvSpPr>
            <xdr:cNvPr id="13659" name="Button 2395" hidden="1">
              <a:extLst>
                <a:ext uri="{63B3BB69-23CF-44E3-9099-C40C66FF867C}">
                  <a14:compatExt spid="_x0000_s13659"/>
                </a:ext>
                <a:ext uri="{FF2B5EF4-FFF2-40B4-BE49-F238E27FC236}">
                  <a16:creationId xmlns:a16="http://schemas.microsoft.com/office/drawing/2014/main" id="{00000000-0008-0000-0000-00005B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38100</xdr:rowOff>
        </xdr:to>
        <xdr:sp macro="" textlink="">
          <xdr:nvSpPr>
            <xdr:cNvPr id="13658" name="Button 2394" hidden="1">
              <a:extLst>
                <a:ext uri="{63B3BB69-23CF-44E3-9099-C40C66FF867C}">
                  <a14:compatExt spid="_x0000_s13658"/>
                </a:ext>
                <a:ext uri="{FF2B5EF4-FFF2-40B4-BE49-F238E27FC236}">
                  <a16:creationId xmlns:a16="http://schemas.microsoft.com/office/drawing/2014/main" id="{00000000-0008-0000-0000-00005A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3657" name="Button 2393" hidden="1">
              <a:extLst>
                <a:ext uri="{63B3BB69-23CF-44E3-9099-C40C66FF867C}">
                  <a14:compatExt spid="_x0000_s13657"/>
                </a:ext>
                <a:ext uri="{FF2B5EF4-FFF2-40B4-BE49-F238E27FC236}">
                  <a16:creationId xmlns:a16="http://schemas.microsoft.com/office/drawing/2014/main" id="{00000000-0008-0000-0000-000059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161925</xdr:rowOff>
        </xdr:to>
        <xdr:sp macro="" textlink="">
          <xdr:nvSpPr>
            <xdr:cNvPr id="13656" name="Button 2392" hidden="1">
              <a:extLst>
                <a:ext uri="{63B3BB69-23CF-44E3-9099-C40C66FF867C}">
                  <a14:compatExt spid="_x0000_s13656"/>
                </a:ext>
                <a:ext uri="{FF2B5EF4-FFF2-40B4-BE49-F238E27FC236}">
                  <a16:creationId xmlns:a16="http://schemas.microsoft.com/office/drawing/2014/main" id="{00000000-0008-0000-0000-000058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3655" name="Button 2391" hidden="1">
              <a:extLst>
                <a:ext uri="{63B3BB69-23CF-44E3-9099-C40C66FF867C}">
                  <a14:compatExt spid="_x0000_s13655"/>
                </a:ext>
                <a:ext uri="{FF2B5EF4-FFF2-40B4-BE49-F238E27FC236}">
                  <a16:creationId xmlns:a16="http://schemas.microsoft.com/office/drawing/2014/main" id="{00000000-0008-0000-0000-000057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161925</xdr:rowOff>
        </xdr:to>
        <xdr:sp macro="" textlink="">
          <xdr:nvSpPr>
            <xdr:cNvPr id="13654" name="Button 2390" hidden="1">
              <a:extLst>
                <a:ext uri="{63B3BB69-23CF-44E3-9099-C40C66FF867C}">
                  <a14:compatExt spid="_x0000_s13654"/>
                </a:ext>
                <a:ext uri="{FF2B5EF4-FFF2-40B4-BE49-F238E27FC236}">
                  <a16:creationId xmlns:a16="http://schemas.microsoft.com/office/drawing/2014/main" id="{00000000-0008-0000-0000-000056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161925</xdr:rowOff>
        </xdr:to>
        <xdr:sp macro="" textlink="">
          <xdr:nvSpPr>
            <xdr:cNvPr id="13653" name="Button 2389" hidden="1">
              <a:extLst>
                <a:ext uri="{63B3BB69-23CF-44E3-9099-C40C66FF867C}">
                  <a14:compatExt spid="_x0000_s13653"/>
                </a:ext>
                <a:ext uri="{FF2B5EF4-FFF2-40B4-BE49-F238E27FC236}">
                  <a16:creationId xmlns:a16="http://schemas.microsoft.com/office/drawing/2014/main" id="{00000000-0008-0000-0000-000055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161925</xdr:rowOff>
        </xdr:to>
        <xdr:sp macro="" textlink="">
          <xdr:nvSpPr>
            <xdr:cNvPr id="13652" name="Button 2388" hidden="1">
              <a:extLst>
                <a:ext uri="{63B3BB69-23CF-44E3-9099-C40C66FF867C}">
                  <a14:compatExt spid="_x0000_s13652"/>
                </a:ext>
                <a:ext uri="{FF2B5EF4-FFF2-40B4-BE49-F238E27FC236}">
                  <a16:creationId xmlns:a16="http://schemas.microsoft.com/office/drawing/2014/main" id="{00000000-0008-0000-0000-000054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3651" name="Button 2387" hidden="1">
              <a:extLst>
                <a:ext uri="{63B3BB69-23CF-44E3-9099-C40C66FF867C}">
                  <a14:compatExt spid="_x0000_s13651"/>
                </a:ext>
                <a:ext uri="{FF2B5EF4-FFF2-40B4-BE49-F238E27FC236}">
                  <a16:creationId xmlns:a16="http://schemas.microsoft.com/office/drawing/2014/main" id="{00000000-0008-0000-0000-000053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3650" name="Button 2386" hidden="1">
              <a:extLst>
                <a:ext uri="{63B3BB69-23CF-44E3-9099-C40C66FF867C}">
                  <a14:compatExt spid="_x0000_s13650"/>
                </a:ext>
                <a:ext uri="{FF2B5EF4-FFF2-40B4-BE49-F238E27FC236}">
                  <a16:creationId xmlns:a16="http://schemas.microsoft.com/office/drawing/2014/main" id="{00000000-0008-0000-0000-000052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3649" name="Button 2385" hidden="1">
              <a:extLst>
                <a:ext uri="{63B3BB69-23CF-44E3-9099-C40C66FF867C}">
                  <a14:compatExt spid="_x0000_s13649"/>
                </a:ext>
                <a:ext uri="{FF2B5EF4-FFF2-40B4-BE49-F238E27FC236}">
                  <a16:creationId xmlns:a16="http://schemas.microsoft.com/office/drawing/2014/main" id="{00000000-0008-0000-0000-000051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3648" name="Button 2384" hidden="1">
              <a:extLst>
                <a:ext uri="{63B3BB69-23CF-44E3-9099-C40C66FF867C}">
                  <a14:compatExt spid="_x0000_s13648"/>
                </a:ext>
                <a:ext uri="{FF2B5EF4-FFF2-40B4-BE49-F238E27FC236}">
                  <a16:creationId xmlns:a16="http://schemas.microsoft.com/office/drawing/2014/main" id="{00000000-0008-0000-0000-000050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3647" name="Button 2383" hidden="1">
              <a:extLst>
                <a:ext uri="{63B3BB69-23CF-44E3-9099-C40C66FF867C}">
                  <a14:compatExt spid="_x0000_s13647"/>
                </a:ext>
                <a:ext uri="{FF2B5EF4-FFF2-40B4-BE49-F238E27FC236}">
                  <a16:creationId xmlns:a16="http://schemas.microsoft.com/office/drawing/2014/main" id="{00000000-0008-0000-0000-00004F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3646" name="Button 2382" hidden="1">
              <a:extLst>
                <a:ext uri="{63B3BB69-23CF-44E3-9099-C40C66FF867C}">
                  <a14:compatExt spid="_x0000_s13646"/>
                </a:ext>
                <a:ext uri="{FF2B5EF4-FFF2-40B4-BE49-F238E27FC236}">
                  <a16:creationId xmlns:a16="http://schemas.microsoft.com/office/drawing/2014/main" id="{00000000-0008-0000-0000-00004E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3645" name="Button 2381" hidden="1">
              <a:extLst>
                <a:ext uri="{63B3BB69-23CF-44E3-9099-C40C66FF867C}">
                  <a14:compatExt spid="_x0000_s13645"/>
                </a:ext>
                <a:ext uri="{FF2B5EF4-FFF2-40B4-BE49-F238E27FC236}">
                  <a16:creationId xmlns:a16="http://schemas.microsoft.com/office/drawing/2014/main" id="{00000000-0008-0000-0000-00004D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3644" name="Button 2380" hidden="1">
              <a:extLst>
                <a:ext uri="{63B3BB69-23CF-44E3-9099-C40C66FF867C}">
                  <a14:compatExt spid="_x0000_s13644"/>
                </a:ext>
                <a:ext uri="{FF2B5EF4-FFF2-40B4-BE49-F238E27FC236}">
                  <a16:creationId xmlns:a16="http://schemas.microsoft.com/office/drawing/2014/main" id="{00000000-0008-0000-0000-00004C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3643" name="Button 2379" hidden="1">
              <a:extLst>
                <a:ext uri="{63B3BB69-23CF-44E3-9099-C40C66FF867C}">
                  <a14:compatExt spid="_x0000_s13643"/>
                </a:ext>
                <a:ext uri="{FF2B5EF4-FFF2-40B4-BE49-F238E27FC236}">
                  <a16:creationId xmlns:a16="http://schemas.microsoft.com/office/drawing/2014/main" id="{00000000-0008-0000-0000-00004B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3642" name="Button 2378" hidden="1">
              <a:extLst>
                <a:ext uri="{63B3BB69-23CF-44E3-9099-C40C66FF867C}">
                  <a14:compatExt spid="_x0000_s13642"/>
                </a:ext>
                <a:ext uri="{FF2B5EF4-FFF2-40B4-BE49-F238E27FC236}">
                  <a16:creationId xmlns:a16="http://schemas.microsoft.com/office/drawing/2014/main" id="{00000000-0008-0000-0000-00004A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3641" name="Button 2377" hidden="1">
              <a:extLst>
                <a:ext uri="{63B3BB69-23CF-44E3-9099-C40C66FF867C}">
                  <a14:compatExt spid="_x0000_s13641"/>
                </a:ext>
                <a:ext uri="{FF2B5EF4-FFF2-40B4-BE49-F238E27FC236}">
                  <a16:creationId xmlns:a16="http://schemas.microsoft.com/office/drawing/2014/main" id="{00000000-0008-0000-0000-000049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3640" name="Button 2376" hidden="1">
              <a:extLst>
                <a:ext uri="{63B3BB69-23CF-44E3-9099-C40C66FF867C}">
                  <a14:compatExt spid="_x0000_s13640"/>
                </a:ext>
                <a:ext uri="{FF2B5EF4-FFF2-40B4-BE49-F238E27FC236}">
                  <a16:creationId xmlns:a16="http://schemas.microsoft.com/office/drawing/2014/main" id="{00000000-0008-0000-0000-000048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3639" name="Button 2375" hidden="1">
              <a:extLst>
                <a:ext uri="{63B3BB69-23CF-44E3-9099-C40C66FF867C}">
                  <a14:compatExt spid="_x0000_s13639"/>
                </a:ext>
                <a:ext uri="{FF2B5EF4-FFF2-40B4-BE49-F238E27FC236}">
                  <a16:creationId xmlns:a16="http://schemas.microsoft.com/office/drawing/2014/main" id="{00000000-0008-0000-0000-000047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3638" name="Button 2374" hidden="1">
              <a:extLst>
                <a:ext uri="{63B3BB69-23CF-44E3-9099-C40C66FF867C}">
                  <a14:compatExt spid="_x0000_s13638"/>
                </a:ext>
                <a:ext uri="{FF2B5EF4-FFF2-40B4-BE49-F238E27FC236}">
                  <a16:creationId xmlns:a16="http://schemas.microsoft.com/office/drawing/2014/main" id="{00000000-0008-0000-0000-000046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3637" name="Button 2373" hidden="1">
              <a:extLst>
                <a:ext uri="{63B3BB69-23CF-44E3-9099-C40C66FF867C}">
                  <a14:compatExt spid="_x0000_s13637"/>
                </a:ext>
                <a:ext uri="{FF2B5EF4-FFF2-40B4-BE49-F238E27FC236}">
                  <a16:creationId xmlns:a16="http://schemas.microsoft.com/office/drawing/2014/main" id="{00000000-0008-0000-0000-000045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3636" name="Button 2372" hidden="1">
              <a:extLst>
                <a:ext uri="{63B3BB69-23CF-44E3-9099-C40C66FF867C}">
                  <a14:compatExt spid="_x0000_s13636"/>
                </a:ext>
                <a:ext uri="{FF2B5EF4-FFF2-40B4-BE49-F238E27FC236}">
                  <a16:creationId xmlns:a16="http://schemas.microsoft.com/office/drawing/2014/main" id="{00000000-0008-0000-0000-000044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3635" name="Button 2371" hidden="1">
              <a:extLst>
                <a:ext uri="{63B3BB69-23CF-44E3-9099-C40C66FF867C}">
                  <a14:compatExt spid="_x0000_s13635"/>
                </a:ext>
                <a:ext uri="{FF2B5EF4-FFF2-40B4-BE49-F238E27FC236}">
                  <a16:creationId xmlns:a16="http://schemas.microsoft.com/office/drawing/2014/main" id="{00000000-0008-0000-0000-000043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161925</xdr:rowOff>
        </xdr:to>
        <xdr:sp macro="" textlink="">
          <xdr:nvSpPr>
            <xdr:cNvPr id="13634" name="Button 2370" hidden="1">
              <a:extLst>
                <a:ext uri="{63B3BB69-23CF-44E3-9099-C40C66FF867C}">
                  <a14:compatExt spid="_x0000_s13634"/>
                </a:ext>
                <a:ext uri="{FF2B5EF4-FFF2-40B4-BE49-F238E27FC236}">
                  <a16:creationId xmlns:a16="http://schemas.microsoft.com/office/drawing/2014/main" id="{00000000-0008-0000-0000-000042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3633" name="Button 2369" hidden="1">
              <a:extLst>
                <a:ext uri="{63B3BB69-23CF-44E3-9099-C40C66FF867C}">
                  <a14:compatExt spid="_x0000_s13633"/>
                </a:ext>
                <a:ext uri="{FF2B5EF4-FFF2-40B4-BE49-F238E27FC236}">
                  <a16:creationId xmlns:a16="http://schemas.microsoft.com/office/drawing/2014/main" id="{00000000-0008-0000-0000-000041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3632" name="Button 2368" hidden="1">
              <a:extLst>
                <a:ext uri="{63B3BB69-23CF-44E3-9099-C40C66FF867C}">
                  <a14:compatExt spid="_x0000_s13632"/>
                </a:ext>
                <a:ext uri="{FF2B5EF4-FFF2-40B4-BE49-F238E27FC236}">
                  <a16:creationId xmlns:a16="http://schemas.microsoft.com/office/drawing/2014/main" id="{00000000-0008-0000-0000-000040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161925</xdr:rowOff>
        </xdr:to>
        <xdr:sp macro="" textlink="">
          <xdr:nvSpPr>
            <xdr:cNvPr id="13631" name="Button 2367" hidden="1">
              <a:extLst>
                <a:ext uri="{63B3BB69-23CF-44E3-9099-C40C66FF867C}">
                  <a14:compatExt spid="_x0000_s13631"/>
                </a:ext>
                <a:ext uri="{FF2B5EF4-FFF2-40B4-BE49-F238E27FC236}">
                  <a16:creationId xmlns:a16="http://schemas.microsoft.com/office/drawing/2014/main" id="{00000000-0008-0000-0000-00003F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161925</xdr:rowOff>
        </xdr:to>
        <xdr:sp macro="" textlink="">
          <xdr:nvSpPr>
            <xdr:cNvPr id="13630" name="Button 2366" hidden="1">
              <a:extLst>
                <a:ext uri="{63B3BB69-23CF-44E3-9099-C40C66FF867C}">
                  <a14:compatExt spid="_x0000_s13630"/>
                </a:ext>
                <a:ext uri="{FF2B5EF4-FFF2-40B4-BE49-F238E27FC236}">
                  <a16:creationId xmlns:a16="http://schemas.microsoft.com/office/drawing/2014/main" id="{00000000-0008-0000-0000-00003E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764</xdr:row>
          <xdr:rowOff>0</xdr:rowOff>
        </xdr:to>
        <xdr:sp macro="" textlink="">
          <xdr:nvSpPr>
            <xdr:cNvPr id="13629" name="Button 2365" hidden="1">
              <a:extLst>
                <a:ext uri="{63B3BB69-23CF-44E3-9099-C40C66FF867C}">
                  <a14:compatExt spid="_x0000_s13629"/>
                </a:ext>
                <a:ext uri="{FF2B5EF4-FFF2-40B4-BE49-F238E27FC236}">
                  <a16:creationId xmlns:a16="http://schemas.microsoft.com/office/drawing/2014/main" id="{00000000-0008-0000-0000-00003D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38100</xdr:rowOff>
        </xdr:to>
        <xdr:sp macro="" textlink="">
          <xdr:nvSpPr>
            <xdr:cNvPr id="13628" name="Button 2364" hidden="1">
              <a:extLst>
                <a:ext uri="{63B3BB69-23CF-44E3-9099-C40C66FF867C}">
                  <a14:compatExt spid="_x0000_s13628"/>
                </a:ext>
                <a:ext uri="{FF2B5EF4-FFF2-40B4-BE49-F238E27FC236}">
                  <a16:creationId xmlns:a16="http://schemas.microsoft.com/office/drawing/2014/main" id="{00000000-0008-0000-0000-00003C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3627" name="Button 2363" hidden="1">
              <a:extLst>
                <a:ext uri="{63B3BB69-23CF-44E3-9099-C40C66FF867C}">
                  <a14:compatExt spid="_x0000_s13627"/>
                </a:ext>
                <a:ext uri="{FF2B5EF4-FFF2-40B4-BE49-F238E27FC236}">
                  <a16:creationId xmlns:a16="http://schemas.microsoft.com/office/drawing/2014/main" id="{00000000-0008-0000-0000-00003B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3626" name="Button 2362" hidden="1">
              <a:extLst>
                <a:ext uri="{63B3BB69-23CF-44E3-9099-C40C66FF867C}">
                  <a14:compatExt spid="_x0000_s13626"/>
                </a:ext>
                <a:ext uri="{FF2B5EF4-FFF2-40B4-BE49-F238E27FC236}">
                  <a16:creationId xmlns:a16="http://schemas.microsoft.com/office/drawing/2014/main" id="{00000000-0008-0000-0000-00003A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3625" name="Button 2361" hidden="1">
              <a:extLst>
                <a:ext uri="{63B3BB69-23CF-44E3-9099-C40C66FF867C}">
                  <a14:compatExt spid="_x0000_s13625"/>
                </a:ext>
                <a:ext uri="{FF2B5EF4-FFF2-40B4-BE49-F238E27FC236}">
                  <a16:creationId xmlns:a16="http://schemas.microsoft.com/office/drawing/2014/main" id="{00000000-0008-0000-0000-000039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3624" name="Button 2360" hidden="1">
              <a:extLst>
                <a:ext uri="{63B3BB69-23CF-44E3-9099-C40C66FF867C}">
                  <a14:compatExt spid="_x0000_s13624"/>
                </a:ext>
                <a:ext uri="{FF2B5EF4-FFF2-40B4-BE49-F238E27FC236}">
                  <a16:creationId xmlns:a16="http://schemas.microsoft.com/office/drawing/2014/main" id="{00000000-0008-0000-0000-000038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3623" name="Button 2359" hidden="1">
              <a:extLst>
                <a:ext uri="{63B3BB69-23CF-44E3-9099-C40C66FF867C}">
                  <a14:compatExt spid="_x0000_s13623"/>
                </a:ext>
                <a:ext uri="{FF2B5EF4-FFF2-40B4-BE49-F238E27FC236}">
                  <a16:creationId xmlns:a16="http://schemas.microsoft.com/office/drawing/2014/main" id="{00000000-0008-0000-0000-000037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3622" name="Button 2358" hidden="1">
              <a:extLst>
                <a:ext uri="{63B3BB69-23CF-44E3-9099-C40C66FF867C}">
                  <a14:compatExt spid="_x0000_s13622"/>
                </a:ext>
                <a:ext uri="{FF2B5EF4-FFF2-40B4-BE49-F238E27FC236}">
                  <a16:creationId xmlns:a16="http://schemas.microsoft.com/office/drawing/2014/main" id="{00000000-0008-0000-0000-000036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3621" name="Button 2357" hidden="1">
              <a:extLst>
                <a:ext uri="{63B3BB69-23CF-44E3-9099-C40C66FF867C}">
                  <a14:compatExt spid="_x0000_s13621"/>
                </a:ext>
                <a:ext uri="{FF2B5EF4-FFF2-40B4-BE49-F238E27FC236}">
                  <a16:creationId xmlns:a16="http://schemas.microsoft.com/office/drawing/2014/main" id="{00000000-0008-0000-0000-000035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161925</xdr:rowOff>
        </xdr:to>
        <xdr:sp macro="" textlink="">
          <xdr:nvSpPr>
            <xdr:cNvPr id="13620" name="Button 2356" hidden="1">
              <a:extLst>
                <a:ext uri="{63B3BB69-23CF-44E3-9099-C40C66FF867C}">
                  <a14:compatExt spid="_x0000_s13620"/>
                </a:ext>
                <a:ext uri="{FF2B5EF4-FFF2-40B4-BE49-F238E27FC236}">
                  <a16:creationId xmlns:a16="http://schemas.microsoft.com/office/drawing/2014/main" id="{00000000-0008-0000-0000-000034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782</xdr:row>
          <xdr:rowOff>0</xdr:rowOff>
        </xdr:to>
        <xdr:sp macro="" textlink="">
          <xdr:nvSpPr>
            <xdr:cNvPr id="13619" name="Button 2355" hidden="1">
              <a:extLst>
                <a:ext uri="{63B3BB69-23CF-44E3-9099-C40C66FF867C}">
                  <a14:compatExt spid="_x0000_s13619"/>
                </a:ext>
                <a:ext uri="{FF2B5EF4-FFF2-40B4-BE49-F238E27FC236}">
                  <a16:creationId xmlns:a16="http://schemas.microsoft.com/office/drawing/2014/main" id="{00000000-0008-0000-0000-000033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38100</xdr:rowOff>
        </xdr:to>
        <xdr:sp macro="" textlink="">
          <xdr:nvSpPr>
            <xdr:cNvPr id="13618" name="Button 2354" hidden="1">
              <a:extLst>
                <a:ext uri="{63B3BB69-23CF-44E3-9099-C40C66FF867C}">
                  <a14:compatExt spid="_x0000_s13618"/>
                </a:ext>
                <a:ext uri="{FF2B5EF4-FFF2-40B4-BE49-F238E27FC236}">
                  <a16:creationId xmlns:a16="http://schemas.microsoft.com/office/drawing/2014/main" id="{00000000-0008-0000-0000-000032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3617" name="Button 2353" hidden="1">
              <a:extLst>
                <a:ext uri="{63B3BB69-23CF-44E3-9099-C40C66FF867C}">
                  <a14:compatExt spid="_x0000_s13617"/>
                </a:ext>
                <a:ext uri="{FF2B5EF4-FFF2-40B4-BE49-F238E27FC236}">
                  <a16:creationId xmlns:a16="http://schemas.microsoft.com/office/drawing/2014/main" id="{00000000-0008-0000-0000-000031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3616" name="Button 2352" hidden="1">
              <a:extLst>
                <a:ext uri="{63B3BB69-23CF-44E3-9099-C40C66FF867C}">
                  <a14:compatExt spid="_x0000_s13616"/>
                </a:ext>
                <a:ext uri="{FF2B5EF4-FFF2-40B4-BE49-F238E27FC236}">
                  <a16:creationId xmlns:a16="http://schemas.microsoft.com/office/drawing/2014/main" id="{00000000-0008-0000-0000-000030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3615" name="Button 2351" hidden="1">
              <a:extLst>
                <a:ext uri="{63B3BB69-23CF-44E3-9099-C40C66FF867C}">
                  <a14:compatExt spid="_x0000_s13615"/>
                </a:ext>
                <a:ext uri="{FF2B5EF4-FFF2-40B4-BE49-F238E27FC236}">
                  <a16:creationId xmlns:a16="http://schemas.microsoft.com/office/drawing/2014/main" id="{00000000-0008-0000-0000-00002F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161925</xdr:rowOff>
        </xdr:to>
        <xdr:sp macro="" textlink="">
          <xdr:nvSpPr>
            <xdr:cNvPr id="13614" name="Button 2350" hidden="1">
              <a:extLst>
                <a:ext uri="{63B3BB69-23CF-44E3-9099-C40C66FF867C}">
                  <a14:compatExt spid="_x0000_s13614"/>
                </a:ext>
                <a:ext uri="{FF2B5EF4-FFF2-40B4-BE49-F238E27FC236}">
                  <a16:creationId xmlns:a16="http://schemas.microsoft.com/office/drawing/2014/main" id="{00000000-0008-0000-0000-00002E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161925</xdr:rowOff>
        </xdr:to>
        <xdr:sp macro="" textlink="">
          <xdr:nvSpPr>
            <xdr:cNvPr id="13613" name="Button 2349" hidden="1">
              <a:extLst>
                <a:ext uri="{63B3BB69-23CF-44E3-9099-C40C66FF867C}">
                  <a14:compatExt spid="_x0000_s13613"/>
                </a:ext>
                <a:ext uri="{FF2B5EF4-FFF2-40B4-BE49-F238E27FC236}">
                  <a16:creationId xmlns:a16="http://schemas.microsoft.com/office/drawing/2014/main" id="{00000000-0008-0000-0000-00002D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3612" name="Button 2348" hidden="1">
              <a:extLst>
                <a:ext uri="{63B3BB69-23CF-44E3-9099-C40C66FF867C}">
                  <a14:compatExt spid="_x0000_s13612"/>
                </a:ext>
                <a:ext uri="{FF2B5EF4-FFF2-40B4-BE49-F238E27FC236}">
                  <a16:creationId xmlns:a16="http://schemas.microsoft.com/office/drawing/2014/main" id="{00000000-0008-0000-0000-00002C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161925</xdr:rowOff>
        </xdr:to>
        <xdr:sp macro="" textlink="">
          <xdr:nvSpPr>
            <xdr:cNvPr id="13611" name="Button 2347" hidden="1">
              <a:extLst>
                <a:ext uri="{63B3BB69-23CF-44E3-9099-C40C66FF867C}">
                  <a14:compatExt spid="_x0000_s13611"/>
                </a:ext>
                <a:ext uri="{FF2B5EF4-FFF2-40B4-BE49-F238E27FC236}">
                  <a16:creationId xmlns:a16="http://schemas.microsoft.com/office/drawing/2014/main" id="{00000000-0008-0000-0000-00002B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161925</xdr:rowOff>
        </xdr:to>
        <xdr:sp macro="" textlink="">
          <xdr:nvSpPr>
            <xdr:cNvPr id="13610" name="Button 2346" hidden="1">
              <a:extLst>
                <a:ext uri="{63B3BB69-23CF-44E3-9099-C40C66FF867C}">
                  <a14:compatExt spid="_x0000_s13610"/>
                </a:ext>
                <a:ext uri="{FF2B5EF4-FFF2-40B4-BE49-F238E27FC236}">
                  <a16:creationId xmlns:a16="http://schemas.microsoft.com/office/drawing/2014/main" id="{00000000-0008-0000-0000-00002A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161925</xdr:rowOff>
        </xdr:to>
        <xdr:sp macro="" textlink="">
          <xdr:nvSpPr>
            <xdr:cNvPr id="13609" name="Button 2345" hidden="1">
              <a:extLst>
                <a:ext uri="{63B3BB69-23CF-44E3-9099-C40C66FF867C}">
                  <a14:compatExt spid="_x0000_s13609"/>
                </a:ext>
                <a:ext uri="{FF2B5EF4-FFF2-40B4-BE49-F238E27FC236}">
                  <a16:creationId xmlns:a16="http://schemas.microsoft.com/office/drawing/2014/main" id="{00000000-0008-0000-0000-000029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161925</xdr:rowOff>
        </xdr:to>
        <xdr:sp macro="" textlink="">
          <xdr:nvSpPr>
            <xdr:cNvPr id="13608" name="Button 2344" hidden="1">
              <a:extLst>
                <a:ext uri="{63B3BB69-23CF-44E3-9099-C40C66FF867C}">
                  <a14:compatExt spid="_x0000_s13608"/>
                </a:ext>
                <a:ext uri="{FF2B5EF4-FFF2-40B4-BE49-F238E27FC236}">
                  <a16:creationId xmlns:a16="http://schemas.microsoft.com/office/drawing/2014/main" id="{00000000-0008-0000-0000-000028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3607" name="Button 2343" hidden="1">
              <a:extLst>
                <a:ext uri="{63B3BB69-23CF-44E3-9099-C40C66FF867C}">
                  <a14:compatExt spid="_x0000_s13607"/>
                </a:ext>
                <a:ext uri="{FF2B5EF4-FFF2-40B4-BE49-F238E27FC236}">
                  <a16:creationId xmlns:a16="http://schemas.microsoft.com/office/drawing/2014/main" id="{00000000-0008-0000-0000-000027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161925</xdr:rowOff>
        </xdr:to>
        <xdr:sp macro="" textlink="">
          <xdr:nvSpPr>
            <xdr:cNvPr id="13606" name="Button 2342" hidden="1">
              <a:extLst>
                <a:ext uri="{63B3BB69-23CF-44E3-9099-C40C66FF867C}">
                  <a14:compatExt spid="_x0000_s13606"/>
                </a:ext>
                <a:ext uri="{FF2B5EF4-FFF2-40B4-BE49-F238E27FC236}">
                  <a16:creationId xmlns:a16="http://schemas.microsoft.com/office/drawing/2014/main" id="{00000000-0008-0000-0000-000026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161925</xdr:rowOff>
        </xdr:to>
        <xdr:sp macro="" textlink="">
          <xdr:nvSpPr>
            <xdr:cNvPr id="13605" name="Button 2341" hidden="1">
              <a:extLst>
                <a:ext uri="{63B3BB69-23CF-44E3-9099-C40C66FF867C}">
                  <a14:compatExt spid="_x0000_s13605"/>
                </a:ext>
                <a:ext uri="{FF2B5EF4-FFF2-40B4-BE49-F238E27FC236}">
                  <a16:creationId xmlns:a16="http://schemas.microsoft.com/office/drawing/2014/main" id="{00000000-0008-0000-0000-000025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3604" name="Button 2340" hidden="1">
              <a:extLst>
                <a:ext uri="{63B3BB69-23CF-44E3-9099-C40C66FF867C}">
                  <a14:compatExt spid="_x0000_s13604"/>
                </a:ext>
                <a:ext uri="{FF2B5EF4-FFF2-40B4-BE49-F238E27FC236}">
                  <a16:creationId xmlns:a16="http://schemas.microsoft.com/office/drawing/2014/main" id="{00000000-0008-0000-0000-000024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3603" name="Button 2339" hidden="1">
              <a:extLst>
                <a:ext uri="{63B3BB69-23CF-44E3-9099-C40C66FF867C}">
                  <a14:compatExt spid="_x0000_s13603"/>
                </a:ext>
                <a:ext uri="{FF2B5EF4-FFF2-40B4-BE49-F238E27FC236}">
                  <a16:creationId xmlns:a16="http://schemas.microsoft.com/office/drawing/2014/main" id="{00000000-0008-0000-0000-000023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3602" name="Button 2338" hidden="1">
              <a:extLst>
                <a:ext uri="{63B3BB69-23CF-44E3-9099-C40C66FF867C}">
                  <a14:compatExt spid="_x0000_s13602"/>
                </a:ext>
                <a:ext uri="{FF2B5EF4-FFF2-40B4-BE49-F238E27FC236}">
                  <a16:creationId xmlns:a16="http://schemas.microsoft.com/office/drawing/2014/main" id="{00000000-0008-0000-0000-000022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3601" name="Button 2337" hidden="1">
              <a:extLst>
                <a:ext uri="{63B3BB69-23CF-44E3-9099-C40C66FF867C}">
                  <a14:compatExt spid="_x0000_s13601"/>
                </a:ext>
                <a:ext uri="{FF2B5EF4-FFF2-40B4-BE49-F238E27FC236}">
                  <a16:creationId xmlns:a16="http://schemas.microsoft.com/office/drawing/2014/main" id="{00000000-0008-0000-0000-000021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3600" name="Button 2336" hidden="1">
              <a:extLst>
                <a:ext uri="{63B3BB69-23CF-44E3-9099-C40C66FF867C}">
                  <a14:compatExt spid="_x0000_s13600"/>
                </a:ext>
                <a:ext uri="{FF2B5EF4-FFF2-40B4-BE49-F238E27FC236}">
                  <a16:creationId xmlns:a16="http://schemas.microsoft.com/office/drawing/2014/main" id="{00000000-0008-0000-0000-000020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3599" name="Button 2335" hidden="1">
              <a:extLst>
                <a:ext uri="{63B3BB69-23CF-44E3-9099-C40C66FF867C}">
                  <a14:compatExt spid="_x0000_s13599"/>
                </a:ext>
                <a:ext uri="{FF2B5EF4-FFF2-40B4-BE49-F238E27FC236}">
                  <a16:creationId xmlns:a16="http://schemas.microsoft.com/office/drawing/2014/main" id="{00000000-0008-0000-0000-00001F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3598" name="Button 2334" hidden="1">
              <a:extLst>
                <a:ext uri="{63B3BB69-23CF-44E3-9099-C40C66FF867C}">
                  <a14:compatExt spid="_x0000_s13598"/>
                </a:ext>
                <a:ext uri="{FF2B5EF4-FFF2-40B4-BE49-F238E27FC236}">
                  <a16:creationId xmlns:a16="http://schemas.microsoft.com/office/drawing/2014/main" id="{00000000-0008-0000-0000-00001E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3597" name="Button 2333" hidden="1">
              <a:extLst>
                <a:ext uri="{63B3BB69-23CF-44E3-9099-C40C66FF867C}">
                  <a14:compatExt spid="_x0000_s13597"/>
                </a:ext>
                <a:ext uri="{FF2B5EF4-FFF2-40B4-BE49-F238E27FC236}">
                  <a16:creationId xmlns:a16="http://schemas.microsoft.com/office/drawing/2014/main" id="{00000000-0008-0000-0000-00001D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3596" name="Button 2332" hidden="1">
              <a:extLst>
                <a:ext uri="{63B3BB69-23CF-44E3-9099-C40C66FF867C}">
                  <a14:compatExt spid="_x0000_s13596"/>
                </a:ext>
                <a:ext uri="{FF2B5EF4-FFF2-40B4-BE49-F238E27FC236}">
                  <a16:creationId xmlns:a16="http://schemas.microsoft.com/office/drawing/2014/main" id="{00000000-0008-0000-0000-00001C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161925</xdr:rowOff>
        </xdr:to>
        <xdr:sp macro="" textlink="">
          <xdr:nvSpPr>
            <xdr:cNvPr id="13595" name="Button 2331" hidden="1">
              <a:extLst>
                <a:ext uri="{63B3BB69-23CF-44E3-9099-C40C66FF867C}">
                  <a14:compatExt spid="_x0000_s13595"/>
                </a:ext>
                <a:ext uri="{FF2B5EF4-FFF2-40B4-BE49-F238E27FC236}">
                  <a16:creationId xmlns:a16="http://schemas.microsoft.com/office/drawing/2014/main" id="{00000000-0008-0000-0000-00001B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3594" name="Button 2330" hidden="1">
              <a:extLst>
                <a:ext uri="{63B3BB69-23CF-44E3-9099-C40C66FF867C}">
                  <a14:compatExt spid="_x0000_s13594"/>
                </a:ext>
                <a:ext uri="{FF2B5EF4-FFF2-40B4-BE49-F238E27FC236}">
                  <a16:creationId xmlns:a16="http://schemas.microsoft.com/office/drawing/2014/main" id="{00000000-0008-0000-0000-00001A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3593" name="Button 2329" hidden="1">
              <a:extLst>
                <a:ext uri="{63B3BB69-23CF-44E3-9099-C40C66FF867C}">
                  <a14:compatExt spid="_x0000_s13593"/>
                </a:ext>
                <a:ext uri="{FF2B5EF4-FFF2-40B4-BE49-F238E27FC236}">
                  <a16:creationId xmlns:a16="http://schemas.microsoft.com/office/drawing/2014/main" id="{00000000-0008-0000-0000-000019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3592" name="Button 2328" hidden="1">
              <a:extLst>
                <a:ext uri="{63B3BB69-23CF-44E3-9099-C40C66FF867C}">
                  <a14:compatExt spid="_x0000_s13592"/>
                </a:ext>
                <a:ext uri="{FF2B5EF4-FFF2-40B4-BE49-F238E27FC236}">
                  <a16:creationId xmlns:a16="http://schemas.microsoft.com/office/drawing/2014/main" id="{00000000-0008-0000-0000-000018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3591" name="Button 2327" hidden="1">
              <a:extLst>
                <a:ext uri="{63B3BB69-23CF-44E3-9099-C40C66FF867C}">
                  <a14:compatExt spid="_x0000_s13591"/>
                </a:ext>
                <a:ext uri="{FF2B5EF4-FFF2-40B4-BE49-F238E27FC236}">
                  <a16:creationId xmlns:a16="http://schemas.microsoft.com/office/drawing/2014/main" id="{00000000-0008-0000-0000-000017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3590" name="Button 2326" hidden="1">
              <a:extLst>
                <a:ext uri="{63B3BB69-23CF-44E3-9099-C40C66FF867C}">
                  <a14:compatExt spid="_x0000_s13590"/>
                </a:ext>
                <a:ext uri="{FF2B5EF4-FFF2-40B4-BE49-F238E27FC236}">
                  <a16:creationId xmlns:a16="http://schemas.microsoft.com/office/drawing/2014/main" id="{00000000-0008-0000-0000-000016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3589" name="Button 2325" hidden="1">
              <a:extLst>
                <a:ext uri="{63B3BB69-23CF-44E3-9099-C40C66FF867C}">
                  <a14:compatExt spid="_x0000_s13589"/>
                </a:ext>
                <a:ext uri="{FF2B5EF4-FFF2-40B4-BE49-F238E27FC236}">
                  <a16:creationId xmlns:a16="http://schemas.microsoft.com/office/drawing/2014/main" id="{00000000-0008-0000-0000-000015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3588" name="Button 2324" hidden="1">
              <a:extLst>
                <a:ext uri="{63B3BB69-23CF-44E3-9099-C40C66FF867C}">
                  <a14:compatExt spid="_x0000_s13588"/>
                </a:ext>
                <a:ext uri="{FF2B5EF4-FFF2-40B4-BE49-F238E27FC236}">
                  <a16:creationId xmlns:a16="http://schemas.microsoft.com/office/drawing/2014/main" id="{00000000-0008-0000-0000-000014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3587" name="Button 2323" hidden="1">
              <a:extLst>
                <a:ext uri="{63B3BB69-23CF-44E3-9099-C40C66FF867C}">
                  <a14:compatExt spid="_x0000_s13587"/>
                </a:ext>
                <a:ext uri="{FF2B5EF4-FFF2-40B4-BE49-F238E27FC236}">
                  <a16:creationId xmlns:a16="http://schemas.microsoft.com/office/drawing/2014/main" id="{00000000-0008-0000-0000-000013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3586" name="Button 2322" hidden="1">
              <a:extLst>
                <a:ext uri="{63B3BB69-23CF-44E3-9099-C40C66FF867C}">
                  <a14:compatExt spid="_x0000_s13586"/>
                </a:ext>
                <a:ext uri="{FF2B5EF4-FFF2-40B4-BE49-F238E27FC236}">
                  <a16:creationId xmlns:a16="http://schemas.microsoft.com/office/drawing/2014/main" id="{00000000-0008-0000-0000-000012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3585" name="Button 2321" hidden="1">
              <a:extLst>
                <a:ext uri="{63B3BB69-23CF-44E3-9099-C40C66FF867C}">
                  <a14:compatExt spid="_x0000_s13585"/>
                </a:ext>
                <a:ext uri="{FF2B5EF4-FFF2-40B4-BE49-F238E27FC236}">
                  <a16:creationId xmlns:a16="http://schemas.microsoft.com/office/drawing/2014/main" id="{00000000-0008-0000-0000-000011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161925</xdr:rowOff>
        </xdr:to>
        <xdr:sp macro="" textlink="">
          <xdr:nvSpPr>
            <xdr:cNvPr id="13584" name="Button 2320" hidden="1">
              <a:extLst>
                <a:ext uri="{63B3BB69-23CF-44E3-9099-C40C66FF867C}">
                  <a14:compatExt spid="_x0000_s13584"/>
                </a:ext>
                <a:ext uri="{FF2B5EF4-FFF2-40B4-BE49-F238E27FC236}">
                  <a16:creationId xmlns:a16="http://schemas.microsoft.com/office/drawing/2014/main" id="{00000000-0008-0000-0000-000010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161925</xdr:rowOff>
        </xdr:to>
        <xdr:sp macro="" textlink="">
          <xdr:nvSpPr>
            <xdr:cNvPr id="13583" name="Button 2319" hidden="1">
              <a:extLst>
                <a:ext uri="{63B3BB69-23CF-44E3-9099-C40C66FF867C}">
                  <a14:compatExt spid="_x0000_s13583"/>
                </a:ext>
                <a:ext uri="{FF2B5EF4-FFF2-40B4-BE49-F238E27FC236}">
                  <a16:creationId xmlns:a16="http://schemas.microsoft.com/office/drawing/2014/main" id="{00000000-0008-0000-0000-00000F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161925</xdr:rowOff>
        </xdr:to>
        <xdr:sp macro="" textlink="">
          <xdr:nvSpPr>
            <xdr:cNvPr id="13582" name="Button 2318" hidden="1">
              <a:extLst>
                <a:ext uri="{63B3BB69-23CF-44E3-9099-C40C66FF867C}">
                  <a14:compatExt spid="_x0000_s13582"/>
                </a:ext>
                <a:ext uri="{FF2B5EF4-FFF2-40B4-BE49-F238E27FC236}">
                  <a16:creationId xmlns:a16="http://schemas.microsoft.com/office/drawing/2014/main" id="{00000000-0008-0000-0000-00000E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161925</xdr:rowOff>
        </xdr:to>
        <xdr:sp macro="" textlink="">
          <xdr:nvSpPr>
            <xdr:cNvPr id="13581" name="Button 2317" hidden="1">
              <a:extLst>
                <a:ext uri="{63B3BB69-23CF-44E3-9099-C40C66FF867C}">
                  <a14:compatExt spid="_x0000_s13581"/>
                </a:ext>
                <a:ext uri="{FF2B5EF4-FFF2-40B4-BE49-F238E27FC236}">
                  <a16:creationId xmlns:a16="http://schemas.microsoft.com/office/drawing/2014/main" id="{00000000-0008-0000-0000-00000D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3580" name="Button 2316" hidden="1">
              <a:extLst>
                <a:ext uri="{63B3BB69-23CF-44E3-9099-C40C66FF867C}">
                  <a14:compatExt spid="_x0000_s13580"/>
                </a:ext>
                <a:ext uri="{FF2B5EF4-FFF2-40B4-BE49-F238E27FC236}">
                  <a16:creationId xmlns:a16="http://schemas.microsoft.com/office/drawing/2014/main" id="{00000000-0008-0000-0000-00000C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3579" name="Button 2315" hidden="1">
              <a:extLst>
                <a:ext uri="{63B3BB69-23CF-44E3-9099-C40C66FF867C}">
                  <a14:compatExt spid="_x0000_s13579"/>
                </a:ext>
                <a:ext uri="{FF2B5EF4-FFF2-40B4-BE49-F238E27FC236}">
                  <a16:creationId xmlns:a16="http://schemas.microsoft.com/office/drawing/2014/main" id="{00000000-0008-0000-0000-00000B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161925</xdr:rowOff>
        </xdr:to>
        <xdr:sp macro="" textlink="">
          <xdr:nvSpPr>
            <xdr:cNvPr id="13578" name="Button 2314" hidden="1">
              <a:extLst>
                <a:ext uri="{63B3BB69-23CF-44E3-9099-C40C66FF867C}">
                  <a14:compatExt spid="_x0000_s13578"/>
                </a:ext>
                <a:ext uri="{FF2B5EF4-FFF2-40B4-BE49-F238E27FC236}">
                  <a16:creationId xmlns:a16="http://schemas.microsoft.com/office/drawing/2014/main" id="{00000000-0008-0000-0000-00000A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161925</xdr:rowOff>
        </xdr:to>
        <xdr:sp macro="" textlink="">
          <xdr:nvSpPr>
            <xdr:cNvPr id="13577" name="Button 2313" hidden="1">
              <a:extLst>
                <a:ext uri="{63B3BB69-23CF-44E3-9099-C40C66FF867C}">
                  <a14:compatExt spid="_x0000_s13577"/>
                </a:ext>
                <a:ext uri="{FF2B5EF4-FFF2-40B4-BE49-F238E27FC236}">
                  <a16:creationId xmlns:a16="http://schemas.microsoft.com/office/drawing/2014/main" id="{00000000-0008-0000-0000-000009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161925</xdr:rowOff>
        </xdr:to>
        <xdr:sp macro="" textlink="">
          <xdr:nvSpPr>
            <xdr:cNvPr id="13576" name="Button 2312" hidden="1">
              <a:extLst>
                <a:ext uri="{63B3BB69-23CF-44E3-9099-C40C66FF867C}">
                  <a14:compatExt spid="_x0000_s13576"/>
                </a:ext>
                <a:ext uri="{FF2B5EF4-FFF2-40B4-BE49-F238E27FC236}">
                  <a16:creationId xmlns:a16="http://schemas.microsoft.com/office/drawing/2014/main" id="{00000000-0008-0000-0000-000008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3575" name="Button 2311" hidden="1">
              <a:extLst>
                <a:ext uri="{63B3BB69-23CF-44E3-9099-C40C66FF867C}">
                  <a14:compatExt spid="_x0000_s13575"/>
                </a:ext>
                <a:ext uri="{FF2B5EF4-FFF2-40B4-BE49-F238E27FC236}">
                  <a16:creationId xmlns:a16="http://schemas.microsoft.com/office/drawing/2014/main" id="{00000000-0008-0000-0000-000007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3574" name="Button 2310" hidden="1">
              <a:extLst>
                <a:ext uri="{63B3BB69-23CF-44E3-9099-C40C66FF867C}">
                  <a14:compatExt spid="_x0000_s13574"/>
                </a:ext>
                <a:ext uri="{FF2B5EF4-FFF2-40B4-BE49-F238E27FC236}">
                  <a16:creationId xmlns:a16="http://schemas.microsoft.com/office/drawing/2014/main" id="{00000000-0008-0000-0000-000006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161925</xdr:rowOff>
        </xdr:to>
        <xdr:sp macro="" textlink="">
          <xdr:nvSpPr>
            <xdr:cNvPr id="13573" name="Button 2309" hidden="1">
              <a:extLst>
                <a:ext uri="{63B3BB69-23CF-44E3-9099-C40C66FF867C}">
                  <a14:compatExt spid="_x0000_s13573"/>
                </a:ext>
                <a:ext uri="{FF2B5EF4-FFF2-40B4-BE49-F238E27FC236}">
                  <a16:creationId xmlns:a16="http://schemas.microsoft.com/office/drawing/2014/main" id="{00000000-0008-0000-0000-000005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161925</xdr:rowOff>
        </xdr:to>
        <xdr:sp macro="" textlink="">
          <xdr:nvSpPr>
            <xdr:cNvPr id="13572" name="Button 2308" hidden="1">
              <a:extLst>
                <a:ext uri="{63B3BB69-23CF-44E3-9099-C40C66FF867C}">
                  <a14:compatExt spid="_x0000_s13572"/>
                </a:ext>
                <a:ext uri="{FF2B5EF4-FFF2-40B4-BE49-F238E27FC236}">
                  <a16:creationId xmlns:a16="http://schemas.microsoft.com/office/drawing/2014/main" id="{00000000-0008-0000-0000-000004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161925</xdr:rowOff>
        </xdr:to>
        <xdr:sp macro="" textlink="">
          <xdr:nvSpPr>
            <xdr:cNvPr id="13571" name="Button 2307" hidden="1">
              <a:extLst>
                <a:ext uri="{63B3BB69-23CF-44E3-9099-C40C66FF867C}">
                  <a14:compatExt spid="_x0000_s13571"/>
                </a:ext>
                <a:ext uri="{FF2B5EF4-FFF2-40B4-BE49-F238E27FC236}">
                  <a16:creationId xmlns:a16="http://schemas.microsoft.com/office/drawing/2014/main" id="{00000000-0008-0000-0000-000003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161925</xdr:rowOff>
        </xdr:to>
        <xdr:sp macro="" textlink="">
          <xdr:nvSpPr>
            <xdr:cNvPr id="13570" name="Button 2306" hidden="1">
              <a:extLst>
                <a:ext uri="{63B3BB69-23CF-44E3-9099-C40C66FF867C}">
                  <a14:compatExt spid="_x0000_s13570"/>
                </a:ext>
                <a:ext uri="{FF2B5EF4-FFF2-40B4-BE49-F238E27FC236}">
                  <a16:creationId xmlns:a16="http://schemas.microsoft.com/office/drawing/2014/main" id="{00000000-0008-0000-0000-000002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161925</xdr:rowOff>
        </xdr:to>
        <xdr:sp macro="" textlink="">
          <xdr:nvSpPr>
            <xdr:cNvPr id="13569" name="Button 2305" hidden="1">
              <a:extLst>
                <a:ext uri="{63B3BB69-23CF-44E3-9099-C40C66FF867C}">
                  <a14:compatExt spid="_x0000_s13569"/>
                </a:ext>
                <a:ext uri="{FF2B5EF4-FFF2-40B4-BE49-F238E27FC236}">
                  <a16:creationId xmlns:a16="http://schemas.microsoft.com/office/drawing/2014/main" id="{00000000-0008-0000-0000-000001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161925</xdr:rowOff>
        </xdr:to>
        <xdr:sp macro="" textlink="">
          <xdr:nvSpPr>
            <xdr:cNvPr id="13568" name="Button 2304" hidden="1">
              <a:extLst>
                <a:ext uri="{63B3BB69-23CF-44E3-9099-C40C66FF867C}">
                  <a14:compatExt spid="_x0000_s13568"/>
                </a:ext>
                <a:ext uri="{FF2B5EF4-FFF2-40B4-BE49-F238E27FC236}">
                  <a16:creationId xmlns:a16="http://schemas.microsoft.com/office/drawing/2014/main" id="{00000000-0008-0000-0000-000000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842</xdr:row>
          <xdr:rowOff>0</xdr:rowOff>
        </xdr:to>
        <xdr:sp macro="" textlink="">
          <xdr:nvSpPr>
            <xdr:cNvPr id="13567" name="Button 2303" hidden="1">
              <a:extLst>
                <a:ext uri="{63B3BB69-23CF-44E3-9099-C40C66FF867C}">
                  <a14:compatExt spid="_x0000_s13567"/>
                </a:ext>
                <a:ext uri="{FF2B5EF4-FFF2-40B4-BE49-F238E27FC236}">
                  <a16:creationId xmlns:a16="http://schemas.microsoft.com/office/drawing/2014/main" id="{00000000-0008-0000-0000-0000F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38100</xdr:rowOff>
        </xdr:to>
        <xdr:sp macro="" textlink="">
          <xdr:nvSpPr>
            <xdr:cNvPr id="13566" name="Button 2302" hidden="1">
              <a:extLst>
                <a:ext uri="{63B3BB69-23CF-44E3-9099-C40C66FF867C}">
                  <a14:compatExt spid="_x0000_s13566"/>
                </a:ext>
                <a:ext uri="{FF2B5EF4-FFF2-40B4-BE49-F238E27FC236}">
                  <a16:creationId xmlns:a16="http://schemas.microsoft.com/office/drawing/2014/main" id="{00000000-0008-0000-0000-0000F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3565" name="Button 2301" hidden="1">
              <a:extLst>
                <a:ext uri="{63B3BB69-23CF-44E3-9099-C40C66FF867C}">
                  <a14:compatExt spid="_x0000_s13565"/>
                </a:ext>
                <a:ext uri="{FF2B5EF4-FFF2-40B4-BE49-F238E27FC236}">
                  <a16:creationId xmlns:a16="http://schemas.microsoft.com/office/drawing/2014/main" id="{00000000-0008-0000-0000-0000F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3564" name="Button 2300" hidden="1">
              <a:extLst>
                <a:ext uri="{63B3BB69-23CF-44E3-9099-C40C66FF867C}">
                  <a14:compatExt spid="_x0000_s13564"/>
                </a:ext>
                <a:ext uri="{FF2B5EF4-FFF2-40B4-BE49-F238E27FC236}">
                  <a16:creationId xmlns:a16="http://schemas.microsoft.com/office/drawing/2014/main" id="{00000000-0008-0000-0000-0000F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3563" name="Button 2299" hidden="1">
              <a:extLst>
                <a:ext uri="{63B3BB69-23CF-44E3-9099-C40C66FF867C}">
                  <a14:compatExt spid="_x0000_s13563"/>
                </a:ext>
                <a:ext uri="{FF2B5EF4-FFF2-40B4-BE49-F238E27FC236}">
                  <a16:creationId xmlns:a16="http://schemas.microsoft.com/office/drawing/2014/main" id="{00000000-0008-0000-0000-0000F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3562" name="Button 2298" hidden="1">
              <a:extLst>
                <a:ext uri="{63B3BB69-23CF-44E3-9099-C40C66FF867C}">
                  <a14:compatExt spid="_x0000_s13562"/>
                </a:ext>
                <a:ext uri="{FF2B5EF4-FFF2-40B4-BE49-F238E27FC236}">
                  <a16:creationId xmlns:a16="http://schemas.microsoft.com/office/drawing/2014/main" id="{00000000-0008-0000-0000-0000F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3561" name="Button 2297" hidden="1">
              <a:extLst>
                <a:ext uri="{63B3BB69-23CF-44E3-9099-C40C66FF867C}">
                  <a14:compatExt spid="_x0000_s13561"/>
                </a:ext>
                <a:ext uri="{FF2B5EF4-FFF2-40B4-BE49-F238E27FC236}">
                  <a16:creationId xmlns:a16="http://schemas.microsoft.com/office/drawing/2014/main" id="{00000000-0008-0000-0000-0000F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3560" name="Button 2296" hidden="1">
              <a:extLst>
                <a:ext uri="{63B3BB69-23CF-44E3-9099-C40C66FF867C}">
                  <a14:compatExt spid="_x0000_s13560"/>
                </a:ext>
                <a:ext uri="{FF2B5EF4-FFF2-40B4-BE49-F238E27FC236}">
                  <a16:creationId xmlns:a16="http://schemas.microsoft.com/office/drawing/2014/main" id="{00000000-0008-0000-0000-0000F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858</xdr:row>
          <xdr:rowOff>0</xdr:rowOff>
        </xdr:to>
        <xdr:sp macro="" textlink="">
          <xdr:nvSpPr>
            <xdr:cNvPr id="13559" name="Button 2295" hidden="1">
              <a:extLst>
                <a:ext uri="{63B3BB69-23CF-44E3-9099-C40C66FF867C}">
                  <a14:compatExt spid="_x0000_s13559"/>
                </a:ext>
                <a:ext uri="{FF2B5EF4-FFF2-40B4-BE49-F238E27FC236}">
                  <a16:creationId xmlns:a16="http://schemas.microsoft.com/office/drawing/2014/main" id="{00000000-0008-0000-0000-0000F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38100</xdr:rowOff>
        </xdr:to>
        <xdr:sp macro="" textlink="">
          <xdr:nvSpPr>
            <xdr:cNvPr id="13558" name="Button 2294" hidden="1">
              <a:extLst>
                <a:ext uri="{63B3BB69-23CF-44E3-9099-C40C66FF867C}">
                  <a14:compatExt spid="_x0000_s13558"/>
                </a:ext>
                <a:ext uri="{FF2B5EF4-FFF2-40B4-BE49-F238E27FC236}">
                  <a16:creationId xmlns:a16="http://schemas.microsoft.com/office/drawing/2014/main" id="{00000000-0008-0000-0000-0000F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161925</xdr:rowOff>
        </xdr:to>
        <xdr:sp macro="" textlink="">
          <xdr:nvSpPr>
            <xdr:cNvPr id="13557" name="Button 2293" hidden="1">
              <a:extLst>
                <a:ext uri="{63B3BB69-23CF-44E3-9099-C40C66FF867C}">
                  <a14:compatExt spid="_x0000_s13557"/>
                </a:ext>
                <a:ext uri="{FF2B5EF4-FFF2-40B4-BE49-F238E27FC236}">
                  <a16:creationId xmlns:a16="http://schemas.microsoft.com/office/drawing/2014/main" id="{00000000-0008-0000-0000-0000F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869</xdr:row>
          <xdr:rowOff>0</xdr:rowOff>
        </xdr:to>
        <xdr:sp macro="" textlink="">
          <xdr:nvSpPr>
            <xdr:cNvPr id="13556" name="Button 2292" hidden="1">
              <a:extLst>
                <a:ext uri="{63B3BB69-23CF-44E3-9099-C40C66FF867C}">
                  <a14:compatExt spid="_x0000_s13556"/>
                </a:ext>
                <a:ext uri="{FF2B5EF4-FFF2-40B4-BE49-F238E27FC236}">
                  <a16:creationId xmlns:a16="http://schemas.microsoft.com/office/drawing/2014/main" id="{00000000-0008-0000-0000-0000F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38100</xdr:rowOff>
        </xdr:to>
        <xdr:sp macro="" textlink="">
          <xdr:nvSpPr>
            <xdr:cNvPr id="13555" name="Button 2291" hidden="1">
              <a:extLst>
                <a:ext uri="{63B3BB69-23CF-44E3-9099-C40C66FF867C}">
                  <a14:compatExt spid="_x0000_s13555"/>
                </a:ext>
                <a:ext uri="{FF2B5EF4-FFF2-40B4-BE49-F238E27FC236}">
                  <a16:creationId xmlns:a16="http://schemas.microsoft.com/office/drawing/2014/main" id="{00000000-0008-0000-0000-0000F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3554" name="Button 2290" hidden="1">
              <a:extLst>
                <a:ext uri="{63B3BB69-23CF-44E3-9099-C40C66FF867C}">
                  <a14:compatExt spid="_x0000_s13554"/>
                </a:ext>
                <a:ext uri="{FF2B5EF4-FFF2-40B4-BE49-F238E27FC236}">
                  <a16:creationId xmlns:a16="http://schemas.microsoft.com/office/drawing/2014/main" id="{00000000-0008-0000-0000-0000F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161925</xdr:rowOff>
        </xdr:to>
        <xdr:sp macro="" textlink="">
          <xdr:nvSpPr>
            <xdr:cNvPr id="13553" name="Button 2289" hidden="1">
              <a:extLst>
                <a:ext uri="{63B3BB69-23CF-44E3-9099-C40C66FF867C}">
                  <a14:compatExt spid="_x0000_s13553"/>
                </a:ext>
                <a:ext uri="{FF2B5EF4-FFF2-40B4-BE49-F238E27FC236}">
                  <a16:creationId xmlns:a16="http://schemas.microsoft.com/office/drawing/2014/main" id="{00000000-0008-0000-0000-0000F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881</xdr:row>
          <xdr:rowOff>0</xdr:rowOff>
        </xdr:to>
        <xdr:sp macro="" textlink="">
          <xdr:nvSpPr>
            <xdr:cNvPr id="13552" name="Button 2288" hidden="1">
              <a:extLst>
                <a:ext uri="{63B3BB69-23CF-44E3-9099-C40C66FF867C}">
                  <a14:compatExt spid="_x0000_s13552"/>
                </a:ext>
                <a:ext uri="{FF2B5EF4-FFF2-40B4-BE49-F238E27FC236}">
                  <a16:creationId xmlns:a16="http://schemas.microsoft.com/office/drawing/2014/main" id="{00000000-0008-0000-0000-0000F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38100</xdr:rowOff>
        </xdr:to>
        <xdr:sp macro="" textlink="">
          <xdr:nvSpPr>
            <xdr:cNvPr id="13551" name="Button 2287" hidden="1">
              <a:extLst>
                <a:ext uri="{63B3BB69-23CF-44E3-9099-C40C66FF867C}">
                  <a14:compatExt spid="_x0000_s13551"/>
                </a:ext>
                <a:ext uri="{FF2B5EF4-FFF2-40B4-BE49-F238E27FC236}">
                  <a16:creationId xmlns:a16="http://schemas.microsoft.com/office/drawing/2014/main" id="{00000000-0008-0000-0000-0000E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161925</xdr:rowOff>
        </xdr:to>
        <xdr:sp macro="" textlink="">
          <xdr:nvSpPr>
            <xdr:cNvPr id="13550" name="Button 2286" hidden="1">
              <a:extLst>
                <a:ext uri="{63B3BB69-23CF-44E3-9099-C40C66FF867C}">
                  <a14:compatExt spid="_x0000_s13550"/>
                </a:ext>
                <a:ext uri="{FF2B5EF4-FFF2-40B4-BE49-F238E27FC236}">
                  <a16:creationId xmlns:a16="http://schemas.microsoft.com/office/drawing/2014/main" id="{00000000-0008-0000-0000-0000E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161925</xdr:rowOff>
        </xdr:to>
        <xdr:sp macro="" textlink="">
          <xdr:nvSpPr>
            <xdr:cNvPr id="13549" name="Button 2285" hidden="1">
              <a:extLst>
                <a:ext uri="{63B3BB69-23CF-44E3-9099-C40C66FF867C}">
                  <a14:compatExt spid="_x0000_s13549"/>
                </a:ext>
                <a:ext uri="{FF2B5EF4-FFF2-40B4-BE49-F238E27FC236}">
                  <a16:creationId xmlns:a16="http://schemas.microsoft.com/office/drawing/2014/main" id="{00000000-0008-0000-0000-0000E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893</xdr:row>
          <xdr:rowOff>0</xdr:rowOff>
        </xdr:to>
        <xdr:sp macro="" textlink="">
          <xdr:nvSpPr>
            <xdr:cNvPr id="13548" name="Button 2284" hidden="1">
              <a:extLst>
                <a:ext uri="{63B3BB69-23CF-44E3-9099-C40C66FF867C}">
                  <a14:compatExt spid="_x0000_s13548"/>
                </a:ext>
                <a:ext uri="{FF2B5EF4-FFF2-40B4-BE49-F238E27FC236}">
                  <a16:creationId xmlns:a16="http://schemas.microsoft.com/office/drawing/2014/main" id="{00000000-0008-0000-0000-0000E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38100</xdr:rowOff>
        </xdr:to>
        <xdr:sp macro="" textlink="">
          <xdr:nvSpPr>
            <xdr:cNvPr id="13547" name="Button 2283" hidden="1">
              <a:extLst>
                <a:ext uri="{63B3BB69-23CF-44E3-9099-C40C66FF867C}">
                  <a14:compatExt spid="_x0000_s13547"/>
                </a:ext>
                <a:ext uri="{FF2B5EF4-FFF2-40B4-BE49-F238E27FC236}">
                  <a16:creationId xmlns:a16="http://schemas.microsoft.com/office/drawing/2014/main" id="{00000000-0008-0000-0000-0000E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3546" name="Button 2282" hidden="1">
              <a:extLst>
                <a:ext uri="{63B3BB69-23CF-44E3-9099-C40C66FF867C}">
                  <a14:compatExt spid="_x0000_s13546"/>
                </a:ext>
                <a:ext uri="{FF2B5EF4-FFF2-40B4-BE49-F238E27FC236}">
                  <a16:creationId xmlns:a16="http://schemas.microsoft.com/office/drawing/2014/main" id="{00000000-0008-0000-0000-0000E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3545" name="Button 2281" hidden="1">
              <a:extLst>
                <a:ext uri="{63B3BB69-23CF-44E3-9099-C40C66FF867C}">
                  <a14:compatExt spid="_x0000_s13545"/>
                </a:ext>
                <a:ext uri="{FF2B5EF4-FFF2-40B4-BE49-F238E27FC236}">
                  <a16:creationId xmlns:a16="http://schemas.microsoft.com/office/drawing/2014/main" id="{00000000-0008-0000-0000-0000E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905</xdr:row>
          <xdr:rowOff>0</xdr:rowOff>
        </xdr:to>
        <xdr:sp macro="" textlink="">
          <xdr:nvSpPr>
            <xdr:cNvPr id="13544" name="Button 2280" hidden="1">
              <a:extLst>
                <a:ext uri="{63B3BB69-23CF-44E3-9099-C40C66FF867C}">
                  <a14:compatExt spid="_x0000_s13544"/>
                </a:ext>
                <a:ext uri="{FF2B5EF4-FFF2-40B4-BE49-F238E27FC236}">
                  <a16:creationId xmlns:a16="http://schemas.microsoft.com/office/drawing/2014/main" id="{00000000-0008-0000-0000-0000E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38100</xdr:rowOff>
        </xdr:to>
        <xdr:sp macro="" textlink="">
          <xdr:nvSpPr>
            <xdr:cNvPr id="13543" name="Button 2279" hidden="1">
              <a:extLst>
                <a:ext uri="{63B3BB69-23CF-44E3-9099-C40C66FF867C}">
                  <a14:compatExt spid="_x0000_s13543"/>
                </a:ext>
                <a:ext uri="{FF2B5EF4-FFF2-40B4-BE49-F238E27FC236}">
                  <a16:creationId xmlns:a16="http://schemas.microsoft.com/office/drawing/2014/main" id="{00000000-0008-0000-0000-0000E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3542" name="Button 2278" hidden="1">
              <a:extLst>
                <a:ext uri="{63B3BB69-23CF-44E3-9099-C40C66FF867C}">
                  <a14:compatExt spid="_x0000_s13542"/>
                </a:ext>
                <a:ext uri="{FF2B5EF4-FFF2-40B4-BE49-F238E27FC236}">
                  <a16:creationId xmlns:a16="http://schemas.microsoft.com/office/drawing/2014/main" id="{00000000-0008-0000-0000-0000E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161925</xdr:rowOff>
        </xdr:to>
        <xdr:sp macro="" textlink="">
          <xdr:nvSpPr>
            <xdr:cNvPr id="13541" name="Button 2277" hidden="1">
              <a:extLst>
                <a:ext uri="{63B3BB69-23CF-44E3-9099-C40C66FF867C}">
                  <a14:compatExt spid="_x0000_s13541"/>
                </a:ext>
                <a:ext uri="{FF2B5EF4-FFF2-40B4-BE49-F238E27FC236}">
                  <a16:creationId xmlns:a16="http://schemas.microsoft.com/office/drawing/2014/main" id="{00000000-0008-0000-0000-0000E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161925</xdr:rowOff>
        </xdr:to>
        <xdr:sp macro="" textlink="">
          <xdr:nvSpPr>
            <xdr:cNvPr id="13540" name="Button 2276" hidden="1">
              <a:extLst>
                <a:ext uri="{63B3BB69-23CF-44E3-9099-C40C66FF867C}">
                  <a14:compatExt spid="_x0000_s13540"/>
                </a:ext>
                <a:ext uri="{FF2B5EF4-FFF2-40B4-BE49-F238E27FC236}">
                  <a16:creationId xmlns:a16="http://schemas.microsoft.com/office/drawing/2014/main" id="{00000000-0008-0000-0000-0000E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918</xdr:row>
          <xdr:rowOff>0</xdr:rowOff>
        </xdr:to>
        <xdr:sp macro="" textlink="">
          <xdr:nvSpPr>
            <xdr:cNvPr id="13539" name="Button 2275" hidden="1">
              <a:extLst>
                <a:ext uri="{63B3BB69-23CF-44E3-9099-C40C66FF867C}">
                  <a14:compatExt spid="_x0000_s13539"/>
                </a:ext>
                <a:ext uri="{FF2B5EF4-FFF2-40B4-BE49-F238E27FC236}">
                  <a16:creationId xmlns:a16="http://schemas.microsoft.com/office/drawing/2014/main" id="{00000000-0008-0000-0000-0000E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38100</xdr:rowOff>
        </xdr:to>
        <xdr:sp macro="" textlink="">
          <xdr:nvSpPr>
            <xdr:cNvPr id="13538" name="Button 2274" hidden="1">
              <a:extLst>
                <a:ext uri="{63B3BB69-23CF-44E3-9099-C40C66FF867C}">
                  <a14:compatExt spid="_x0000_s13538"/>
                </a:ext>
                <a:ext uri="{FF2B5EF4-FFF2-40B4-BE49-F238E27FC236}">
                  <a16:creationId xmlns:a16="http://schemas.microsoft.com/office/drawing/2014/main" id="{00000000-0008-0000-0000-0000E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161925</xdr:rowOff>
        </xdr:to>
        <xdr:sp macro="" textlink="">
          <xdr:nvSpPr>
            <xdr:cNvPr id="13537" name="Button 2273" hidden="1">
              <a:extLst>
                <a:ext uri="{63B3BB69-23CF-44E3-9099-C40C66FF867C}">
                  <a14:compatExt spid="_x0000_s13537"/>
                </a:ext>
                <a:ext uri="{FF2B5EF4-FFF2-40B4-BE49-F238E27FC236}">
                  <a16:creationId xmlns:a16="http://schemas.microsoft.com/office/drawing/2014/main" id="{00000000-0008-0000-0000-0000E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161925</xdr:rowOff>
        </xdr:to>
        <xdr:sp macro="" textlink="">
          <xdr:nvSpPr>
            <xdr:cNvPr id="13536" name="Button 2272" hidden="1">
              <a:extLst>
                <a:ext uri="{63B3BB69-23CF-44E3-9099-C40C66FF867C}">
                  <a14:compatExt spid="_x0000_s13536"/>
                </a:ext>
                <a:ext uri="{FF2B5EF4-FFF2-40B4-BE49-F238E27FC236}">
                  <a16:creationId xmlns:a16="http://schemas.microsoft.com/office/drawing/2014/main" id="{00000000-0008-0000-0000-0000E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161925</xdr:rowOff>
        </xdr:to>
        <xdr:sp macro="" textlink="">
          <xdr:nvSpPr>
            <xdr:cNvPr id="13535" name="Button 2271" hidden="1">
              <a:extLst>
                <a:ext uri="{63B3BB69-23CF-44E3-9099-C40C66FF867C}">
                  <a14:compatExt spid="_x0000_s13535"/>
                </a:ext>
                <a:ext uri="{FF2B5EF4-FFF2-40B4-BE49-F238E27FC236}">
                  <a16:creationId xmlns:a16="http://schemas.microsoft.com/office/drawing/2014/main" id="{00000000-0008-0000-0000-0000D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161925</xdr:rowOff>
        </xdr:to>
        <xdr:sp macro="" textlink="">
          <xdr:nvSpPr>
            <xdr:cNvPr id="13534" name="Button 2270" hidden="1">
              <a:extLst>
                <a:ext uri="{63B3BB69-23CF-44E3-9099-C40C66FF867C}">
                  <a14:compatExt spid="_x0000_s13534"/>
                </a:ext>
                <a:ext uri="{FF2B5EF4-FFF2-40B4-BE49-F238E27FC236}">
                  <a16:creationId xmlns:a16="http://schemas.microsoft.com/office/drawing/2014/main" id="{00000000-0008-0000-0000-0000D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161925</xdr:rowOff>
        </xdr:to>
        <xdr:sp macro="" textlink="">
          <xdr:nvSpPr>
            <xdr:cNvPr id="13533" name="Button 2269" hidden="1">
              <a:extLst>
                <a:ext uri="{63B3BB69-23CF-44E3-9099-C40C66FF867C}">
                  <a14:compatExt spid="_x0000_s13533"/>
                </a:ext>
                <a:ext uri="{FF2B5EF4-FFF2-40B4-BE49-F238E27FC236}">
                  <a16:creationId xmlns:a16="http://schemas.microsoft.com/office/drawing/2014/main" id="{00000000-0008-0000-0000-0000D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161925</xdr:rowOff>
        </xdr:to>
        <xdr:sp macro="" textlink="">
          <xdr:nvSpPr>
            <xdr:cNvPr id="13532" name="Button 2268" hidden="1">
              <a:extLst>
                <a:ext uri="{63B3BB69-23CF-44E3-9099-C40C66FF867C}">
                  <a14:compatExt spid="_x0000_s13532"/>
                </a:ext>
                <a:ext uri="{FF2B5EF4-FFF2-40B4-BE49-F238E27FC236}">
                  <a16:creationId xmlns:a16="http://schemas.microsoft.com/office/drawing/2014/main" id="{00000000-0008-0000-0000-0000D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161925</xdr:rowOff>
        </xdr:to>
        <xdr:sp macro="" textlink="">
          <xdr:nvSpPr>
            <xdr:cNvPr id="13531" name="Button 2267" hidden="1">
              <a:extLst>
                <a:ext uri="{63B3BB69-23CF-44E3-9099-C40C66FF867C}">
                  <a14:compatExt spid="_x0000_s13531"/>
                </a:ext>
                <a:ext uri="{FF2B5EF4-FFF2-40B4-BE49-F238E27FC236}">
                  <a16:creationId xmlns:a16="http://schemas.microsoft.com/office/drawing/2014/main" id="{00000000-0008-0000-0000-0000D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161925</xdr:rowOff>
        </xdr:to>
        <xdr:sp macro="" textlink="">
          <xdr:nvSpPr>
            <xdr:cNvPr id="13530" name="Button 2266" hidden="1">
              <a:extLst>
                <a:ext uri="{63B3BB69-23CF-44E3-9099-C40C66FF867C}">
                  <a14:compatExt spid="_x0000_s13530"/>
                </a:ext>
                <a:ext uri="{FF2B5EF4-FFF2-40B4-BE49-F238E27FC236}">
                  <a16:creationId xmlns:a16="http://schemas.microsoft.com/office/drawing/2014/main" id="{00000000-0008-0000-0000-0000D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161925</xdr:rowOff>
        </xdr:to>
        <xdr:sp macro="" textlink="">
          <xdr:nvSpPr>
            <xdr:cNvPr id="13529" name="Button 2265" hidden="1">
              <a:extLst>
                <a:ext uri="{63B3BB69-23CF-44E3-9099-C40C66FF867C}">
                  <a14:compatExt spid="_x0000_s13529"/>
                </a:ext>
                <a:ext uri="{FF2B5EF4-FFF2-40B4-BE49-F238E27FC236}">
                  <a16:creationId xmlns:a16="http://schemas.microsoft.com/office/drawing/2014/main" id="{00000000-0008-0000-0000-0000D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161925</xdr:rowOff>
        </xdr:to>
        <xdr:sp macro="" textlink="">
          <xdr:nvSpPr>
            <xdr:cNvPr id="13528" name="Button 2264" hidden="1">
              <a:extLst>
                <a:ext uri="{63B3BB69-23CF-44E3-9099-C40C66FF867C}">
                  <a14:compatExt spid="_x0000_s13528"/>
                </a:ext>
                <a:ext uri="{FF2B5EF4-FFF2-40B4-BE49-F238E27FC236}">
                  <a16:creationId xmlns:a16="http://schemas.microsoft.com/office/drawing/2014/main" id="{00000000-0008-0000-0000-0000D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161925</xdr:rowOff>
        </xdr:to>
        <xdr:sp macro="" textlink="">
          <xdr:nvSpPr>
            <xdr:cNvPr id="13527" name="Button 2263" hidden="1">
              <a:extLst>
                <a:ext uri="{63B3BB69-23CF-44E3-9099-C40C66FF867C}">
                  <a14:compatExt spid="_x0000_s13527"/>
                </a:ext>
                <a:ext uri="{FF2B5EF4-FFF2-40B4-BE49-F238E27FC236}">
                  <a16:creationId xmlns:a16="http://schemas.microsoft.com/office/drawing/2014/main" id="{00000000-0008-0000-0000-0000D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161925</xdr:rowOff>
        </xdr:to>
        <xdr:sp macro="" textlink="">
          <xdr:nvSpPr>
            <xdr:cNvPr id="13526" name="Button 2262" hidden="1">
              <a:extLst>
                <a:ext uri="{63B3BB69-23CF-44E3-9099-C40C66FF867C}">
                  <a14:compatExt spid="_x0000_s13526"/>
                </a:ext>
                <a:ext uri="{FF2B5EF4-FFF2-40B4-BE49-F238E27FC236}">
                  <a16:creationId xmlns:a16="http://schemas.microsoft.com/office/drawing/2014/main" id="{00000000-0008-0000-0000-0000D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161925</xdr:rowOff>
        </xdr:to>
        <xdr:sp macro="" textlink="">
          <xdr:nvSpPr>
            <xdr:cNvPr id="13525" name="Button 2261" hidden="1">
              <a:extLst>
                <a:ext uri="{63B3BB69-23CF-44E3-9099-C40C66FF867C}">
                  <a14:compatExt spid="_x0000_s13525"/>
                </a:ext>
                <a:ext uri="{FF2B5EF4-FFF2-40B4-BE49-F238E27FC236}">
                  <a16:creationId xmlns:a16="http://schemas.microsoft.com/office/drawing/2014/main" id="{00000000-0008-0000-0000-0000D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161925</xdr:rowOff>
        </xdr:to>
        <xdr:sp macro="" textlink="">
          <xdr:nvSpPr>
            <xdr:cNvPr id="13524" name="Button 2260" hidden="1">
              <a:extLst>
                <a:ext uri="{63B3BB69-23CF-44E3-9099-C40C66FF867C}">
                  <a14:compatExt spid="_x0000_s13524"/>
                </a:ext>
                <a:ext uri="{FF2B5EF4-FFF2-40B4-BE49-F238E27FC236}">
                  <a16:creationId xmlns:a16="http://schemas.microsoft.com/office/drawing/2014/main" id="{00000000-0008-0000-0000-0000D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161925</xdr:rowOff>
        </xdr:to>
        <xdr:sp macro="" textlink="">
          <xdr:nvSpPr>
            <xdr:cNvPr id="13523" name="Button 2259" hidden="1">
              <a:extLst>
                <a:ext uri="{63B3BB69-23CF-44E3-9099-C40C66FF867C}">
                  <a14:compatExt spid="_x0000_s13523"/>
                </a:ext>
                <a:ext uri="{FF2B5EF4-FFF2-40B4-BE49-F238E27FC236}">
                  <a16:creationId xmlns:a16="http://schemas.microsoft.com/office/drawing/2014/main" id="{00000000-0008-0000-0000-0000D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161925</xdr:rowOff>
        </xdr:to>
        <xdr:sp macro="" textlink="">
          <xdr:nvSpPr>
            <xdr:cNvPr id="13522" name="Button 2258" hidden="1">
              <a:extLst>
                <a:ext uri="{63B3BB69-23CF-44E3-9099-C40C66FF867C}">
                  <a14:compatExt spid="_x0000_s13522"/>
                </a:ext>
                <a:ext uri="{FF2B5EF4-FFF2-40B4-BE49-F238E27FC236}">
                  <a16:creationId xmlns:a16="http://schemas.microsoft.com/office/drawing/2014/main" id="{00000000-0008-0000-0000-0000D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161925</xdr:rowOff>
        </xdr:to>
        <xdr:sp macro="" textlink="">
          <xdr:nvSpPr>
            <xdr:cNvPr id="13521" name="Button 2257" hidden="1">
              <a:extLst>
                <a:ext uri="{63B3BB69-23CF-44E3-9099-C40C66FF867C}">
                  <a14:compatExt spid="_x0000_s13521"/>
                </a:ext>
                <a:ext uri="{FF2B5EF4-FFF2-40B4-BE49-F238E27FC236}">
                  <a16:creationId xmlns:a16="http://schemas.microsoft.com/office/drawing/2014/main" id="{00000000-0008-0000-0000-0000D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945</xdr:row>
          <xdr:rowOff>0</xdr:rowOff>
        </xdr:to>
        <xdr:sp macro="" textlink="">
          <xdr:nvSpPr>
            <xdr:cNvPr id="13520" name="Button 2256" hidden="1">
              <a:extLst>
                <a:ext uri="{63B3BB69-23CF-44E3-9099-C40C66FF867C}">
                  <a14:compatExt spid="_x0000_s13520"/>
                </a:ext>
                <a:ext uri="{FF2B5EF4-FFF2-40B4-BE49-F238E27FC236}">
                  <a16:creationId xmlns:a16="http://schemas.microsoft.com/office/drawing/2014/main" id="{00000000-0008-0000-0000-0000D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38100</xdr:rowOff>
        </xdr:to>
        <xdr:sp macro="" textlink="">
          <xdr:nvSpPr>
            <xdr:cNvPr id="13519" name="Button 2255" hidden="1">
              <a:extLst>
                <a:ext uri="{63B3BB69-23CF-44E3-9099-C40C66FF867C}">
                  <a14:compatExt spid="_x0000_s13519"/>
                </a:ext>
                <a:ext uri="{FF2B5EF4-FFF2-40B4-BE49-F238E27FC236}">
                  <a16:creationId xmlns:a16="http://schemas.microsoft.com/office/drawing/2014/main" id="{00000000-0008-0000-0000-0000C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161925</xdr:rowOff>
        </xdr:to>
        <xdr:sp macro="" textlink="">
          <xdr:nvSpPr>
            <xdr:cNvPr id="13518" name="Button 2254" hidden="1">
              <a:extLst>
                <a:ext uri="{63B3BB69-23CF-44E3-9099-C40C66FF867C}">
                  <a14:compatExt spid="_x0000_s13518"/>
                </a:ext>
                <a:ext uri="{FF2B5EF4-FFF2-40B4-BE49-F238E27FC236}">
                  <a16:creationId xmlns:a16="http://schemas.microsoft.com/office/drawing/2014/main" id="{00000000-0008-0000-0000-0000C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956</xdr:row>
          <xdr:rowOff>0</xdr:rowOff>
        </xdr:to>
        <xdr:sp macro="" textlink="">
          <xdr:nvSpPr>
            <xdr:cNvPr id="13517" name="Button 2253" hidden="1">
              <a:extLst>
                <a:ext uri="{63B3BB69-23CF-44E3-9099-C40C66FF867C}">
                  <a14:compatExt spid="_x0000_s13517"/>
                </a:ext>
                <a:ext uri="{FF2B5EF4-FFF2-40B4-BE49-F238E27FC236}">
                  <a16:creationId xmlns:a16="http://schemas.microsoft.com/office/drawing/2014/main" id="{00000000-0008-0000-0000-0000C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38100</xdr:rowOff>
        </xdr:to>
        <xdr:sp macro="" textlink="">
          <xdr:nvSpPr>
            <xdr:cNvPr id="13516" name="Button 2252" hidden="1">
              <a:extLst>
                <a:ext uri="{63B3BB69-23CF-44E3-9099-C40C66FF867C}">
                  <a14:compatExt spid="_x0000_s13516"/>
                </a:ext>
                <a:ext uri="{FF2B5EF4-FFF2-40B4-BE49-F238E27FC236}">
                  <a16:creationId xmlns:a16="http://schemas.microsoft.com/office/drawing/2014/main" id="{00000000-0008-0000-0000-0000C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161925</xdr:rowOff>
        </xdr:to>
        <xdr:sp macro="" textlink="">
          <xdr:nvSpPr>
            <xdr:cNvPr id="13515" name="Button 2251" hidden="1">
              <a:extLst>
                <a:ext uri="{63B3BB69-23CF-44E3-9099-C40C66FF867C}">
                  <a14:compatExt spid="_x0000_s13515"/>
                </a:ext>
                <a:ext uri="{FF2B5EF4-FFF2-40B4-BE49-F238E27FC236}">
                  <a16:creationId xmlns:a16="http://schemas.microsoft.com/office/drawing/2014/main" id="{00000000-0008-0000-0000-0000C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967</xdr:row>
          <xdr:rowOff>0</xdr:rowOff>
        </xdr:to>
        <xdr:sp macro="" textlink="">
          <xdr:nvSpPr>
            <xdr:cNvPr id="13514" name="Button 2250" hidden="1">
              <a:extLst>
                <a:ext uri="{63B3BB69-23CF-44E3-9099-C40C66FF867C}">
                  <a14:compatExt spid="_x0000_s13514"/>
                </a:ext>
                <a:ext uri="{FF2B5EF4-FFF2-40B4-BE49-F238E27FC236}">
                  <a16:creationId xmlns:a16="http://schemas.microsoft.com/office/drawing/2014/main" id="{00000000-0008-0000-0000-0000C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38100</xdr:rowOff>
        </xdr:to>
        <xdr:sp macro="" textlink="">
          <xdr:nvSpPr>
            <xdr:cNvPr id="13513" name="Button 2249" hidden="1">
              <a:extLst>
                <a:ext uri="{63B3BB69-23CF-44E3-9099-C40C66FF867C}">
                  <a14:compatExt spid="_x0000_s13513"/>
                </a:ext>
                <a:ext uri="{FF2B5EF4-FFF2-40B4-BE49-F238E27FC236}">
                  <a16:creationId xmlns:a16="http://schemas.microsoft.com/office/drawing/2014/main" id="{00000000-0008-0000-0000-0000C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3512" name="Button 2248" hidden="1">
              <a:extLst>
                <a:ext uri="{63B3BB69-23CF-44E3-9099-C40C66FF867C}">
                  <a14:compatExt spid="_x0000_s13512"/>
                </a:ext>
                <a:ext uri="{FF2B5EF4-FFF2-40B4-BE49-F238E27FC236}">
                  <a16:creationId xmlns:a16="http://schemas.microsoft.com/office/drawing/2014/main" id="{00000000-0008-0000-0000-0000C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3511" name="Button 2247" hidden="1">
              <a:extLst>
                <a:ext uri="{63B3BB69-23CF-44E3-9099-C40C66FF867C}">
                  <a14:compatExt spid="_x0000_s13511"/>
                </a:ext>
                <a:ext uri="{FF2B5EF4-FFF2-40B4-BE49-F238E27FC236}">
                  <a16:creationId xmlns:a16="http://schemas.microsoft.com/office/drawing/2014/main" id="{00000000-0008-0000-0000-0000C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3510" name="Button 2246" hidden="1">
              <a:extLst>
                <a:ext uri="{63B3BB69-23CF-44E3-9099-C40C66FF867C}">
                  <a14:compatExt spid="_x0000_s13510"/>
                </a:ext>
                <a:ext uri="{FF2B5EF4-FFF2-40B4-BE49-F238E27FC236}">
                  <a16:creationId xmlns:a16="http://schemas.microsoft.com/office/drawing/2014/main" id="{00000000-0008-0000-0000-0000C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3509" name="Button 2245" hidden="1">
              <a:extLst>
                <a:ext uri="{63B3BB69-23CF-44E3-9099-C40C66FF867C}">
                  <a14:compatExt spid="_x0000_s13509"/>
                </a:ext>
                <a:ext uri="{FF2B5EF4-FFF2-40B4-BE49-F238E27FC236}">
                  <a16:creationId xmlns:a16="http://schemas.microsoft.com/office/drawing/2014/main" id="{00000000-0008-0000-0000-0000C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981</xdr:row>
          <xdr:rowOff>0</xdr:rowOff>
        </xdr:to>
        <xdr:sp macro="" textlink="">
          <xdr:nvSpPr>
            <xdr:cNvPr id="13508" name="Button 2244" hidden="1">
              <a:extLst>
                <a:ext uri="{63B3BB69-23CF-44E3-9099-C40C66FF867C}">
                  <a14:compatExt spid="_x0000_s13508"/>
                </a:ext>
                <a:ext uri="{FF2B5EF4-FFF2-40B4-BE49-F238E27FC236}">
                  <a16:creationId xmlns:a16="http://schemas.microsoft.com/office/drawing/2014/main" id="{00000000-0008-0000-0000-0000C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38100</xdr:rowOff>
        </xdr:to>
        <xdr:sp macro="" textlink="">
          <xdr:nvSpPr>
            <xdr:cNvPr id="13507" name="Button 2243" hidden="1">
              <a:extLst>
                <a:ext uri="{63B3BB69-23CF-44E3-9099-C40C66FF867C}">
                  <a14:compatExt spid="_x0000_s13507"/>
                </a:ext>
                <a:ext uri="{FF2B5EF4-FFF2-40B4-BE49-F238E27FC236}">
                  <a16:creationId xmlns:a16="http://schemas.microsoft.com/office/drawing/2014/main" id="{00000000-0008-0000-0000-0000C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161925</xdr:rowOff>
        </xdr:to>
        <xdr:sp macro="" textlink="">
          <xdr:nvSpPr>
            <xdr:cNvPr id="13506" name="Button 2242" hidden="1">
              <a:extLst>
                <a:ext uri="{63B3BB69-23CF-44E3-9099-C40C66FF867C}">
                  <a14:compatExt spid="_x0000_s13506"/>
                </a:ext>
                <a:ext uri="{FF2B5EF4-FFF2-40B4-BE49-F238E27FC236}">
                  <a16:creationId xmlns:a16="http://schemas.microsoft.com/office/drawing/2014/main" id="{00000000-0008-0000-0000-0000C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992</xdr:row>
          <xdr:rowOff>0</xdr:rowOff>
        </xdr:to>
        <xdr:sp macro="" textlink="">
          <xdr:nvSpPr>
            <xdr:cNvPr id="13505" name="Button 2241" hidden="1">
              <a:extLst>
                <a:ext uri="{63B3BB69-23CF-44E3-9099-C40C66FF867C}">
                  <a14:compatExt spid="_x0000_s13505"/>
                </a:ext>
                <a:ext uri="{FF2B5EF4-FFF2-40B4-BE49-F238E27FC236}">
                  <a16:creationId xmlns:a16="http://schemas.microsoft.com/office/drawing/2014/main" id="{00000000-0008-0000-0000-0000C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38100</xdr:rowOff>
        </xdr:to>
        <xdr:sp macro="" textlink="">
          <xdr:nvSpPr>
            <xdr:cNvPr id="13504" name="Button 2240" hidden="1">
              <a:extLst>
                <a:ext uri="{63B3BB69-23CF-44E3-9099-C40C66FF867C}">
                  <a14:compatExt spid="_x0000_s13504"/>
                </a:ext>
                <a:ext uri="{FF2B5EF4-FFF2-40B4-BE49-F238E27FC236}">
                  <a16:creationId xmlns:a16="http://schemas.microsoft.com/office/drawing/2014/main" id="{00000000-0008-0000-0000-0000C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3503" name="Button 2239" hidden="1">
              <a:extLst>
                <a:ext uri="{63B3BB69-23CF-44E3-9099-C40C66FF867C}">
                  <a14:compatExt spid="_x0000_s13503"/>
                </a:ext>
                <a:ext uri="{FF2B5EF4-FFF2-40B4-BE49-F238E27FC236}">
                  <a16:creationId xmlns:a16="http://schemas.microsoft.com/office/drawing/2014/main" id="{00000000-0008-0000-0000-0000B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3502" name="Button 2238" hidden="1">
              <a:extLst>
                <a:ext uri="{63B3BB69-23CF-44E3-9099-C40C66FF867C}">
                  <a14:compatExt spid="_x0000_s13502"/>
                </a:ext>
                <a:ext uri="{FF2B5EF4-FFF2-40B4-BE49-F238E27FC236}">
                  <a16:creationId xmlns:a16="http://schemas.microsoft.com/office/drawing/2014/main" id="{00000000-0008-0000-0000-0000B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1004</xdr:row>
          <xdr:rowOff>0</xdr:rowOff>
        </xdr:to>
        <xdr:sp macro="" textlink="">
          <xdr:nvSpPr>
            <xdr:cNvPr id="13501" name="Button 2237" hidden="1">
              <a:extLst>
                <a:ext uri="{63B3BB69-23CF-44E3-9099-C40C66FF867C}">
                  <a14:compatExt spid="_x0000_s13501"/>
                </a:ext>
                <a:ext uri="{FF2B5EF4-FFF2-40B4-BE49-F238E27FC236}">
                  <a16:creationId xmlns:a16="http://schemas.microsoft.com/office/drawing/2014/main" id="{00000000-0008-0000-0000-0000B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38100</xdr:rowOff>
        </xdr:to>
        <xdr:sp macro="" textlink="">
          <xdr:nvSpPr>
            <xdr:cNvPr id="13500" name="Button 2236" hidden="1">
              <a:extLst>
                <a:ext uri="{63B3BB69-23CF-44E3-9099-C40C66FF867C}">
                  <a14:compatExt spid="_x0000_s13500"/>
                </a:ext>
                <a:ext uri="{FF2B5EF4-FFF2-40B4-BE49-F238E27FC236}">
                  <a16:creationId xmlns:a16="http://schemas.microsoft.com/office/drawing/2014/main" id="{00000000-0008-0000-0000-0000B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161925</xdr:rowOff>
        </xdr:to>
        <xdr:sp macro="" textlink="">
          <xdr:nvSpPr>
            <xdr:cNvPr id="13499" name="Button 2235" hidden="1">
              <a:extLst>
                <a:ext uri="{63B3BB69-23CF-44E3-9099-C40C66FF867C}">
                  <a14:compatExt spid="_x0000_s13499"/>
                </a:ext>
                <a:ext uri="{FF2B5EF4-FFF2-40B4-BE49-F238E27FC236}">
                  <a16:creationId xmlns:a16="http://schemas.microsoft.com/office/drawing/2014/main" id="{00000000-0008-0000-0000-0000B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1015</xdr:row>
          <xdr:rowOff>0</xdr:rowOff>
        </xdr:to>
        <xdr:sp macro="" textlink="">
          <xdr:nvSpPr>
            <xdr:cNvPr id="13498" name="Button 2234" hidden="1">
              <a:extLst>
                <a:ext uri="{63B3BB69-23CF-44E3-9099-C40C66FF867C}">
                  <a14:compatExt spid="_x0000_s13498"/>
                </a:ext>
                <a:ext uri="{FF2B5EF4-FFF2-40B4-BE49-F238E27FC236}">
                  <a16:creationId xmlns:a16="http://schemas.microsoft.com/office/drawing/2014/main" id="{00000000-0008-0000-0000-0000B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38100</xdr:rowOff>
        </xdr:to>
        <xdr:sp macro="" textlink="">
          <xdr:nvSpPr>
            <xdr:cNvPr id="13497" name="Button 2233" hidden="1">
              <a:extLst>
                <a:ext uri="{63B3BB69-23CF-44E3-9099-C40C66FF867C}">
                  <a14:compatExt spid="_x0000_s13497"/>
                </a:ext>
                <a:ext uri="{FF2B5EF4-FFF2-40B4-BE49-F238E27FC236}">
                  <a16:creationId xmlns:a16="http://schemas.microsoft.com/office/drawing/2014/main" id="{00000000-0008-0000-0000-0000B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3496" name="Button 2232" hidden="1">
              <a:extLst>
                <a:ext uri="{63B3BB69-23CF-44E3-9099-C40C66FF867C}">
                  <a14:compatExt spid="_x0000_s13496"/>
                </a:ext>
                <a:ext uri="{FF2B5EF4-FFF2-40B4-BE49-F238E27FC236}">
                  <a16:creationId xmlns:a16="http://schemas.microsoft.com/office/drawing/2014/main" id="{00000000-0008-0000-0000-0000B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1026</xdr:row>
          <xdr:rowOff>0</xdr:rowOff>
        </xdr:to>
        <xdr:sp macro="" textlink="">
          <xdr:nvSpPr>
            <xdr:cNvPr id="13495" name="Button 2231" hidden="1">
              <a:extLst>
                <a:ext uri="{63B3BB69-23CF-44E3-9099-C40C66FF867C}">
                  <a14:compatExt spid="_x0000_s13495"/>
                </a:ext>
                <a:ext uri="{FF2B5EF4-FFF2-40B4-BE49-F238E27FC236}">
                  <a16:creationId xmlns:a16="http://schemas.microsoft.com/office/drawing/2014/main" id="{00000000-0008-0000-0000-0000B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38100</xdr:rowOff>
        </xdr:to>
        <xdr:sp macro="" textlink="">
          <xdr:nvSpPr>
            <xdr:cNvPr id="13494" name="Button 2230" hidden="1">
              <a:extLst>
                <a:ext uri="{63B3BB69-23CF-44E3-9099-C40C66FF867C}">
                  <a14:compatExt spid="_x0000_s13494"/>
                </a:ext>
                <a:ext uri="{FF2B5EF4-FFF2-40B4-BE49-F238E27FC236}">
                  <a16:creationId xmlns:a16="http://schemas.microsoft.com/office/drawing/2014/main" id="{00000000-0008-0000-0000-0000B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161925</xdr:rowOff>
        </xdr:to>
        <xdr:sp macro="" textlink="">
          <xdr:nvSpPr>
            <xdr:cNvPr id="13493" name="Button 2229" hidden="1">
              <a:extLst>
                <a:ext uri="{63B3BB69-23CF-44E3-9099-C40C66FF867C}">
                  <a14:compatExt spid="_x0000_s13493"/>
                </a:ext>
                <a:ext uri="{FF2B5EF4-FFF2-40B4-BE49-F238E27FC236}">
                  <a16:creationId xmlns:a16="http://schemas.microsoft.com/office/drawing/2014/main" id="{00000000-0008-0000-0000-0000B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3492" name="Button 2228" hidden="1">
              <a:extLst>
                <a:ext uri="{63B3BB69-23CF-44E3-9099-C40C66FF867C}">
                  <a14:compatExt spid="_x0000_s13492"/>
                </a:ext>
                <a:ext uri="{FF2B5EF4-FFF2-40B4-BE49-F238E27FC236}">
                  <a16:creationId xmlns:a16="http://schemas.microsoft.com/office/drawing/2014/main" id="{00000000-0008-0000-0000-0000B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3491" name="Button 2227" hidden="1">
              <a:extLst>
                <a:ext uri="{63B3BB69-23CF-44E3-9099-C40C66FF867C}">
                  <a14:compatExt spid="_x0000_s13491"/>
                </a:ext>
                <a:ext uri="{FF2B5EF4-FFF2-40B4-BE49-F238E27FC236}">
                  <a16:creationId xmlns:a16="http://schemas.microsoft.com/office/drawing/2014/main" id="{00000000-0008-0000-0000-0000B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3490" name="Button 2226" hidden="1">
              <a:extLst>
                <a:ext uri="{63B3BB69-23CF-44E3-9099-C40C66FF867C}">
                  <a14:compatExt spid="_x0000_s13490"/>
                </a:ext>
                <a:ext uri="{FF2B5EF4-FFF2-40B4-BE49-F238E27FC236}">
                  <a16:creationId xmlns:a16="http://schemas.microsoft.com/office/drawing/2014/main" id="{00000000-0008-0000-0000-0000B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3489" name="Button 2225" hidden="1">
              <a:extLst>
                <a:ext uri="{63B3BB69-23CF-44E3-9099-C40C66FF867C}">
                  <a14:compatExt spid="_x0000_s13489"/>
                </a:ext>
                <a:ext uri="{FF2B5EF4-FFF2-40B4-BE49-F238E27FC236}">
                  <a16:creationId xmlns:a16="http://schemas.microsoft.com/office/drawing/2014/main" id="{00000000-0008-0000-0000-0000B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1041</xdr:row>
          <xdr:rowOff>0</xdr:rowOff>
        </xdr:to>
        <xdr:sp macro="" textlink="">
          <xdr:nvSpPr>
            <xdr:cNvPr id="13488" name="Button 2224" hidden="1">
              <a:extLst>
                <a:ext uri="{63B3BB69-23CF-44E3-9099-C40C66FF867C}">
                  <a14:compatExt spid="_x0000_s13488"/>
                </a:ext>
                <a:ext uri="{FF2B5EF4-FFF2-40B4-BE49-F238E27FC236}">
                  <a16:creationId xmlns:a16="http://schemas.microsoft.com/office/drawing/2014/main" id="{00000000-0008-0000-0000-0000B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38100</xdr:rowOff>
        </xdr:to>
        <xdr:sp macro="" textlink="">
          <xdr:nvSpPr>
            <xdr:cNvPr id="13487" name="Button 2223" hidden="1">
              <a:extLst>
                <a:ext uri="{63B3BB69-23CF-44E3-9099-C40C66FF867C}">
                  <a14:compatExt spid="_x0000_s13487"/>
                </a:ext>
                <a:ext uri="{FF2B5EF4-FFF2-40B4-BE49-F238E27FC236}">
                  <a16:creationId xmlns:a16="http://schemas.microsoft.com/office/drawing/2014/main" id="{00000000-0008-0000-0000-0000A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161925</xdr:rowOff>
        </xdr:to>
        <xdr:sp macro="" textlink="">
          <xdr:nvSpPr>
            <xdr:cNvPr id="13486" name="Button 2222" hidden="1">
              <a:extLst>
                <a:ext uri="{63B3BB69-23CF-44E3-9099-C40C66FF867C}">
                  <a14:compatExt spid="_x0000_s13486"/>
                </a:ext>
                <a:ext uri="{FF2B5EF4-FFF2-40B4-BE49-F238E27FC236}">
                  <a16:creationId xmlns:a16="http://schemas.microsoft.com/office/drawing/2014/main" id="{00000000-0008-0000-0000-0000A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161925</xdr:rowOff>
        </xdr:to>
        <xdr:sp macro="" textlink="">
          <xdr:nvSpPr>
            <xdr:cNvPr id="13485" name="Button 2221" hidden="1">
              <a:extLst>
                <a:ext uri="{63B3BB69-23CF-44E3-9099-C40C66FF867C}">
                  <a14:compatExt spid="_x0000_s13485"/>
                </a:ext>
                <a:ext uri="{FF2B5EF4-FFF2-40B4-BE49-F238E27FC236}">
                  <a16:creationId xmlns:a16="http://schemas.microsoft.com/office/drawing/2014/main" id="{00000000-0008-0000-0000-0000A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3484" name="Button 2220" hidden="1">
              <a:extLst>
                <a:ext uri="{63B3BB69-23CF-44E3-9099-C40C66FF867C}">
                  <a14:compatExt spid="_x0000_s13484"/>
                </a:ext>
                <a:ext uri="{FF2B5EF4-FFF2-40B4-BE49-F238E27FC236}">
                  <a16:creationId xmlns:a16="http://schemas.microsoft.com/office/drawing/2014/main" id="{00000000-0008-0000-0000-0000A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3483" name="Button 2219" hidden="1">
              <a:extLst>
                <a:ext uri="{63B3BB69-23CF-44E3-9099-C40C66FF867C}">
                  <a14:compatExt spid="_x0000_s13483"/>
                </a:ext>
                <a:ext uri="{FF2B5EF4-FFF2-40B4-BE49-F238E27FC236}">
                  <a16:creationId xmlns:a16="http://schemas.microsoft.com/office/drawing/2014/main" id="{00000000-0008-0000-0000-0000A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3482" name="Button 2218" hidden="1">
              <a:extLst>
                <a:ext uri="{63B3BB69-23CF-44E3-9099-C40C66FF867C}">
                  <a14:compatExt spid="_x0000_s13482"/>
                </a:ext>
                <a:ext uri="{FF2B5EF4-FFF2-40B4-BE49-F238E27FC236}">
                  <a16:creationId xmlns:a16="http://schemas.microsoft.com/office/drawing/2014/main" id="{00000000-0008-0000-0000-0000A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161925</xdr:rowOff>
        </xdr:to>
        <xdr:sp macro="" textlink="">
          <xdr:nvSpPr>
            <xdr:cNvPr id="13481" name="Button 2217" hidden="1">
              <a:extLst>
                <a:ext uri="{63B3BB69-23CF-44E3-9099-C40C66FF867C}">
                  <a14:compatExt spid="_x0000_s13481"/>
                </a:ext>
                <a:ext uri="{FF2B5EF4-FFF2-40B4-BE49-F238E27FC236}">
                  <a16:creationId xmlns:a16="http://schemas.microsoft.com/office/drawing/2014/main" id="{00000000-0008-0000-0000-0000A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3480" name="Button 2216" hidden="1">
              <a:extLst>
                <a:ext uri="{63B3BB69-23CF-44E3-9099-C40C66FF867C}">
                  <a14:compatExt spid="_x0000_s13480"/>
                </a:ext>
                <a:ext uri="{FF2B5EF4-FFF2-40B4-BE49-F238E27FC236}">
                  <a16:creationId xmlns:a16="http://schemas.microsoft.com/office/drawing/2014/main" id="{00000000-0008-0000-0000-0000A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161925</xdr:rowOff>
        </xdr:to>
        <xdr:sp macro="" textlink="">
          <xdr:nvSpPr>
            <xdr:cNvPr id="13479" name="Button 2215" hidden="1">
              <a:extLst>
                <a:ext uri="{63B3BB69-23CF-44E3-9099-C40C66FF867C}">
                  <a14:compatExt spid="_x0000_s13479"/>
                </a:ext>
                <a:ext uri="{FF2B5EF4-FFF2-40B4-BE49-F238E27FC236}">
                  <a16:creationId xmlns:a16="http://schemas.microsoft.com/office/drawing/2014/main" id="{00000000-0008-0000-0000-0000A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161925</xdr:rowOff>
        </xdr:to>
        <xdr:sp macro="" textlink="">
          <xdr:nvSpPr>
            <xdr:cNvPr id="13478" name="Button 2214" hidden="1">
              <a:extLst>
                <a:ext uri="{63B3BB69-23CF-44E3-9099-C40C66FF867C}">
                  <a14:compatExt spid="_x0000_s13478"/>
                </a:ext>
                <a:ext uri="{FF2B5EF4-FFF2-40B4-BE49-F238E27FC236}">
                  <a16:creationId xmlns:a16="http://schemas.microsoft.com/office/drawing/2014/main" id="{00000000-0008-0000-0000-0000A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161925</xdr:rowOff>
        </xdr:to>
        <xdr:sp macro="" textlink="">
          <xdr:nvSpPr>
            <xdr:cNvPr id="13477" name="Button 2213" hidden="1">
              <a:extLst>
                <a:ext uri="{63B3BB69-23CF-44E3-9099-C40C66FF867C}">
                  <a14:compatExt spid="_x0000_s13477"/>
                </a:ext>
                <a:ext uri="{FF2B5EF4-FFF2-40B4-BE49-F238E27FC236}">
                  <a16:creationId xmlns:a16="http://schemas.microsoft.com/office/drawing/2014/main" id="{00000000-0008-0000-0000-0000A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3476" name="Button 2212" hidden="1">
              <a:extLst>
                <a:ext uri="{63B3BB69-23CF-44E3-9099-C40C66FF867C}">
                  <a14:compatExt spid="_x0000_s13476"/>
                </a:ext>
                <a:ext uri="{FF2B5EF4-FFF2-40B4-BE49-F238E27FC236}">
                  <a16:creationId xmlns:a16="http://schemas.microsoft.com/office/drawing/2014/main" id="{00000000-0008-0000-0000-0000A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161925</xdr:rowOff>
        </xdr:to>
        <xdr:sp macro="" textlink="">
          <xdr:nvSpPr>
            <xdr:cNvPr id="13475" name="Button 2211" hidden="1">
              <a:extLst>
                <a:ext uri="{63B3BB69-23CF-44E3-9099-C40C66FF867C}">
                  <a14:compatExt spid="_x0000_s13475"/>
                </a:ext>
                <a:ext uri="{FF2B5EF4-FFF2-40B4-BE49-F238E27FC236}">
                  <a16:creationId xmlns:a16="http://schemas.microsoft.com/office/drawing/2014/main" id="{00000000-0008-0000-0000-0000A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161925</xdr:rowOff>
        </xdr:to>
        <xdr:sp macro="" textlink="">
          <xdr:nvSpPr>
            <xdr:cNvPr id="13474" name="Button 2210" hidden="1">
              <a:extLst>
                <a:ext uri="{63B3BB69-23CF-44E3-9099-C40C66FF867C}">
                  <a14:compatExt spid="_x0000_s13474"/>
                </a:ext>
                <a:ext uri="{FF2B5EF4-FFF2-40B4-BE49-F238E27FC236}">
                  <a16:creationId xmlns:a16="http://schemas.microsoft.com/office/drawing/2014/main" id="{00000000-0008-0000-0000-0000A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161925</xdr:rowOff>
        </xdr:to>
        <xdr:sp macro="" textlink="">
          <xdr:nvSpPr>
            <xdr:cNvPr id="13473" name="Button 2209" hidden="1">
              <a:extLst>
                <a:ext uri="{63B3BB69-23CF-44E3-9099-C40C66FF867C}">
                  <a14:compatExt spid="_x0000_s13473"/>
                </a:ext>
                <a:ext uri="{FF2B5EF4-FFF2-40B4-BE49-F238E27FC236}">
                  <a16:creationId xmlns:a16="http://schemas.microsoft.com/office/drawing/2014/main" id="{00000000-0008-0000-0000-0000A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161925</xdr:rowOff>
        </xdr:to>
        <xdr:sp macro="" textlink="">
          <xdr:nvSpPr>
            <xdr:cNvPr id="13472" name="Button 2208" hidden="1">
              <a:extLst>
                <a:ext uri="{63B3BB69-23CF-44E3-9099-C40C66FF867C}">
                  <a14:compatExt spid="_x0000_s13472"/>
                </a:ext>
                <a:ext uri="{FF2B5EF4-FFF2-40B4-BE49-F238E27FC236}">
                  <a16:creationId xmlns:a16="http://schemas.microsoft.com/office/drawing/2014/main" id="{00000000-0008-0000-0000-0000A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3471" name="Button 2207" hidden="1">
              <a:extLst>
                <a:ext uri="{63B3BB69-23CF-44E3-9099-C40C66FF867C}">
                  <a14:compatExt spid="_x0000_s13471"/>
                </a:ext>
                <a:ext uri="{FF2B5EF4-FFF2-40B4-BE49-F238E27FC236}">
                  <a16:creationId xmlns:a16="http://schemas.microsoft.com/office/drawing/2014/main" id="{00000000-0008-0000-0000-00009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1064</xdr:row>
          <xdr:rowOff>161925</xdr:rowOff>
        </xdr:to>
        <xdr:sp macro="" textlink="">
          <xdr:nvSpPr>
            <xdr:cNvPr id="13470" name="Button 2206" hidden="1">
              <a:extLst>
                <a:ext uri="{63B3BB69-23CF-44E3-9099-C40C66FF867C}">
                  <a14:compatExt spid="_x0000_s13470"/>
                </a:ext>
                <a:ext uri="{FF2B5EF4-FFF2-40B4-BE49-F238E27FC236}">
                  <a16:creationId xmlns:a16="http://schemas.microsoft.com/office/drawing/2014/main" id="{00000000-0008-0000-0000-00009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1065</xdr:row>
          <xdr:rowOff>161925</xdr:rowOff>
        </xdr:to>
        <xdr:sp macro="" textlink="">
          <xdr:nvSpPr>
            <xdr:cNvPr id="13469" name="Button 2205" hidden="1">
              <a:extLst>
                <a:ext uri="{63B3BB69-23CF-44E3-9099-C40C66FF867C}">
                  <a14:compatExt spid="_x0000_s13469"/>
                </a:ext>
                <a:ext uri="{FF2B5EF4-FFF2-40B4-BE49-F238E27FC236}">
                  <a16:creationId xmlns:a16="http://schemas.microsoft.com/office/drawing/2014/main" id="{00000000-0008-0000-0000-00009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1066</xdr:row>
          <xdr:rowOff>161925</xdr:rowOff>
        </xdr:to>
        <xdr:sp macro="" textlink="">
          <xdr:nvSpPr>
            <xdr:cNvPr id="13468" name="Button 2204" hidden="1">
              <a:extLst>
                <a:ext uri="{63B3BB69-23CF-44E3-9099-C40C66FF867C}">
                  <a14:compatExt spid="_x0000_s13468"/>
                </a:ext>
                <a:ext uri="{FF2B5EF4-FFF2-40B4-BE49-F238E27FC236}">
                  <a16:creationId xmlns:a16="http://schemas.microsoft.com/office/drawing/2014/main" id="{00000000-0008-0000-0000-00009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1067</xdr:row>
          <xdr:rowOff>161925</xdr:rowOff>
        </xdr:to>
        <xdr:sp macro="" textlink="">
          <xdr:nvSpPr>
            <xdr:cNvPr id="13467" name="Button 2203" hidden="1">
              <a:extLst>
                <a:ext uri="{63B3BB69-23CF-44E3-9099-C40C66FF867C}">
                  <a14:compatExt spid="_x0000_s13467"/>
                </a:ext>
                <a:ext uri="{FF2B5EF4-FFF2-40B4-BE49-F238E27FC236}">
                  <a16:creationId xmlns:a16="http://schemas.microsoft.com/office/drawing/2014/main" id="{00000000-0008-0000-0000-00009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1068</xdr:row>
          <xdr:rowOff>161925</xdr:rowOff>
        </xdr:to>
        <xdr:sp macro="" textlink="">
          <xdr:nvSpPr>
            <xdr:cNvPr id="13466" name="Button 2202" hidden="1">
              <a:extLst>
                <a:ext uri="{63B3BB69-23CF-44E3-9099-C40C66FF867C}">
                  <a14:compatExt spid="_x0000_s13466"/>
                </a:ext>
                <a:ext uri="{FF2B5EF4-FFF2-40B4-BE49-F238E27FC236}">
                  <a16:creationId xmlns:a16="http://schemas.microsoft.com/office/drawing/2014/main" id="{00000000-0008-0000-0000-00009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1069</xdr:row>
          <xdr:rowOff>161925</xdr:rowOff>
        </xdr:to>
        <xdr:sp macro="" textlink="">
          <xdr:nvSpPr>
            <xdr:cNvPr id="13465" name="Button 2201" hidden="1">
              <a:extLst>
                <a:ext uri="{63B3BB69-23CF-44E3-9099-C40C66FF867C}">
                  <a14:compatExt spid="_x0000_s13465"/>
                </a:ext>
                <a:ext uri="{FF2B5EF4-FFF2-40B4-BE49-F238E27FC236}">
                  <a16:creationId xmlns:a16="http://schemas.microsoft.com/office/drawing/2014/main" id="{00000000-0008-0000-0000-00009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1070</xdr:row>
          <xdr:rowOff>161925</xdr:rowOff>
        </xdr:to>
        <xdr:sp macro="" textlink="">
          <xdr:nvSpPr>
            <xdr:cNvPr id="13464" name="Button 2200" hidden="1">
              <a:extLst>
                <a:ext uri="{63B3BB69-23CF-44E3-9099-C40C66FF867C}">
                  <a14:compatExt spid="_x0000_s13464"/>
                </a:ext>
                <a:ext uri="{FF2B5EF4-FFF2-40B4-BE49-F238E27FC236}">
                  <a16:creationId xmlns:a16="http://schemas.microsoft.com/office/drawing/2014/main" id="{00000000-0008-0000-0000-00009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161925</xdr:rowOff>
        </xdr:to>
        <xdr:sp macro="" textlink="">
          <xdr:nvSpPr>
            <xdr:cNvPr id="13463" name="Button 2199" hidden="1">
              <a:extLst>
                <a:ext uri="{63B3BB69-23CF-44E3-9099-C40C66FF867C}">
                  <a14:compatExt spid="_x0000_s13463"/>
                </a:ext>
                <a:ext uri="{FF2B5EF4-FFF2-40B4-BE49-F238E27FC236}">
                  <a16:creationId xmlns:a16="http://schemas.microsoft.com/office/drawing/2014/main" id="{00000000-0008-0000-0000-00009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161925</xdr:rowOff>
        </xdr:to>
        <xdr:sp macro="" textlink="">
          <xdr:nvSpPr>
            <xdr:cNvPr id="13462" name="Button 2198" hidden="1">
              <a:extLst>
                <a:ext uri="{63B3BB69-23CF-44E3-9099-C40C66FF867C}">
                  <a14:compatExt spid="_x0000_s13462"/>
                </a:ext>
                <a:ext uri="{FF2B5EF4-FFF2-40B4-BE49-F238E27FC236}">
                  <a16:creationId xmlns:a16="http://schemas.microsoft.com/office/drawing/2014/main" id="{00000000-0008-0000-0000-00009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161925</xdr:rowOff>
        </xdr:to>
        <xdr:sp macro="" textlink="">
          <xdr:nvSpPr>
            <xdr:cNvPr id="13461" name="Button 2197" hidden="1">
              <a:extLst>
                <a:ext uri="{63B3BB69-23CF-44E3-9099-C40C66FF867C}">
                  <a14:compatExt spid="_x0000_s13461"/>
                </a:ext>
                <a:ext uri="{FF2B5EF4-FFF2-40B4-BE49-F238E27FC236}">
                  <a16:creationId xmlns:a16="http://schemas.microsoft.com/office/drawing/2014/main" id="{00000000-0008-0000-0000-00009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3460" name="Button 2196" hidden="1">
              <a:extLst>
                <a:ext uri="{63B3BB69-23CF-44E3-9099-C40C66FF867C}">
                  <a14:compatExt spid="_x0000_s13460"/>
                </a:ext>
                <a:ext uri="{FF2B5EF4-FFF2-40B4-BE49-F238E27FC236}">
                  <a16:creationId xmlns:a16="http://schemas.microsoft.com/office/drawing/2014/main" id="{00000000-0008-0000-0000-00009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3459" name="Button 2195" hidden="1">
              <a:extLst>
                <a:ext uri="{63B3BB69-23CF-44E3-9099-C40C66FF867C}">
                  <a14:compatExt spid="_x0000_s13459"/>
                </a:ext>
                <a:ext uri="{FF2B5EF4-FFF2-40B4-BE49-F238E27FC236}">
                  <a16:creationId xmlns:a16="http://schemas.microsoft.com/office/drawing/2014/main" id="{00000000-0008-0000-0000-00009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3458" name="Button 2194" hidden="1">
              <a:extLst>
                <a:ext uri="{63B3BB69-23CF-44E3-9099-C40C66FF867C}">
                  <a14:compatExt spid="_x0000_s13458"/>
                </a:ext>
                <a:ext uri="{FF2B5EF4-FFF2-40B4-BE49-F238E27FC236}">
                  <a16:creationId xmlns:a16="http://schemas.microsoft.com/office/drawing/2014/main" id="{00000000-0008-0000-0000-00009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3457" name="Button 2193" hidden="1">
              <a:extLst>
                <a:ext uri="{63B3BB69-23CF-44E3-9099-C40C66FF867C}">
                  <a14:compatExt spid="_x0000_s13457"/>
                </a:ext>
                <a:ext uri="{FF2B5EF4-FFF2-40B4-BE49-F238E27FC236}">
                  <a16:creationId xmlns:a16="http://schemas.microsoft.com/office/drawing/2014/main" id="{00000000-0008-0000-0000-00009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3456" name="Button 2192" hidden="1">
              <a:extLst>
                <a:ext uri="{63B3BB69-23CF-44E3-9099-C40C66FF867C}">
                  <a14:compatExt spid="_x0000_s13456"/>
                </a:ext>
                <a:ext uri="{FF2B5EF4-FFF2-40B4-BE49-F238E27FC236}">
                  <a16:creationId xmlns:a16="http://schemas.microsoft.com/office/drawing/2014/main" id="{00000000-0008-0000-0000-00009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3455" name="Button 2191" hidden="1">
              <a:extLst>
                <a:ext uri="{63B3BB69-23CF-44E3-9099-C40C66FF867C}">
                  <a14:compatExt spid="_x0000_s13455"/>
                </a:ext>
                <a:ext uri="{FF2B5EF4-FFF2-40B4-BE49-F238E27FC236}">
                  <a16:creationId xmlns:a16="http://schemas.microsoft.com/office/drawing/2014/main" id="{00000000-0008-0000-0000-00008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3454" name="Button 2190" hidden="1">
              <a:extLst>
                <a:ext uri="{63B3BB69-23CF-44E3-9099-C40C66FF867C}">
                  <a14:compatExt spid="_x0000_s13454"/>
                </a:ext>
                <a:ext uri="{FF2B5EF4-FFF2-40B4-BE49-F238E27FC236}">
                  <a16:creationId xmlns:a16="http://schemas.microsoft.com/office/drawing/2014/main" id="{00000000-0008-0000-0000-00008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161925</xdr:rowOff>
        </xdr:to>
        <xdr:sp macro="" textlink="">
          <xdr:nvSpPr>
            <xdr:cNvPr id="13453" name="Button 2189" hidden="1">
              <a:extLst>
                <a:ext uri="{63B3BB69-23CF-44E3-9099-C40C66FF867C}">
                  <a14:compatExt spid="_x0000_s13453"/>
                </a:ext>
                <a:ext uri="{FF2B5EF4-FFF2-40B4-BE49-F238E27FC236}">
                  <a16:creationId xmlns:a16="http://schemas.microsoft.com/office/drawing/2014/main" id="{00000000-0008-0000-0000-00008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161925</xdr:rowOff>
        </xdr:to>
        <xdr:sp macro="" textlink="">
          <xdr:nvSpPr>
            <xdr:cNvPr id="13452" name="Button 2188" hidden="1">
              <a:extLst>
                <a:ext uri="{63B3BB69-23CF-44E3-9099-C40C66FF867C}">
                  <a14:compatExt spid="_x0000_s13452"/>
                </a:ext>
                <a:ext uri="{FF2B5EF4-FFF2-40B4-BE49-F238E27FC236}">
                  <a16:creationId xmlns:a16="http://schemas.microsoft.com/office/drawing/2014/main" id="{00000000-0008-0000-0000-00008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161925</xdr:rowOff>
        </xdr:to>
        <xdr:sp macro="" textlink="">
          <xdr:nvSpPr>
            <xdr:cNvPr id="13451" name="Button 2187" hidden="1">
              <a:extLst>
                <a:ext uri="{63B3BB69-23CF-44E3-9099-C40C66FF867C}">
                  <a14:compatExt spid="_x0000_s13451"/>
                </a:ext>
                <a:ext uri="{FF2B5EF4-FFF2-40B4-BE49-F238E27FC236}">
                  <a16:creationId xmlns:a16="http://schemas.microsoft.com/office/drawing/2014/main" id="{00000000-0008-0000-0000-00008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161925</xdr:rowOff>
        </xdr:to>
        <xdr:sp macro="" textlink="">
          <xdr:nvSpPr>
            <xdr:cNvPr id="13450" name="Button 2186" hidden="1">
              <a:extLst>
                <a:ext uri="{63B3BB69-23CF-44E3-9099-C40C66FF867C}">
                  <a14:compatExt spid="_x0000_s13450"/>
                </a:ext>
                <a:ext uri="{FF2B5EF4-FFF2-40B4-BE49-F238E27FC236}">
                  <a16:creationId xmlns:a16="http://schemas.microsoft.com/office/drawing/2014/main" id="{00000000-0008-0000-0000-00008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161925</xdr:rowOff>
        </xdr:to>
        <xdr:sp macro="" textlink="">
          <xdr:nvSpPr>
            <xdr:cNvPr id="13449" name="Button 2185" hidden="1">
              <a:extLst>
                <a:ext uri="{63B3BB69-23CF-44E3-9099-C40C66FF867C}">
                  <a14:compatExt spid="_x0000_s13449"/>
                </a:ext>
                <a:ext uri="{FF2B5EF4-FFF2-40B4-BE49-F238E27FC236}">
                  <a16:creationId xmlns:a16="http://schemas.microsoft.com/office/drawing/2014/main" id="{00000000-0008-0000-0000-00008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3448" name="Button 2184" hidden="1">
              <a:extLst>
                <a:ext uri="{63B3BB69-23CF-44E3-9099-C40C66FF867C}">
                  <a14:compatExt spid="_x0000_s13448"/>
                </a:ext>
                <a:ext uri="{FF2B5EF4-FFF2-40B4-BE49-F238E27FC236}">
                  <a16:creationId xmlns:a16="http://schemas.microsoft.com/office/drawing/2014/main" id="{00000000-0008-0000-0000-00008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161925</xdr:rowOff>
        </xdr:to>
        <xdr:sp macro="" textlink="">
          <xdr:nvSpPr>
            <xdr:cNvPr id="13447" name="Button 2183" hidden="1">
              <a:extLst>
                <a:ext uri="{63B3BB69-23CF-44E3-9099-C40C66FF867C}">
                  <a14:compatExt spid="_x0000_s13447"/>
                </a:ext>
                <a:ext uri="{FF2B5EF4-FFF2-40B4-BE49-F238E27FC236}">
                  <a16:creationId xmlns:a16="http://schemas.microsoft.com/office/drawing/2014/main" id="{00000000-0008-0000-0000-00008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161925</xdr:rowOff>
        </xdr:to>
        <xdr:sp macro="" textlink="">
          <xdr:nvSpPr>
            <xdr:cNvPr id="13446" name="Button 2182" hidden="1">
              <a:extLst>
                <a:ext uri="{63B3BB69-23CF-44E3-9099-C40C66FF867C}">
                  <a14:compatExt spid="_x0000_s13446"/>
                </a:ext>
                <a:ext uri="{FF2B5EF4-FFF2-40B4-BE49-F238E27FC236}">
                  <a16:creationId xmlns:a16="http://schemas.microsoft.com/office/drawing/2014/main" id="{00000000-0008-0000-0000-00008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161925</xdr:rowOff>
        </xdr:to>
        <xdr:sp macro="" textlink="">
          <xdr:nvSpPr>
            <xdr:cNvPr id="13445" name="Button 2181" hidden="1">
              <a:extLst>
                <a:ext uri="{63B3BB69-23CF-44E3-9099-C40C66FF867C}">
                  <a14:compatExt spid="_x0000_s13445"/>
                </a:ext>
                <a:ext uri="{FF2B5EF4-FFF2-40B4-BE49-F238E27FC236}">
                  <a16:creationId xmlns:a16="http://schemas.microsoft.com/office/drawing/2014/main" id="{00000000-0008-0000-0000-00008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161925</xdr:rowOff>
        </xdr:to>
        <xdr:sp macro="" textlink="">
          <xdr:nvSpPr>
            <xdr:cNvPr id="13444" name="Button 2180" hidden="1">
              <a:extLst>
                <a:ext uri="{63B3BB69-23CF-44E3-9099-C40C66FF867C}">
                  <a14:compatExt spid="_x0000_s13444"/>
                </a:ext>
                <a:ext uri="{FF2B5EF4-FFF2-40B4-BE49-F238E27FC236}">
                  <a16:creationId xmlns:a16="http://schemas.microsoft.com/office/drawing/2014/main" id="{00000000-0008-0000-0000-00008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161925</xdr:rowOff>
        </xdr:to>
        <xdr:sp macro="" textlink="">
          <xdr:nvSpPr>
            <xdr:cNvPr id="13443" name="Button 2179" hidden="1">
              <a:extLst>
                <a:ext uri="{63B3BB69-23CF-44E3-9099-C40C66FF867C}">
                  <a14:compatExt spid="_x0000_s13443"/>
                </a:ext>
                <a:ext uri="{FF2B5EF4-FFF2-40B4-BE49-F238E27FC236}">
                  <a16:creationId xmlns:a16="http://schemas.microsoft.com/office/drawing/2014/main" id="{00000000-0008-0000-0000-00008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161925</xdr:rowOff>
        </xdr:to>
        <xdr:sp macro="" textlink="">
          <xdr:nvSpPr>
            <xdr:cNvPr id="13442" name="Button 2178" hidden="1">
              <a:extLst>
                <a:ext uri="{63B3BB69-23CF-44E3-9099-C40C66FF867C}">
                  <a14:compatExt spid="_x0000_s13442"/>
                </a:ext>
                <a:ext uri="{FF2B5EF4-FFF2-40B4-BE49-F238E27FC236}">
                  <a16:creationId xmlns:a16="http://schemas.microsoft.com/office/drawing/2014/main" id="{00000000-0008-0000-0000-00008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161925</xdr:rowOff>
        </xdr:to>
        <xdr:sp macro="" textlink="">
          <xdr:nvSpPr>
            <xdr:cNvPr id="13441" name="Button 2177" hidden="1">
              <a:extLst>
                <a:ext uri="{63B3BB69-23CF-44E3-9099-C40C66FF867C}">
                  <a14:compatExt spid="_x0000_s13441"/>
                </a:ext>
                <a:ext uri="{FF2B5EF4-FFF2-40B4-BE49-F238E27FC236}">
                  <a16:creationId xmlns:a16="http://schemas.microsoft.com/office/drawing/2014/main" id="{00000000-0008-0000-0000-00008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161925</xdr:rowOff>
        </xdr:to>
        <xdr:sp macro="" textlink="">
          <xdr:nvSpPr>
            <xdr:cNvPr id="13440" name="Button 2176" hidden="1">
              <a:extLst>
                <a:ext uri="{63B3BB69-23CF-44E3-9099-C40C66FF867C}">
                  <a14:compatExt spid="_x0000_s13440"/>
                </a:ext>
                <a:ext uri="{FF2B5EF4-FFF2-40B4-BE49-F238E27FC236}">
                  <a16:creationId xmlns:a16="http://schemas.microsoft.com/office/drawing/2014/main" id="{00000000-0008-0000-0000-00008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161925</xdr:rowOff>
        </xdr:to>
        <xdr:sp macro="" textlink="">
          <xdr:nvSpPr>
            <xdr:cNvPr id="13439" name="Button 2175" hidden="1">
              <a:extLst>
                <a:ext uri="{63B3BB69-23CF-44E3-9099-C40C66FF867C}">
                  <a14:compatExt spid="_x0000_s13439"/>
                </a:ext>
                <a:ext uri="{FF2B5EF4-FFF2-40B4-BE49-F238E27FC236}">
                  <a16:creationId xmlns:a16="http://schemas.microsoft.com/office/drawing/2014/main" id="{00000000-0008-0000-0000-00007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1099</xdr:row>
          <xdr:rowOff>0</xdr:rowOff>
        </xdr:to>
        <xdr:sp macro="" textlink="">
          <xdr:nvSpPr>
            <xdr:cNvPr id="13438" name="Button 2174" hidden="1">
              <a:extLst>
                <a:ext uri="{63B3BB69-23CF-44E3-9099-C40C66FF867C}">
                  <a14:compatExt spid="_x0000_s13438"/>
                </a:ext>
                <a:ext uri="{FF2B5EF4-FFF2-40B4-BE49-F238E27FC236}">
                  <a16:creationId xmlns:a16="http://schemas.microsoft.com/office/drawing/2014/main" id="{00000000-0008-0000-0000-00007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38100</xdr:rowOff>
        </xdr:to>
        <xdr:sp macro="" textlink="">
          <xdr:nvSpPr>
            <xdr:cNvPr id="13437" name="Button 2173" hidden="1">
              <a:extLst>
                <a:ext uri="{63B3BB69-23CF-44E3-9099-C40C66FF867C}">
                  <a14:compatExt spid="_x0000_s13437"/>
                </a:ext>
                <a:ext uri="{FF2B5EF4-FFF2-40B4-BE49-F238E27FC236}">
                  <a16:creationId xmlns:a16="http://schemas.microsoft.com/office/drawing/2014/main" id="{00000000-0008-0000-0000-00007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161925</xdr:rowOff>
        </xdr:to>
        <xdr:sp macro="" textlink="">
          <xdr:nvSpPr>
            <xdr:cNvPr id="13436" name="Button 2172" hidden="1">
              <a:extLst>
                <a:ext uri="{63B3BB69-23CF-44E3-9099-C40C66FF867C}">
                  <a14:compatExt spid="_x0000_s13436"/>
                </a:ext>
                <a:ext uri="{FF2B5EF4-FFF2-40B4-BE49-F238E27FC236}">
                  <a16:creationId xmlns:a16="http://schemas.microsoft.com/office/drawing/2014/main" id="{00000000-0008-0000-0000-00007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161925</xdr:rowOff>
        </xdr:to>
        <xdr:sp macro="" textlink="">
          <xdr:nvSpPr>
            <xdr:cNvPr id="13435" name="Button 2171" hidden="1">
              <a:extLst>
                <a:ext uri="{63B3BB69-23CF-44E3-9099-C40C66FF867C}">
                  <a14:compatExt spid="_x0000_s13435"/>
                </a:ext>
                <a:ext uri="{FF2B5EF4-FFF2-40B4-BE49-F238E27FC236}">
                  <a16:creationId xmlns:a16="http://schemas.microsoft.com/office/drawing/2014/main" id="{00000000-0008-0000-0000-00007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161925</xdr:rowOff>
        </xdr:to>
        <xdr:sp macro="" textlink="">
          <xdr:nvSpPr>
            <xdr:cNvPr id="13434" name="Button 2170" hidden="1">
              <a:extLst>
                <a:ext uri="{63B3BB69-23CF-44E3-9099-C40C66FF867C}">
                  <a14:compatExt spid="_x0000_s13434"/>
                </a:ext>
                <a:ext uri="{FF2B5EF4-FFF2-40B4-BE49-F238E27FC236}">
                  <a16:creationId xmlns:a16="http://schemas.microsoft.com/office/drawing/2014/main" id="{00000000-0008-0000-0000-00007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161925</xdr:rowOff>
        </xdr:to>
        <xdr:sp macro="" textlink="">
          <xdr:nvSpPr>
            <xdr:cNvPr id="13433" name="Button 2169" hidden="1">
              <a:extLst>
                <a:ext uri="{63B3BB69-23CF-44E3-9099-C40C66FF867C}">
                  <a14:compatExt spid="_x0000_s13433"/>
                </a:ext>
                <a:ext uri="{FF2B5EF4-FFF2-40B4-BE49-F238E27FC236}">
                  <a16:creationId xmlns:a16="http://schemas.microsoft.com/office/drawing/2014/main" id="{00000000-0008-0000-0000-00007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161925</xdr:rowOff>
        </xdr:to>
        <xdr:sp macro="" textlink="">
          <xdr:nvSpPr>
            <xdr:cNvPr id="13432" name="Button 2168" hidden="1">
              <a:extLst>
                <a:ext uri="{63B3BB69-23CF-44E3-9099-C40C66FF867C}">
                  <a14:compatExt spid="_x0000_s13432"/>
                </a:ext>
                <a:ext uri="{FF2B5EF4-FFF2-40B4-BE49-F238E27FC236}">
                  <a16:creationId xmlns:a16="http://schemas.microsoft.com/office/drawing/2014/main" id="{00000000-0008-0000-0000-00007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161925</xdr:rowOff>
        </xdr:to>
        <xdr:sp macro="" textlink="">
          <xdr:nvSpPr>
            <xdr:cNvPr id="13431" name="Button 2167" hidden="1">
              <a:extLst>
                <a:ext uri="{63B3BB69-23CF-44E3-9099-C40C66FF867C}">
                  <a14:compatExt spid="_x0000_s13431"/>
                </a:ext>
                <a:ext uri="{FF2B5EF4-FFF2-40B4-BE49-F238E27FC236}">
                  <a16:creationId xmlns:a16="http://schemas.microsoft.com/office/drawing/2014/main" id="{00000000-0008-0000-0000-00007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161925</xdr:rowOff>
        </xdr:to>
        <xdr:sp macro="" textlink="">
          <xdr:nvSpPr>
            <xdr:cNvPr id="13430" name="Button 2166" hidden="1">
              <a:extLst>
                <a:ext uri="{63B3BB69-23CF-44E3-9099-C40C66FF867C}">
                  <a14:compatExt spid="_x0000_s13430"/>
                </a:ext>
                <a:ext uri="{FF2B5EF4-FFF2-40B4-BE49-F238E27FC236}">
                  <a16:creationId xmlns:a16="http://schemas.microsoft.com/office/drawing/2014/main" id="{00000000-0008-0000-0000-00007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161925</xdr:rowOff>
        </xdr:to>
        <xdr:sp macro="" textlink="">
          <xdr:nvSpPr>
            <xdr:cNvPr id="13429" name="Button 2165" hidden="1">
              <a:extLst>
                <a:ext uri="{63B3BB69-23CF-44E3-9099-C40C66FF867C}">
                  <a14:compatExt spid="_x0000_s13429"/>
                </a:ext>
                <a:ext uri="{FF2B5EF4-FFF2-40B4-BE49-F238E27FC236}">
                  <a16:creationId xmlns:a16="http://schemas.microsoft.com/office/drawing/2014/main" id="{00000000-0008-0000-0000-00007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161925</xdr:rowOff>
        </xdr:to>
        <xdr:sp macro="" textlink="">
          <xdr:nvSpPr>
            <xdr:cNvPr id="13428" name="Button 2164" hidden="1">
              <a:extLst>
                <a:ext uri="{63B3BB69-23CF-44E3-9099-C40C66FF867C}">
                  <a14:compatExt spid="_x0000_s13428"/>
                </a:ext>
                <a:ext uri="{FF2B5EF4-FFF2-40B4-BE49-F238E27FC236}">
                  <a16:creationId xmlns:a16="http://schemas.microsoft.com/office/drawing/2014/main" id="{00000000-0008-0000-0000-00007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161925</xdr:rowOff>
        </xdr:to>
        <xdr:sp macro="" textlink="">
          <xdr:nvSpPr>
            <xdr:cNvPr id="13427" name="Button 2163" hidden="1">
              <a:extLst>
                <a:ext uri="{63B3BB69-23CF-44E3-9099-C40C66FF867C}">
                  <a14:compatExt spid="_x0000_s13427"/>
                </a:ext>
                <a:ext uri="{FF2B5EF4-FFF2-40B4-BE49-F238E27FC236}">
                  <a16:creationId xmlns:a16="http://schemas.microsoft.com/office/drawing/2014/main" id="{00000000-0008-0000-0000-00007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161925</xdr:rowOff>
        </xdr:to>
        <xdr:sp macro="" textlink="">
          <xdr:nvSpPr>
            <xdr:cNvPr id="13426" name="Button 2162" hidden="1">
              <a:extLst>
                <a:ext uri="{63B3BB69-23CF-44E3-9099-C40C66FF867C}">
                  <a14:compatExt spid="_x0000_s13426"/>
                </a:ext>
                <a:ext uri="{FF2B5EF4-FFF2-40B4-BE49-F238E27FC236}">
                  <a16:creationId xmlns:a16="http://schemas.microsoft.com/office/drawing/2014/main" id="{00000000-0008-0000-0000-00007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161925</xdr:rowOff>
        </xdr:to>
        <xdr:sp macro="" textlink="">
          <xdr:nvSpPr>
            <xdr:cNvPr id="13425" name="Button 2161" hidden="1">
              <a:extLst>
                <a:ext uri="{63B3BB69-23CF-44E3-9099-C40C66FF867C}">
                  <a14:compatExt spid="_x0000_s13425"/>
                </a:ext>
                <a:ext uri="{FF2B5EF4-FFF2-40B4-BE49-F238E27FC236}">
                  <a16:creationId xmlns:a16="http://schemas.microsoft.com/office/drawing/2014/main" id="{00000000-0008-0000-0000-00007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161925</xdr:rowOff>
        </xdr:to>
        <xdr:sp macro="" textlink="">
          <xdr:nvSpPr>
            <xdr:cNvPr id="13424" name="Button 2160" hidden="1">
              <a:extLst>
                <a:ext uri="{63B3BB69-23CF-44E3-9099-C40C66FF867C}">
                  <a14:compatExt spid="_x0000_s13424"/>
                </a:ext>
                <a:ext uri="{FF2B5EF4-FFF2-40B4-BE49-F238E27FC236}">
                  <a16:creationId xmlns:a16="http://schemas.microsoft.com/office/drawing/2014/main" id="{00000000-0008-0000-0000-00007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161925</xdr:rowOff>
        </xdr:to>
        <xdr:sp macro="" textlink="">
          <xdr:nvSpPr>
            <xdr:cNvPr id="13423" name="Button 2159" hidden="1">
              <a:extLst>
                <a:ext uri="{63B3BB69-23CF-44E3-9099-C40C66FF867C}">
                  <a14:compatExt spid="_x0000_s13423"/>
                </a:ext>
                <a:ext uri="{FF2B5EF4-FFF2-40B4-BE49-F238E27FC236}">
                  <a16:creationId xmlns:a16="http://schemas.microsoft.com/office/drawing/2014/main" id="{00000000-0008-0000-0000-00006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1120</xdr:row>
          <xdr:rowOff>161925</xdr:rowOff>
        </xdr:to>
        <xdr:sp macro="" textlink="">
          <xdr:nvSpPr>
            <xdr:cNvPr id="13422" name="Button 2158" hidden="1">
              <a:extLst>
                <a:ext uri="{63B3BB69-23CF-44E3-9099-C40C66FF867C}">
                  <a14:compatExt spid="_x0000_s13422"/>
                </a:ext>
                <a:ext uri="{FF2B5EF4-FFF2-40B4-BE49-F238E27FC236}">
                  <a16:creationId xmlns:a16="http://schemas.microsoft.com/office/drawing/2014/main" id="{00000000-0008-0000-0000-00006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161925</xdr:rowOff>
        </xdr:to>
        <xdr:sp macro="" textlink="">
          <xdr:nvSpPr>
            <xdr:cNvPr id="13421" name="Button 2157" hidden="1">
              <a:extLst>
                <a:ext uri="{63B3BB69-23CF-44E3-9099-C40C66FF867C}">
                  <a14:compatExt spid="_x0000_s13421"/>
                </a:ext>
                <a:ext uri="{FF2B5EF4-FFF2-40B4-BE49-F238E27FC236}">
                  <a16:creationId xmlns:a16="http://schemas.microsoft.com/office/drawing/2014/main" id="{00000000-0008-0000-0000-00006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1125</xdr:row>
          <xdr:rowOff>0</xdr:rowOff>
        </xdr:to>
        <xdr:sp macro="" textlink="">
          <xdr:nvSpPr>
            <xdr:cNvPr id="13420" name="Button 2156" hidden="1">
              <a:extLst>
                <a:ext uri="{63B3BB69-23CF-44E3-9099-C40C66FF867C}">
                  <a14:compatExt spid="_x0000_s13420"/>
                </a:ext>
                <a:ext uri="{FF2B5EF4-FFF2-40B4-BE49-F238E27FC236}">
                  <a16:creationId xmlns:a16="http://schemas.microsoft.com/office/drawing/2014/main" id="{00000000-0008-0000-0000-00006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38100</xdr:rowOff>
        </xdr:to>
        <xdr:sp macro="" textlink="">
          <xdr:nvSpPr>
            <xdr:cNvPr id="13419" name="Button 2155" hidden="1">
              <a:extLst>
                <a:ext uri="{63B3BB69-23CF-44E3-9099-C40C66FF867C}">
                  <a14:compatExt spid="_x0000_s13419"/>
                </a:ext>
                <a:ext uri="{FF2B5EF4-FFF2-40B4-BE49-F238E27FC236}">
                  <a16:creationId xmlns:a16="http://schemas.microsoft.com/office/drawing/2014/main" id="{00000000-0008-0000-0000-00006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161925</xdr:rowOff>
        </xdr:to>
        <xdr:sp macro="" textlink="">
          <xdr:nvSpPr>
            <xdr:cNvPr id="13418" name="Button 2154" hidden="1">
              <a:extLst>
                <a:ext uri="{63B3BB69-23CF-44E3-9099-C40C66FF867C}">
                  <a14:compatExt spid="_x0000_s13418"/>
                </a:ext>
                <a:ext uri="{FF2B5EF4-FFF2-40B4-BE49-F238E27FC236}">
                  <a16:creationId xmlns:a16="http://schemas.microsoft.com/office/drawing/2014/main" id="{00000000-0008-0000-0000-00006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3417" name="Button 2153" hidden="1">
              <a:extLst>
                <a:ext uri="{63B3BB69-23CF-44E3-9099-C40C66FF867C}">
                  <a14:compatExt spid="_x0000_s13417"/>
                </a:ext>
                <a:ext uri="{FF2B5EF4-FFF2-40B4-BE49-F238E27FC236}">
                  <a16:creationId xmlns:a16="http://schemas.microsoft.com/office/drawing/2014/main" id="{00000000-0008-0000-0000-00006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1137</xdr:row>
          <xdr:rowOff>0</xdr:rowOff>
        </xdr:to>
        <xdr:sp macro="" textlink="">
          <xdr:nvSpPr>
            <xdr:cNvPr id="13416" name="Button 2152" hidden="1">
              <a:extLst>
                <a:ext uri="{63B3BB69-23CF-44E3-9099-C40C66FF867C}">
                  <a14:compatExt spid="_x0000_s13416"/>
                </a:ext>
                <a:ext uri="{FF2B5EF4-FFF2-40B4-BE49-F238E27FC236}">
                  <a16:creationId xmlns:a16="http://schemas.microsoft.com/office/drawing/2014/main" id="{00000000-0008-0000-0000-00006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38100</xdr:rowOff>
        </xdr:to>
        <xdr:sp macro="" textlink="">
          <xdr:nvSpPr>
            <xdr:cNvPr id="13415" name="Button 2151" hidden="1">
              <a:extLst>
                <a:ext uri="{63B3BB69-23CF-44E3-9099-C40C66FF867C}">
                  <a14:compatExt spid="_x0000_s13415"/>
                </a:ext>
                <a:ext uri="{FF2B5EF4-FFF2-40B4-BE49-F238E27FC236}">
                  <a16:creationId xmlns:a16="http://schemas.microsoft.com/office/drawing/2014/main" id="{00000000-0008-0000-0000-00006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161925</xdr:rowOff>
        </xdr:to>
        <xdr:sp macro="" textlink="">
          <xdr:nvSpPr>
            <xdr:cNvPr id="13414" name="Button 2150" hidden="1">
              <a:extLst>
                <a:ext uri="{63B3BB69-23CF-44E3-9099-C40C66FF867C}">
                  <a14:compatExt spid="_x0000_s13414"/>
                </a:ext>
                <a:ext uri="{FF2B5EF4-FFF2-40B4-BE49-F238E27FC236}">
                  <a16:creationId xmlns:a16="http://schemas.microsoft.com/office/drawing/2014/main" id="{00000000-0008-0000-0000-00006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1145</xdr:row>
          <xdr:rowOff>161925</xdr:rowOff>
        </xdr:to>
        <xdr:sp macro="" textlink="">
          <xdr:nvSpPr>
            <xdr:cNvPr id="13413" name="Button 2149" hidden="1">
              <a:extLst>
                <a:ext uri="{63B3BB69-23CF-44E3-9099-C40C66FF867C}">
                  <a14:compatExt spid="_x0000_s13413"/>
                </a:ext>
                <a:ext uri="{FF2B5EF4-FFF2-40B4-BE49-F238E27FC236}">
                  <a16:creationId xmlns:a16="http://schemas.microsoft.com/office/drawing/2014/main" id="{00000000-0008-0000-0000-00006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1146</xdr:row>
          <xdr:rowOff>161925</xdr:rowOff>
        </xdr:to>
        <xdr:sp macro="" textlink="">
          <xdr:nvSpPr>
            <xdr:cNvPr id="13412" name="Button 2148" hidden="1">
              <a:extLst>
                <a:ext uri="{63B3BB69-23CF-44E3-9099-C40C66FF867C}">
                  <a14:compatExt spid="_x0000_s13412"/>
                </a:ext>
                <a:ext uri="{FF2B5EF4-FFF2-40B4-BE49-F238E27FC236}">
                  <a16:creationId xmlns:a16="http://schemas.microsoft.com/office/drawing/2014/main" id="{00000000-0008-0000-0000-00006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1147</xdr:row>
          <xdr:rowOff>161925</xdr:rowOff>
        </xdr:to>
        <xdr:sp macro="" textlink="">
          <xdr:nvSpPr>
            <xdr:cNvPr id="13411" name="Button 2147" hidden="1">
              <a:extLst>
                <a:ext uri="{63B3BB69-23CF-44E3-9099-C40C66FF867C}">
                  <a14:compatExt spid="_x0000_s13411"/>
                </a:ext>
                <a:ext uri="{FF2B5EF4-FFF2-40B4-BE49-F238E27FC236}">
                  <a16:creationId xmlns:a16="http://schemas.microsoft.com/office/drawing/2014/main" id="{00000000-0008-0000-0000-00006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1148</xdr:row>
          <xdr:rowOff>161925</xdr:rowOff>
        </xdr:to>
        <xdr:sp macro="" textlink="">
          <xdr:nvSpPr>
            <xdr:cNvPr id="13410" name="Button 2146" hidden="1">
              <a:extLst>
                <a:ext uri="{63B3BB69-23CF-44E3-9099-C40C66FF867C}">
                  <a14:compatExt spid="_x0000_s13410"/>
                </a:ext>
                <a:ext uri="{FF2B5EF4-FFF2-40B4-BE49-F238E27FC236}">
                  <a16:creationId xmlns:a16="http://schemas.microsoft.com/office/drawing/2014/main" id="{00000000-0008-0000-0000-00006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1152</xdr:row>
          <xdr:rowOff>0</xdr:rowOff>
        </xdr:to>
        <xdr:sp macro="" textlink="">
          <xdr:nvSpPr>
            <xdr:cNvPr id="13409" name="Button 2145" hidden="1">
              <a:extLst>
                <a:ext uri="{63B3BB69-23CF-44E3-9099-C40C66FF867C}">
                  <a14:compatExt spid="_x0000_s13409"/>
                </a:ext>
                <a:ext uri="{FF2B5EF4-FFF2-40B4-BE49-F238E27FC236}">
                  <a16:creationId xmlns:a16="http://schemas.microsoft.com/office/drawing/2014/main" id="{00000000-0008-0000-0000-00006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1158</xdr:row>
          <xdr:rowOff>38100</xdr:rowOff>
        </xdr:to>
        <xdr:sp macro="" textlink="">
          <xdr:nvSpPr>
            <xdr:cNvPr id="13408" name="Button 2144" hidden="1">
              <a:extLst>
                <a:ext uri="{63B3BB69-23CF-44E3-9099-C40C66FF867C}">
                  <a14:compatExt spid="_x0000_s13408"/>
                </a:ext>
                <a:ext uri="{FF2B5EF4-FFF2-40B4-BE49-F238E27FC236}">
                  <a16:creationId xmlns:a16="http://schemas.microsoft.com/office/drawing/2014/main" id="{00000000-0008-0000-0000-00006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1159</xdr:row>
          <xdr:rowOff>161925</xdr:rowOff>
        </xdr:to>
        <xdr:sp macro="" textlink="">
          <xdr:nvSpPr>
            <xdr:cNvPr id="13407" name="Button 2143" hidden="1">
              <a:extLst>
                <a:ext uri="{63B3BB69-23CF-44E3-9099-C40C66FF867C}">
                  <a14:compatExt spid="_x0000_s13407"/>
                </a:ext>
                <a:ext uri="{FF2B5EF4-FFF2-40B4-BE49-F238E27FC236}">
                  <a16:creationId xmlns:a16="http://schemas.microsoft.com/office/drawing/2014/main" id="{00000000-0008-0000-0000-00005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1163</xdr:row>
          <xdr:rowOff>0</xdr:rowOff>
        </xdr:to>
        <xdr:sp macro="" textlink="">
          <xdr:nvSpPr>
            <xdr:cNvPr id="13406" name="Button 2142" hidden="1">
              <a:extLst>
                <a:ext uri="{63B3BB69-23CF-44E3-9099-C40C66FF867C}">
                  <a14:compatExt spid="_x0000_s13406"/>
                </a:ext>
                <a:ext uri="{FF2B5EF4-FFF2-40B4-BE49-F238E27FC236}">
                  <a16:creationId xmlns:a16="http://schemas.microsoft.com/office/drawing/2014/main" id="{00000000-0008-0000-0000-00005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1169</xdr:row>
          <xdr:rowOff>38100</xdr:rowOff>
        </xdr:to>
        <xdr:sp macro="" textlink="">
          <xdr:nvSpPr>
            <xdr:cNvPr id="13405" name="Button 2141" hidden="1">
              <a:extLst>
                <a:ext uri="{63B3BB69-23CF-44E3-9099-C40C66FF867C}">
                  <a14:compatExt spid="_x0000_s13405"/>
                </a:ext>
                <a:ext uri="{FF2B5EF4-FFF2-40B4-BE49-F238E27FC236}">
                  <a16:creationId xmlns:a16="http://schemas.microsoft.com/office/drawing/2014/main" id="{00000000-0008-0000-0000-00005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161925</xdr:rowOff>
        </xdr:to>
        <xdr:sp macro="" textlink="">
          <xdr:nvSpPr>
            <xdr:cNvPr id="13404" name="Button 2140" hidden="1">
              <a:extLst>
                <a:ext uri="{63B3BB69-23CF-44E3-9099-C40C66FF867C}">
                  <a14:compatExt spid="_x0000_s13404"/>
                </a:ext>
                <a:ext uri="{FF2B5EF4-FFF2-40B4-BE49-F238E27FC236}">
                  <a16:creationId xmlns:a16="http://schemas.microsoft.com/office/drawing/2014/main" id="{00000000-0008-0000-0000-00005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1171</xdr:row>
          <xdr:rowOff>161925</xdr:rowOff>
        </xdr:to>
        <xdr:sp macro="" textlink="">
          <xdr:nvSpPr>
            <xdr:cNvPr id="13403" name="Button 2139" hidden="1">
              <a:extLst>
                <a:ext uri="{63B3BB69-23CF-44E3-9099-C40C66FF867C}">
                  <a14:compatExt spid="_x0000_s13403"/>
                </a:ext>
                <a:ext uri="{FF2B5EF4-FFF2-40B4-BE49-F238E27FC236}">
                  <a16:creationId xmlns:a16="http://schemas.microsoft.com/office/drawing/2014/main" id="{00000000-0008-0000-0000-00005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1172</xdr:row>
          <xdr:rowOff>161925</xdr:rowOff>
        </xdr:to>
        <xdr:sp macro="" textlink="">
          <xdr:nvSpPr>
            <xdr:cNvPr id="13402" name="Button 2138" hidden="1">
              <a:extLst>
                <a:ext uri="{63B3BB69-23CF-44E3-9099-C40C66FF867C}">
                  <a14:compatExt spid="_x0000_s13402"/>
                </a:ext>
                <a:ext uri="{FF2B5EF4-FFF2-40B4-BE49-F238E27FC236}">
                  <a16:creationId xmlns:a16="http://schemas.microsoft.com/office/drawing/2014/main" id="{00000000-0008-0000-0000-00005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1173</xdr:row>
          <xdr:rowOff>161925</xdr:rowOff>
        </xdr:to>
        <xdr:sp macro="" textlink="">
          <xdr:nvSpPr>
            <xdr:cNvPr id="13401" name="Button 2137" hidden="1">
              <a:extLst>
                <a:ext uri="{63B3BB69-23CF-44E3-9099-C40C66FF867C}">
                  <a14:compatExt spid="_x0000_s13401"/>
                </a:ext>
                <a:ext uri="{FF2B5EF4-FFF2-40B4-BE49-F238E27FC236}">
                  <a16:creationId xmlns:a16="http://schemas.microsoft.com/office/drawing/2014/main" id="{00000000-0008-0000-0000-00005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1174</xdr:row>
          <xdr:rowOff>161925</xdr:rowOff>
        </xdr:to>
        <xdr:sp macro="" textlink="">
          <xdr:nvSpPr>
            <xdr:cNvPr id="13400" name="Button 2136" hidden="1">
              <a:extLst>
                <a:ext uri="{63B3BB69-23CF-44E3-9099-C40C66FF867C}">
                  <a14:compatExt spid="_x0000_s13400"/>
                </a:ext>
                <a:ext uri="{FF2B5EF4-FFF2-40B4-BE49-F238E27FC236}">
                  <a16:creationId xmlns:a16="http://schemas.microsoft.com/office/drawing/2014/main" id="{00000000-0008-0000-0000-00005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1178</xdr:row>
          <xdr:rowOff>0</xdr:rowOff>
        </xdr:to>
        <xdr:sp macro="" textlink="">
          <xdr:nvSpPr>
            <xdr:cNvPr id="13399" name="Button 2135" hidden="1">
              <a:extLst>
                <a:ext uri="{63B3BB69-23CF-44E3-9099-C40C66FF867C}">
                  <a14:compatExt spid="_x0000_s13399"/>
                </a:ext>
                <a:ext uri="{FF2B5EF4-FFF2-40B4-BE49-F238E27FC236}">
                  <a16:creationId xmlns:a16="http://schemas.microsoft.com/office/drawing/2014/main" id="{00000000-0008-0000-0000-00005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38100</xdr:rowOff>
        </xdr:to>
        <xdr:sp macro="" textlink="">
          <xdr:nvSpPr>
            <xdr:cNvPr id="13398" name="Button 2134" hidden="1">
              <a:extLst>
                <a:ext uri="{63B3BB69-23CF-44E3-9099-C40C66FF867C}">
                  <a14:compatExt spid="_x0000_s13398"/>
                </a:ext>
                <a:ext uri="{FF2B5EF4-FFF2-40B4-BE49-F238E27FC236}">
                  <a16:creationId xmlns:a16="http://schemas.microsoft.com/office/drawing/2014/main" id="{00000000-0008-0000-0000-00005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161925</xdr:rowOff>
        </xdr:to>
        <xdr:sp macro="" textlink="">
          <xdr:nvSpPr>
            <xdr:cNvPr id="13397" name="Button 2133" hidden="1">
              <a:extLst>
                <a:ext uri="{63B3BB69-23CF-44E3-9099-C40C66FF867C}">
                  <a14:compatExt spid="_x0000_s13397"/>
                </a:ext>
                <a:ext uri="{FF2B5EF4-FFF2-40B4-BE49-F238E27FC236}">
                  <a16:creationId xmlns:a16="http://schemas.microsoft.com/office/drawing/2014/main" id="{00000000-0008-0000-0000-00005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1186</xdr:row>
          <xdr:rowOff>161925</xdr:rowOff>
        </xdr:to>
        <xdr:sp macro="" textlink="">
          <xdr:nvSpPr>
            <xdr:cNvPr id="13396" name="Button 2132" hidden="1">
              <a:extLst>
                <a:ext uri="{63B3BB69-23CF-44E3-9099-C40C66FF867C}">
                  <a14:compatExt spid="_x0000_s13396"/>
                </a:ext>
                <a:ext uri="{FF2B5EF4-FFF2-40B4-BE49-F238E27FC236}">
                  <a16:creationId xmlns:a16="http://schemas.microsoft.com/office/drawing/2014/main" id="{00000000-0008-0000-0000-00005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1187</xdr:row>
          <xdr:rowOff>161925</xdr:rowOff>
        </xdr:to>
        <xdr:sp macro="" textlink="">
          <xdr:nvSpPr>
            <xdr:cNvPr id="13395" name="Button 2131" hidden="1">
              <a:extLst>
                <a:ext uri="{63B3BB69-23CF-44E3-9099-C40C66FF867C}">
                  <a14:compatExt spid="_x0000_s13395"/>
                </a:ext>
                <a:ext uri="{FF2B5EF4-FFF2-40B4-BE49-F238E27FC236}">
                  <a16:creationId xmlns:a16="http://schemas.microsoft.com/office/drawing/2014/main" id="{00000000-0008-0000-0000-00005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1188</xdr:row>
          <xdr:rowOff>161925</xdr:rowOff>
        </xdr:to>
        <xdr:sp macro="" textlink="">
          <xdr:nvSpPr>
            <xdr:cNvPr id="13394" name="Button 2130" hidden="1">
              <a:extLst>
                <a:ext uri="{63B3BB69-23CF-44E3-9099-C40C66FF867C}">
                  <a14:compatExt spid="_x0000_s13394"/>
                </a:ext>
                <a:ext uri="{FF2B5EF4-FFF2-40B4-BE49-F238E27FC236}">
                  <a16:creationId xmlns:a16="http://schemas.microsoft.com/office/drawing/2014/main" id="{00000000-0008-0000-0000-00005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1189</xdr:row>
          <xdr:rowOff>161925</xdr:rowOff>
        </xdr:to>
        <xdr:sp macro="" textlink="">
          <xdr:nvSpPr>
            <xdr:cNvPr id="13393" name="Button 2129" hidden="1">
              <a:extLst>
                <a:ext uri="{63B3BB69-23CF-44E3-9099-C40C66FF867C}">
                  <a14:compatExt spid="_x0000_s13393"/>
                </a:ext>
                <a:ext uri="{FF2B5EF4-FFF2-40B4-BE49-F238E27FC236}">
                  <a16:creationId xmlns:a16="http://schemas.microsoft.com/office/drawing/2014/main" id="{00000000-0008-0000-0000-00005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1190</xdr:row>
          <xdr:rowOff>161925</xdr:rowOff>
        </xdr:to>
        <xdr:sp macro="" textlink="">
          <xdr:nvSpPr>
            <xdr:cNvPr id="13392" name="Button 2128" hidden="1">
              <a:extLst>
                <a:ext uri="{63B3BB69-23CF-44E3-9099-C40C66FF867C}">
                  <a14:compatExt spid="_x0000_s13392"/>
                </a:ext>
                <a:ext uri="{FF2B5EF4-FFF2-40B4-BE49-F238E27FC236}">
                  <a16:creationId xmlns:a16="http://schemas.microsoft.com/office/drawing/2014/main" id="{00000000-0008-0000-0000-00005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161925</xdr:rowOff>
        </xdr:to>
        <xdr:sp macro="" textlink="">
          <xdr:nvSpPr>
            <xdr:cNvPr id="13391" name="Button 2127" hidden="1">
              <a:extLst>
                <a:ext uri="{63B3BB69-23CF-44E3-9099-C40C66FF867C}">
                  <a14:compatExt spid="_x0000_s13391"/>
                </a:ext>
                <a:ext uri="{FF2B5EF4-FFF2-40B4-BE49-F238E27FC236}">
                  <a16:creationId xmlns:a16="http://schemas.microsoft.com/office/drawing/2014/main" id="{00000000-0008-0000-0000-00004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161925</xdr:rowOff>
        </xdr:to>
        <xdr:sp macro="" textlink="">
          <xdr:nvSpPr>
            <xdr:cNvPr id="13390" name="Button 2126" hidden="1">
              <a:extLst>
                <a:ext uri="{63B3BB69-23CF-44E3-9099-C40C66FF867C}">
                  <a14:compatExt spid="_x0000_s13390"/>
                </a:ext>
                <a:ext uri="{FF2B5EF4-FFF2-40B4-BE49-F238E27FC236}">
                  <a16:creationId xmlns:a16="http://schemas.microsoft.com/office/drawing/2014/main" id="{00000000-0008-0000-0000-00004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1193</xdr:row>
          <xdr:rowOff>161925</xdr:rowOff>
        </xdr:to>
        <xdr:sp macro="" textlink="">
          <xdr:nvSpPr>
            <xdr:cNvPr id="13389" name="Button 2125" hidden="1">
              <a:extLst>
                <a:ext uri="{63B3BB69-23CF-44E3-9099-C40C66FF867C}">
                  <a14:compatExt spid="_x0000_s13389"/>
                </a:ext>
                <a:ext uri="{FF2B5EF4-FFF2-40B4-BE49-F238E27FC236}">
                  <a16:creationId xmlns:a16="http://schemas.microsoft.com/office/drawing/2014/main" id="{00000000-0008-0000-0000-00004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161925</xdr:rowOff>
        </xdr:to>
        <xdr:sp macro="" textlink="">
          <xdr:nvSpPr>
            <xdr:cNvPr id="13388" name="Button 2124" hidden="1">
              <a:extLst>
                <a:ext uri="{63B3BB69-23CF-44E3-9099-C40C66FF867C}">
                  <a14:compatExt spid="_x0000_s13388"/>
                </a:ext>
                <a:ext uri="{FF2B5EF4-FFF2-40B4-BE49-F238E27FC236}">
                  <a16:creationId xmlns:a16="http://schemas.microsoft.com/office/drawing/2014/main" id="{00000000-0008-0000-0000-00004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161925</xdr:rowOff>
        </xdr:to>
        <xdr:sp macro="" textlink="">
          <xdr:nvSpPr>
            <xdr:cNvPr id="13387" name="Button 2123" hidden="1">
              <a:extLst>
                <a:ext uri="{63B3BB69-23CF-44E3-9099-C40C66FF867C}">
                  <a14:compatExt spid="_x0000_s13387"/>
                </a:ext>
                <a:ext uri="{FF2B5EF4-FFF2-40B4-BE49-F238E27FC236}">
                  <a16:creationId xmlns:a16="http://schemas.microsoft.com/office/drawing/2014/main" id="{00000000-0008-0000-0000-00004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161925</xdr:rowOff>
        </xdr:to>
        <xdr:sp macro="" textlink="">
          <xdr:nvSpPr>
            <xdr:cNvPr id="13386" name="Button 2122" hidden="1">
              <a:extLst>
                <a:ext uri="{63B3BB69-23CF-44E3-9099-C40C66FF867C}">
                  <a14:compatExt spid="_x0000_s13386"/>
                </a:ext>
                <a:ext uri="{FF2B5EF4-FFF2-40B4-BE49-F238E27FC236}">
                  <a16:creationId xmlns:a16="http://schemas.microsoft.com/office/drawing/2014/main" id="{00000000-0008-0000-0000-00004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1200</xdr:row>
          <xdr:rowOff>0</xdr:rowOff>
        </xdr:to>
        <xdr:sp macro="" textlink="">
          <xdr:nvSpPr>
            <xdr:cNvPr id="13385" name="Button 2121" hidden="1">
              <a:extLst>
                <a:ext uri="{63B3BB69-23CF-44E3-9099-C40C66FF867C}">
                  <a14:compatExt spid="_x0000_s13385"/>
                </a:ext>
                <a:ext uri="{FF2B5EF4-FFF2-40B4-BE49-F238E27FC236}">
                  <a16:creationId xmlns:a16="http://schemas.microsoft.com/office/drawing/2014/main" id="{00000000-0008-0000-0000-00004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1206</xdr:row>
          <xdr:rowOff>38100</xdr:rowOff>
        </xdr:to>
        <xdr:sp macro="" textlink="">
          <xdr:nvSpPr>
            <xdr:cNvPr id="13384" name="Button 2120" hidden="1">
              <a:extLst>
                <a:ext uri="{63B3BB69-23CF-44E3-9099-C40C66FF867C}">
                  <a14:compatExt spid="_x0000_s13384"/>
                </a:ext>
                <a:ext uri="{FF2B5EF4-FFF2-40B4-BE49-F238E27FC236}">
                  <a16:creationId xmlns:a16="http://schemas.microsoft.com/office/drawing/2014/main" id="{00000000-0008-0000-0000-00004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1207</xdr:row>
          <xdr:rowOff>161925</xdr:rowOff>
        </xdr:to>
        <xdr:sp macro="" textlink="">
          <xdr:nvSpPr>
            <xdr:cNvPr id="13383" name="Button 2119" hidden="1">
              <a:extLst>
                <a:ext uri="{63B3BB69-23CF-44E3-9099-C40C66FF867C}">
                  <a14:compatExt spid="_x0000_s13383"/>
                </a:ext>
                <a:ext uri="{FF2B5EF4-FFF2-40B4-BE49-F238E27FC236}">
                  <a16:creationId xmlns:a16="http://schemas.microsoft.com/office/drawing/2014/main" id="{00000000-0008-0000-0000-00004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1211</xdr:row>
          <xdr:rowOff>0</xdr:rowOff>
        </xdr:to>
        <xdr:sp macro="" textlink="">
          <xdr:nvSpPr>
            <xdr:cNvPr id="13382" name="Button 2118" hidden="1">
              <a:extLst>
                <a:ext uri="{63B3BB69-23CF-44E3-9099-C40C66FF867C}">
                  <a14:compatExt spid="_x0000_s13382"/>
                </a:ext>
                <a:ext uri="{FF2B5EF4-FFF2-40B4-BE49-F238E27FC236}">
                  <a16:creationId xmlns:a16="http://schemas.microsoft.com/office/drawing/2014/main" id="{00000000-0008-0000-0000-00004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1217</xdr:row>
          <xdr:rowOff>38100</xdr:rowOff>
        </xdr:to>
        <xdr:sp macro="" textlink="">
          <xdr:nvSpPr>
            <xdr:cNvPr id="13381" name="Button 2117" hidden="1">
              <a:extLst>
                <a:ext uri="{63B3BB69-23CF-44E3-9099-C40C66FF867C}">
                  <a14:compatExt spid="_x0000_s13381"/>
                </a:ext>
                <a:ext uri="{FF2B5EF4-FFF2-40B4-BE49-F238E27FC236}">
                  <a16:creationId xmlns:a16="http://schemas.microsoft.com/office/drawing/2014/main" id="{00000000-0008-0000-0000-00004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161925</xdr:rowOff>
        </xdr:to>
        <xdr:sp macro="" textlink="">
          <xdr:nvSpPr>
            <xdr:cNvPr id="13380" name="Button 2116" hidden="1">
              <a:extLst>
                <a:ext uri="{63B3BB69-23CF-44E3-9099-C40C66FF867C}">
                  <a14:compatExt spid="_x0000_s13380"/>
                </a:ext>
                <a:ext uri="{FF2B5EF4-FFF2-40B4-BE49-F238E27FC236}">
                  <a16:creationId xmlns:a16="http://schemas.microsoft.com/office/drawing/2014/main" id="{00000000-0008-0000-0000-00004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1222</xdr:row>
          <xdr:rowOff>0</xdr:rowOff>
        </xdr:to>
        <xdr:sp macro="" textlink="">
          <xdr:nvSpPr>
            <xdr:cNvPr id="13379" name="Button 2115" hidden="1">
              <a:extLst>
                <a:ext uri="{63B3BB69-23CF-44E3-9099-C40C66FF867C}">
                  <a14:compatExt spid="_x0000_s13379"/>
                </a:ext>
                <a:ext uri="{FF2B5EF4-FFF2-40B4-BE49-F238E27FC236}">
                  <a16:creationId xmlns:a16="http://schemas.microsoft.com/office/drawing/2014/main" id="{00000000-0008-0000-0000-00004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38100</xdr:rowOff>
        </xdr:to>
        <xdr:sp macro="" textlink="">
          <xdr:nvSpPr>
            <xdr:cNvPr id="13378" name="Button 2114" hidden="1">
              <a:extLst>
                <a:ext uri="{63B3BB69-23CF-44E3-9099-C40C66FF867C}">
                  <a14:compatExt spid="_x0000_s13378"/>
                </a:ext>
                <a:ext uri="{FF2B5EF4-FFF2-40B4-BE49-F238E27FC236}">
                  <a16:creationId xmlns:a16="http://schemas.microsoft.com/office/drawing/2014/main" id="{00000000-0008-0000-0000-00004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161925</xdr:rowOff>
        </xdr:to>
        <xdr:sp macro="" textlink="">
          <xdr:nvSpPr>
            <xdr:cNvPr id="13377" name="Button 2113" hidden="1">
              <a:extLst>
                <a:ext uri="{63B3BB69-23CF-44E3-9099-C40C66FF867C}">
                  <a14:compatExt spid="_x0000_s13377"/>
                </a:ext>
                <a:ext uri="{FF2B5EF4-FFF2-40B4-BE49-F238E27FC236}">
                  <a16:creationId xmlns:a16="http://schemas.microsoft.com/office/drawing/2014/main" id="{00000000-0008-0000-0000-00004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1230</xdr:row>
          <xdr:rowOff>161925</xdr:rowOff>
        </xdr:to>
        <xdr:sp macro="" textlink="">
          <xdr:nvSpPr>
            <xdr:cNvPr id="13376" name="Button 2112" hidden="1">
              <a:extLst>
                <a:ext uri="{63B3BB69-23CF-44E3-9099-C40C66FF867C}">
                  <a14:compatExt spid="_x0000_s13376"/>
                </a:ext>
                <a:ext uri="{FF2B5EF4-FFF2-40B4-BE49-F238E27FC236}">
                  <a16:creationId xmlns:a16="http://schemas.microsoft.com/office/drawing/2014/main" id="{00000000-0008-0000-0000-00004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1231</xdr:row>
          <xdr:rowOff>161925</xdr:rowOff>
        </xdr:to>
        <xdr:sp macro="" textlink="">
          <xdr:nvSpPr>
            <xdr:cNvPr id="13375" name="Button 2111" hidden="1">
              <a:extLst>
                <a:ext uri="{63B3BB69-23CF-44E3-9099-C40C66FF867C}">
                  <a14:compatExt spid="_x0000_s13375"/>
                </a:ext>
                <a:ext uri="{FF2B5EF4-FFF2-40B4-BE49-F238E27FC236}">
                  <a16:creationId xmlns:a16="http://schemas.microsoft.com/office/drawing/2014/main" id="{00000000-0008-0000-0000-00003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1232</xdr:row>
          <xdr:rowOff>161925</xdr:rowOff>
        </xdr:to>
        <xdr:sp macro="" textlink="">
          <xdr:nvSpPr>
            <xdr:cNvPr id="13374" name="Button 2110" hidden="1">
              <a:extLst>
                <a:ext uri="{63B3BB69-23CF-44E3-9099-C40C66FF867C}">
                  <a14:compatExt spid="_x0000_s13374"/>
                </a:ext>
                <a:ext uri="{FF2B5EF4-FFF2-40B4-BE49-F238E27FC236}">
                  <a16:creationId xmlns:a16="http://schemas.microsoft.com/office/drawing/2014/main" id="{00000000-0008-0000-0000-00003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1233</xdr:row>
          <xdr:rowOff>161925</xdr:rowOff>
        </xdr:to>
        <xdr:sp macro="" textlink="">
          <xdr:nvSpPr>
            <xdr:cNvPr id="13373" name="Button 2109" hidden="1">
              <a:extLst>
                <a:ext uri="{63B3BB69-23CF-44E3-9099-C40C66FF867C}">
                  <a14:compatExt spid="_x0000_s13373"/>
                </a:ext>
                <a:ext uri="{FF2B5EF4-FFF2-40B4-BE49-F238E27FC236}">
                  <a16:creationId xmlns:a16="http://schemas.microsoft.com/office/drawing/2014/main" id="{00000000-0008-0000-0000-00003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7</xdr:col>
          <xdr:colOff>0</xdr:colOff>
          <xdr:row>1234</xdr:row>
          <xdr:rowOff>161925</xdr:rowOff>
        </xdr:to>
        <xdr:sp macro="" textlink="">
          <xdr:nvSpPr>
            <xdr:cNvPr id="13372" name="Button 2108"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1235</xdr:row>
          <xdr:rowOff>161925</xdr:rowOff>
        </xdr:to>
        <xdr:sp macro="" textlink="">
          <xdr:nvSpPr>
            <xdr:cNvPr id="13371" name="Button 2107"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161925</xdr:rowOff>
        </xdr:to>
        <xdr:sp macro="" textlink="">
          <xdr:nvSpPr>
            <xdr:cNvPr id="13370" name="Button 2106"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1237</xdr:row>
          <xdr:rowOff>161925</xdr:rowOff>
        </xdr:to>
        <xdr:sp macro="" textlink="">
          <xdr:nvSpPr>
            <xdr:cNvPr id="13369" name="Button 2105"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7</xdr:col>
          <xdr:colOff>0</xdr:colOff>
          <xdr:row>1238</xdr:row>
          <xdr:rowOff>161925</xdr:rowOff>
        </xdr:to>
        <xdr:sp macro="" textlink="">
          <xdr:nvSpPr>
            <xdr:cNvPr id="13368" name="Button 2104" hidden="1">
              <a:extLst>
                <a:ext uri="{63B3BB69-23CF-44E3-9099-C40C66FF867C}">
                  <a14:compatExt spid="_x0000_s13368"/>
                </a:ext>
                <a:ext uri="{FF2B5EF4-FFF2-40B4-BE49-F238E27FC236}">
                  <a16:creationId xmlns:a16="http://schemas.microsoft.com/office/drawing/2014/main" id="{00000000-0008-0000-0000-00003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1239</xdr:row>
          <xdr:rowOff>161925</xdr:rowOff>
        </xdr:to>
        <xdr:sp macro="" textlink="">
          <xdr:nvSpPr>
            <xdr:cNvPr id="13367" name="Button 2103" hidden="1">
              <a:extLst>
                <a:ext uri="{63B3BB69-23CF-44E3-9099-C40C66FF867C}">
                  <a14:compatExt spid="_x0000_s13367"/>
                </a:ext>
                <a:ext uri="{FF2B5EF4-FFF2-40B4-BE49-F238E27FC236}">
                  <a16:creationId xmlns:a16="http://schemas.microsoft.com/office/drawing/2014/main" id="{00000000-0008-0000-0000-00003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161925</xdr:rowOff>
        </xdr:to>
        <xdr:sp macro="" textlink="">
          <xdr:nvSpPr>
            <xdr:cNvPr id="13366" name="Button 2102"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1241</xdr:row>
          <xdr:rowOff>161925</xdr:rowOff>
        </xdr:to>
        <xdr:sp macro="" textlink="">
          <xdr:nvSpPr>
            <xdr:cNvPr id="13365" name="Button 2101" hidden="1">
              <a:extLst>
                <a:ext uri="{63B3BB69-23CF-44E3-9099-C40C66FF867C}">
                  <a14:compatExt spid="_x0000_s13365"/>
                </a:ext>
                <a:ext uri="{FF2B5EF4-FFF2-40B4-BE49-F238E27FC236}">
                  <a16:creationId xmlns:a16="http://schemas.microsoft.com/office/drawing/2014/main" id="{00000000-0008-0000-0000-00003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1242</xdr:row>
          <xdr:rowOff>161925</xdr:rowOff>
        </xdr:to>
        <xdr:sp macro="" textlink="">
          <xdr:nvSpPr>
            <xdr:cNvPr id="13364" name="Button 2100"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1243</xdr:row>
          <xdr:rowOff>161925</xdr:rowOff>
        </xdr:to>
        <xdr:sp macro="" textlink="">
          <xdr:nvSpPr>
            <xdr:cNvPr id="13363" name="Button 2099"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1244</xdr:row>
          <xdr:rowOff>161925</xdr:rowOff>
        </xdr:to>
        <xdr:sp macro="" textlink="">
          <xdr:nvSpPr>
            <xdr:cNvPr id="13362" name="Button 2098"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7</xdr:col>
          <xdr:colOff>0</xdr:colOff>
          <xdr:row>1245</xdr:row>
          <xdr:rowOff>161925</xdr:rowOff>
        </xdr:to>
        <xdr:sp macro="" textlink="">
          <xdr:nvSpPr>
            <xdr:cNvPr id="13361" name="Button 2097"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1246</xdr:row>
          <xdr:rowOff>161925</xdr:rowOff>
        </xdr:to>
        <xdr:sp macro="" textlink="">
          <xdr:nvSpPr>
            <xdr:cNvPr id="13360" name="Button 2096"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1247</xdr:row>
          <xdr:rowOff>161925</xdr:rowOff>
        </xdr:to>
        <xdr:sp macro="" textlink="">
          <xdr:nvSpPr>
            <xdr:cNvPr id="13359" name="Button 2095"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7</xdr:col>
          <xdr:colOff>0</xdr:colOff>
          <xdr:row>1248</xdr:row>
          <xdr:rowOff>161925</xdr:rowOff>
        </xdr:to>
        <xdr:sp macro="" textlink="">
          <xdr:nvSpPr>
            <xdr:cNvPr id="13358" name="Button 2094"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1249</xdr:row>
          <xdr:rowOff>161925</xdr:rowOff>
        </xdr:to>
        <xdr:sp macro="" textlink="">
          <xdr:nvSpPr>
            <xdr:cNvPr id="13357" name="Button 2093"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1250</xdr:row>
          <xdr:rowOff>161925</xdr:rowOff>
        </xdr:to>
        <xdr:sp macro="" textlink="">
          <xdr:nvSpPr>
            <xdr:cNvPr id="13356" name="Button 2092"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1251</xdr:row>
          <xdr:rowOff>161925</xdr:rowOff>
        </xdr:to>
        <xdr:sp macro="" textlink="">
          <xdr:nvSpPr>
            <xdr:cNvPr id="13355" name="Button 2091"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1252</xdr:row>
          <xdr:rowOff>161925</xdr:rowOff>
        </xdr:to>
        <xdr:sp macro="" textlink="">
          <xdr:nvSpPr>
            <xdr:cNvPr id="13354" name="Button 2090" hidden="1">
              <a:extLst>
                <a:ext uri="{63B3BB69-23CF-44E3-9099-C40C66FF867C}">
                  <a14:compatExt spid="_x0000_s13354"/>
                </a:ext>
                <a:ext uri="{FF2B5EF4-FFF2-40B4-BE49-F238E27FC236}">
                  <a16:creationId xmlns:a16="http://schemas.microsoft.com/office/drawing/2014/main" id="{00000000-0008-0000-0000-00002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7</xdr:col>
          <xdr:colOff>0</xdr:colOff>
          <xdr:row>1253</xdr:row>
          <xdr:rowOff>161925</xdr:rowOff>
        </xdr:to>
        <xdr:sp macro="" textlink="">
          <xdr:nvSpPr>
            <xdr:cNvPr id="13353" name="Button 2089" hidden="1">
              <a:extLst>
                <a:ext uri="{63B3BB69-23CF-44E3-9099-C40C66FF867C}">
                  <a14:compatExt spid="_x0000_s13353"/>
                </a:ext>
                <a:ext uri="{FF2B5EF4-FFF2-40B4-BE49-F238E27FC236}">
                  <a16:creationId xmlns:a16="http://schemas.microsoft.com/office/drawing/2014/main" id="{00000000-0008-0000-0000-00002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1254</xdr:row>
          <xdr:rowOff>161925</xdr:rowOff>
        </xdr:to>
        <xdr:sp macro="" textlink="">
          <xdr:nvSpPr>
            <xdr:cNvPr id="13352" name="Button 2088" hidden="1">
              <a:extLst>
                <a:ext uri="{63B3BB69-23CF-44E3-9099-C40C66FF867C}">
                  <a14:compatExt spid="_x0000_s13352"/>
                </a:ext>
                <a:ext uri="{FF2B5EF4-FFF2-40B4-BE49-F238E27FC236}">
                  <a16:creationId xmlns:a16="http://schemas.microsoft.com/office/drawing/2014/main" id="{00000000-0008-0000-0000-00002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1255</xdr:row>
          <xdr:rowOff>161925</xdr:rowOff>
        </xdr:to>
        <xdr:sp macro="" textlink="">
          <xdr:nvSpPr>
            <xdr:cNvPr id="13351" name="Button 2087" hidden="1">
              <a:extLst>
                <a:ext uri="{63B3BB69-23CF-44E3-9099-C40C66FF867C}">
                  <a14:compatExt spid="_x0000_s13351"/>
                </a:ext>
                <a:ext uri="{FF2B5EF4-FFF2-40B4-BE49-F238E27FC236}">
                  <a16:creationId xmlns:a16="http://schemas.microsoft.com/office/drawing/2014/main" id="{00000000-0008-0000-0000-00002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1256</xdr:row>
          <xdr:rowOff>161925</xdr:rowOff>
        </xdr:to>
        <xdr:sp macro="" textlink="">
          <xdr:nvSpPr>
            <xdr:cNvPr id="13350" name="Button 2086" hidden="1">
              <a:extLst>
                <a:ext uri="{63B3BB69-23CF-44E3-9099-C40C66FF867C}">
                  <a14:compatExt spid="_x0000_s13350"/>
                </a:ext>
                <a:ext uri="{FF2B5EF4-FFF2-40B4-BE49-F238E27FC236}">
                  <a16:creationId xmlns:a16="http://schemas.microsoft.com/office/drawing/2014/main" id="{00000000-0008-0000-0000-00002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1257</xdr:row>
          <xdr:rowOff>161925</xdr:rowOff>
        </xdr:to>
        <xdr:sp macro="" textlink="">
          <xdr:nvSpPr>
            <xdr:cNvPr id="13349" name="Button 2085" hidden="1">
              <a:extLst>
                <a:ext uri="{63B3BB69-23CF-44E3-9099-C40C66FF867C}">
                  <a14:compatExt spid="_x0000_s13349"/>
                </a:ext>
                <a:ext uri="{FF2B5EF4-FFF2-40B4-BE49-F238E27FC236}">
                  <a16:creationId xmlns:a16="http://schemas.microsoft.com/office/drawing/2014/main" id="{00000000-0008-0000-0000-00002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1258</xdr:row>
          <xdr:rowOff>161925</xdr:rowOff>
        </xdr:to>
        <xdr:sp macro="" textlink="">
          <xdr:nvSpPr>
            <xdr:cNvPr id="13348" name="Button 2084" hidden="1">
              <a:extLst>
                <a:ext uri="{63B3BB69-23CF-44E3-9099-C40C66FF867C}">
                  <a14:compatExt spid="_x0000_s13348"/>
                </a:ext>
                <a:ext uri="{FF2B5EF4-FFF2-40B4-BE49-F238E27FC236}">
                  <a16:creationId xmlns:a16="http://schemas.microsoft.com/office/drawing/2014/main" id="{00000000-0008-0000-0000-00002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1259</xdr:row>
          <xdr:rowOff>161925</xdr:rowOff>
        </xdr:to>
        <xdr:sp macro="" textlink="">
          <xdr:nvSpPr>
            <xdr:cNvPr id="13347" name="Button 2083" hidden="1">
              <a:extLst>
                <a:ext uri="{63B3BB69-23CF-44E3-9099-C40C66FF867C}">
                  <a14:compatExt spid="_x0000_s13347"/>
                </a:ext>
                <a:ext uri="{FF2B5EF4-FFF2-40B4-BE49-F238E27FC236}">
                  <a16:creationId xmlns:a16="http://schemas.microsoft.com/office/drawing/2014/main" id="{00000000-0008-0000-0000-00002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1260</xdr:row>
          <xdr:rowOff>161925</xdr:rowOff>
        </xdr:to>
        <xdr:sp macro="" textlink="">
          <xdr:nvSpPr>
            <xdr:cNvPr id="13346" name="Button 2082"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1261</xdr:row>
          <xdr:rowOff>161925</xdr:rowOff>
        </xdr:to>
        <xdr:sp macro="" textlink="">
          <xdr:nvSpPr>
            <xdr:cNvPr id="13345" name="Button 2081"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1262</xdr:row>
          <xdr:rowOff>161925</xdr:rowOff>
        </xdr:to>
        <xdr:sp macro="" textlink="">
          <xdr:nvSpPr>
            <xdr:cNvPr id="13344" name="Button 2080"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1263</xdr:row>
          <xdr:rowOff>161925</xdr:rowOff>
        </xdr:to>
        <xdr:sp macro="" textlink="">
          <xdr:nvSpPr>
            <xdr:cNvPr id="13343" name="Button 2079"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1264</xdr:row>
          <xdr:rowOff>161925</xdr:rowOff>
        </xdr:to>
        <xdr:sp macro="" textlink="">
          <xdr:nvSpPr>
            <xdr:cNvPr id="13342" name="Button 2078"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1265</xdr:row>
          <xdr:rowOff>161925</xdr:rowOff>
        </xdr:to>
        <xdr:sp macro="" textlink="">
          <xdr:nvSpPr>
            <xdr:cNvPr id="13341" name="Button 2077"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161925</xdr:rowOff>
        </xdr:to>
        <xdr:sp macro="" textlink="">
          <xdr:nvSpPr>
            <xdr:cNvPr id="13340" name="Button 2076"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161925</xdr:rowOff>
        </xdr:to>
        <xdr:sp macro="" textlink="">
          <xdr:nvSpPr>
            <xdr:cNvPr id="13339" name="Button 2075"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161925</xdr:rowOff>
        </xdr:to>
        <xdr:sp macro="" textlink="">
          <xdr:nvSpPr>
            <xdr:cNvPr id="13338" name="Button 2074"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1272</xdr:row>
          <xdr:rowOff>0</xdr:rowOff>
        </xdr:to>
        <xdr:sp macro="" textlink="">
          <xdr:nvSpPr>
            <xdr:cNvPr id="13337" name="Button 2073" hidden="1">
              <a:extLst>
                <a:ext uri="{63B3BB69-23CF-44E3-9099-C40C66FF867C}">
                  <a14:compatExt spid="_x0000_s13337"/>
                </a:ext>
                <a:ext uri="{FF2B5EF4-FFF2-40B4-BE49-F238E27FC236}">
                  <a16:creationId xmlns:a16="http://schemas.microsoft.com/office/drawing/2014/main" id="{00000000-0008-0000-0000-00001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1278</xdr:row>
          <xdr:rowOff>38100</xdr:rowOff>
        </xdr:to>
        <xdr:sp macro="" textlink="">
          <xdr:nvSpPr>
            <xdr:cNvPr id="13336" name="Button 2072" hidden="1">
              <a:extLst>
                <a:ext uri="{63B3BB69-23CF-44E3-9099-C40C66FF867C}">
                  <a14:compatExt spid="_x0000_s13336"/>
                </a:ext>
                <a:ext uri="{FF2B5EF4-FFF2-40B4-BE49-F238E27FC236}">
                  <a16:creationId xmlns:a16="http://schemas.microsoft.com/office/drawing/2014/main" id="{00000000-0008-0000-0000-00001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1279</xdr:row>
          <xdr:rowOff>161925</xdr:rowOff>
        </xdr:to>
        <xdr:sp macro="" textlink="">
          <xdr:nvSpPr>
            <xdr:cNvPr id="13335" name="Button 2071" hidden="1">
              <a:extLst>
                <a:ext uri="{63B3BB69-23CF-44E3-9099-C40C66FF867C}">
                  <a14:compatExt spid="_x0000_s13335"/>
                </a:ext>
                <a:ext uri="{FF2B5EF4-FFF2-40B4-BE49-F238E27FC236}">
                  <a16:creationId xmlns:a16="http://schemas.microsoft.com/office/drawing/2014/main" id="{00000000-0008-0000-0000-00001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1280</xdr:row>
          <xdr:rowOff>161925</xdr:rowOff>
        </xdr:to>
        <xdr:sp macro="" textlink="">
          <xdr:nvSpPr>
            <xdr:cNvPr id="13334" name="Button 2070"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7</xdr:col>
          <xdr:colOff>0</xdr:colOff>
          <xdr:row>1281</xdr:row>
          <xdr:rowOff>161925</xdr:rowOff>
        </xdr:to>
        <xdr:sp macro="" textlink="">
          <xdr:nvSpPr>
            <xdr:cNvPr id="13333" name="Button 2069"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1282</xdr:row>
          <xdr:rowOff>161925</xdr:rowOff>
        </xdr:to>
        <xdr:sp macro="" textlink="">
          <xdr:nvSpPr>
            <xdr:cNvPr id="13332" name="Button 2068"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161925</xdr:rowOff>
        </xdr:to>
        <xdr:sp macro="" textlink="">
          <xdr:nvSpPr>
            <xdr:cNvPr id="13331" name="Button 2067"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1284</xdr:row>
          <xdr:rowOff>161925</xdr:rowOff>
        </xdr:to>
        <xdr:sp macro="" textlink="">
          <xdr:nvSpPr>
            <xdr:cNvPr id="13330" name="Button 2066"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1285</xdr:row>
          <xdr:rowOff>161925</xdr:rowOff>
        </xdr:to>
        <xdr:sp macro="" textlink="">
          <xdr:nvSpPr>
            <xdr:cNvPr id="13329" name="Button 2065"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161925</xdr:rowOff>
        </xdr:to>
        <xdr:sp macro="" textlink="">
          <xdr:nvSpPr>
            <xdr:cNvPr id="13328" name="Button 2064"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161925</xdr:rowOff>
        </xdr:to>
        <xdr:sp macro="" textlink="">
          <xdr:nvSpPr>
            <xdr:cNvPr id="13327" name="Button 2063"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1288</xdr:row>
          <xdr:rowOff>161925</xdr:rowOff>
        </xdr:to>
        <xdr:sp macro="" textlink="">
          <xdr:nvSpPr>
            <xdr:cNvPr id="13326" name="Button 2062"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1292</xdr:row>
          <xdr:rowOff>0</xdr:rowOff>
        </xdr:to>
        <xdr:sp macro="" textlink="">
          <xdr:nvSpPr>
            <xdr:cNvPr id="13325" name="Button 2061" hidden="1">
              <a:extLst>
                <a:ext uri="{63B3BB69-23CF-44E3-9099-C40C66FF867C}">
                  <a14:compatExt spid="_x0000_s13325"/>
                </a:ext>
                <a:ext uri="{FF2B5EF4-FFF2-40B4-BE49-F238E27FC236}">
                  <a16:creationId xmlns:a16="http://schemas.microsoft.com/office/drawing/2014/main" id="{00000000-0008-0000-0000-00000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1298</xdr:row>
          <xdr:rowOff>38100</xdr:rowOff>
        </xdr:to>
        <xdr:sp macro="" textlink="">
          <xdr:nvSpPr>
            <xdr:cNvPr id="13324" name="Button 2060"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7</xdr:col>
          <xdr:colOff>0</xdr:colOff>
          <xdr:row>1299</xdr:row>
          <xdr:rowOff>161925</xdr:rowOff>
        </xdr:to>
        <xdr:sp macro="" textlink="">
          <xdr:nvSpPr>
            <xdr:cNvPr id="13323" name="Button 2059" hidden="1">
              <a:extLst>
                <a:ext uri="{63B3BB69-23CF-44E3-9099-C40C66FF867C}">
                  <a14:compatExt spid="_x0000_s13323"/>
                </a:ext>
                <a:ext uri="{FF2B5EF4-FFF2-40B4-BE49-F238E27FC236}">
                  <a16:creationId xmlns:a16="http://schemas.microsoft.com/office/drawing/2014/main" id="{00000000-0008-0000-0000-00000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7</xdr:col>
          <xdr:colOff>0</xdr:colOff>
          <xdr:row>1300</xdr:row>
          <xdr:rowOff>161925</xdr:rowOff>
        </xdr:to>
        <xdr:sp macro="" textlink="">
          <xdr:nvSpPr>
            <xdr:cNvPr id="13322" name="Button 2058"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1301</xdr:row>
          <xdr:rowOff>161925</xdr:rowOff>
        </xdr:to>
        <xdr:sp macro="" textlink="">
          <xdr:nvSpPr>
            <xdr:cNvPr id="13321" name="Button 2057"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1302</xdr:row>
          <xdr:rowOff>161925</xdr:rowOff>
        </xdr:to>
        <xdr:sp macro="" textlink="">
          <xdr:nvSpPr>
            <xdr:cNvPr id="13320" name="Button 2056"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7</xdr:col>
          <xdr:colOff>0</xdr:colOff>
          <xdr:row>1303</xdr:row>
          <xdr:rowOff>161925</xdr:rowOff>
        </xdr:to>
        <xdr:sp macro="" textlink="">
          <xdr:nvSpPr>
            <xdr:cNvPr id="13319" name="Button 2055"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1304</xdr:row>
          <xdr:rowOff>161925</xdr:rowOff>
        </xdr:to>
        <xdr:sp macro="" textlink="">
          <xdr:nvSpPr>
            <xdr:cNvPr id="13318" name="Button 2054"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1305</xdr:row>
          <xdr:rowOff>161925</xdr:rowOff>
        </xdr:to>
        <xdr:sp macro="" textlink="">
          <xdr:nvSpPr>
            <xdr:cNvPr id="13317" name="Button 2053"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1306</xdr:row>
          <xdr:rowOff>161925</xdr:rowOff>
        </xdr:to>
        <xdr:sp macro="" textlink="">
          <xdr:nvSpPr>
            <xdr:cNvPr id="13316" name="Button 2052"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1307</xdr:row>
          <xdr:rowOff>161925</xdr:rowOff>
        </xdr:to>
        <xdr:sp macro="" textlink="">
          <xdr:nvSpPr>
            <xdr:cNvPr id="13315" name="Button 2051"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1308</xdr:row>
          <xdr:rowOff>161925</xdr:rowOff>
        </xdr:to>
        <xdr:sp macro="" textlink="">
          <xdr:nvSpPr>
            <xdr:cNvPr id="13314" name="Button 2050"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1309</xdr:row>
          <xdr:rowOff>161925</xdr:rowOff>
        </xdr:to>
        <xdr:sp macro="" textlink="">
          <xdr:nvSpPr>
            <xdr:cNvPr id="13313" name="Button 2049"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1310</xdr:row>
          <xdr:rowOff>161925</xdr:rowOff>
        </xdr:to>
        <xdr:sp macro="" textlink="">
          <xdr:nvSpPr>
            <xdr:cNvPr id="13312" name="Button 2048" hidden="1">
              <a:extLst>
                <a:ext uri="{63B3BB69-23CF-44E3-9099-C40C66FF867C}">
                  <a14:compatExt spid="_x0000_s13312"/>
                </a:ext>
                <a:ext uri="{FF2B5EF4-FFF2-40B4-BE49-F238E27FC236}">
                  <a16:creationId xmlns:a16="http://schemas.microsoft.com/office/drawing/2014/main" id="{00000000-0008-0000-0000-00000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1311</xdr:row>
          <xdr:rowOff>161925</xdr:rowOff>
        </xdr:to>
        <xdr:sp macro="" textlink="">
          <xdr:nvSpPr>
            <xdr:cNvPr id="2047" name="Button 1023" hidden="1">
              <a:extLst>
                <a:ext uri="{63B3BB69-23CF-44E3-9099-C40C66FF867C}">
                  <a14:compatExt spid="_x0000_s2047"/>
                </a:ext>
                <a:ext uri="{FF2B5EF4-FFF2-40B4-BE49-F238E27FC236}">
                  <a16:creationId xmlns:a16="http://schemas.microsoft.com/office/drawing/2014/main" id="{00000000-0008-0000-0000-0000F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1312</xdr:row>
          <xdr:rowOff>161925</xdr:rowOff>
        </xdr:to>
        <xdr:sp macro="" textlink="">
          <xdr:nvSpPr>
            <xdr:cNvPr id="2046" name="Button 1022" hidden="1">
              <a:extLst>
                <a:ext uri="{63B3BB69-23CF-44E3-9099-C40C66FF867C}">
                  <a14:compatExt spid="_x0000_s2046"/>
                </a:ext>
                <a:ext uri="{FF2B5EF4-FFF2-40B4-BE49-F238E27FC236}">
                  <a16:creationId xmlns:a16="http://schemas.microsoft.com/office/drawing/2014/main" id="{00000000-0008-0000-0000-0000F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1313</xdr:row>
          <xdr:rowOff>161925</xdr:rowOff>
        </xdr:to>
        <xdr:sp macro="" textlink="">
          <xdr:nvSpPr>
            <xdr:cNvPr id="2045" name="Button 1021" hidden="1">
              <a:extLst>
                <a:ext uri="{63B3BB69-23CF-44E3-9099-C40C66FF867C}">
                  <a14:compatExt spid="_x0000_s2045"/>
                </a:ext>
                <a:ext uri="{FF2B5EF4-FFF2-40B4-BE49-F238E27FC236}">
                  <a16:creationId xmlns:a16="http://schemas.microsoft.com/office/drawing/2014/main" id="{00000000-0008-0000-0000-0000F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1317</xdr:row>
          <xdr:rowOff>0</xdr:rowOff>
        </xdr:to>
        <xdr:sp macro="" textlink="">
          <xdr:nvSpPr>
            <xdr:cNvPr id="2044" name="Button 1020" hidden="1">
              <a:extLst>
                <a:ext uri="{63B3BB69-23CF-44E3-9099-C40C66FF867C}">
                  <a14:compatExt spid="_x0000_s2044"/>
                </a:ext>
                <a:ext uri="{FF2B5EF4-FFF2-40B4-BE49-F238E27FC236}">
                  <a16:creationId xmlns:a16="http://schemas.microsoft.com/office/drawing/2014/main" id="{00000000-0008-0000-0000-0000F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1323</xdr:row>
          <xdr:rowOff>38100</xdr:rowOff>
        </xdr:to>
        <xdr:sp macro="" textlink="">
          <xdr:nvSpPr>
            <xdr:cNvPr id="2043" name="Button 1019" hidden="1">
              <a:extLst>
                <a:ext uri="{63B3BB69-23CF-44E3-9099-C40C66FF867C}">
                  <a14:compatExt spid="_x0000_s2043"/>
                </a:ext>
                <a:ext uri="{FF2B5EF4-FFF2-40B4-BE49-F238E27FC236}">
                  <a16:creationId xmlns:a16="http://schemas.microsoft.com/office/drawing/2014/main" id="{00000000-0008-0000-0000-0000F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1324</xdr:row>
          <xdr:rowOff>161925</xdr:rowOff>
        </xdr:to>
        <xdr:sp macro="" textlink="">
          <xdr:nvSpPr>
            <xdr:cNvPr id="2042" name="Button 1018" hidden="1">
              <a:extLst>
                <a:ext uri="{63B3BB69-23CF-44E3-9099-C40C66FF867C}">
                  <a14:compatExt spid="_x0000_s2042"/>
                </a:ext>
                <a:ext uri="{FF2B5EF4-FFF2-40B4-BE49-F238E27FC236}">
                  <a16:creationId xmlns:a16="http://schemas.microsoft.com/office/drawing/2014/main" id="{00000000-0008-0000-0000-0000F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1325</xdr:row>
          <xdr:rowOff>161925</xdr:rowOff>
        </xdr:to>
        <xdr:sp macro="" textlink="">
          <xdr:nvSpPr>
            <xdr:cNvPr id="2041" name="Button 1017" hidden="1">
              <a:extLst>
                <a:ext uri="{63B3BB69-23CF-44E3-9099-C40C66FF867C}">
                  <a14:compatExt spid="_x0000_s2041"/>
                </a:ext>
                <a:ext uri="{FF2B5EF4-FFF2-40B4-BE49-F238E27FC236}">
                  <a16:creationId xmlns:a16="http://schemas.microsoft.com/office/drawing/2014/main" id="{00000000-0008-0000-0000-0000F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1326</xdr:row>
          <xdr:rowOff>161925</xdr:rowOff>
        </xdr:to>
        <xdr:sp macro="" textlink="">
          <xdr:nvSpPr>
            <xdr:cNvPr id="2040" name="Button 1016" hidden="1">
              <a:extLst>
                <a:ext uri="{63B3BB69-23CF-44E3-9099-C40C66FF867C}">
                  <a14:compatExt spid="_x0000_s2040"/>
                </a:ext>
                <a:ext uri="{FF2B5EF4-FFF2-40B4-BE49-F238E27FC236}">
                  <a16:creationId xmlns:a16="http://schemas.microsoft.com/office/drawing/2014/main" id="{00000000-0008-0000-0000-0000F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161925</xdr:rowOff>
        </xdr:to>
        <xdr:sp macro="" textlink="">
          <xdr:nvSpPr>
            <xdr:cNvPr id="2039" name="Button 1015" hidden="1">
              <a:extLst>
                <a:ext uri="{63B3BB69-23CF-44E3-9099-C40C66FF867C}">
                  <a14:compatExt spid="_x0000_s2039"/>
                </a:ext>
                <a:ext uri="{FF2B5EF4-FFF2-40B4-BE49-F238E27FC236}">
                  <a16:creationId xmlns:a16="http://schemas.microsoft.com/office/drawing/2014/main" id="{00000000-0008-0000-0000-0000F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1328</xdr:row>
          <xdr:rowOff>161925</xdr:rowOff>
        </xdr:to>
        <xdr:sp macro="" textlink="">
          <xdr:nvSpPr>
            <xdr:cNvPr id="2038" name="Button 1014" hidden="1">
              <a:extLst>
                <a:ext uri="{63B3BB69-23CF-44E3-9099-C40C66FF867C}">
                  <a14:compatExt spid="_x0000_s2038"/>
                </a:ext>
                <a:ext uri="{FF2B5EF4-FFF2-40B4-BE49-F238E27FC236}">
                  <a16:creationId xmlns:a16="http://schemas.microsoft.com/office/drawing/2014/main" id="{00000000-0008-0000-0000-0000F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1329</xdr:row>
          <xdr:rowOff>161925</xdr:rowOff>
        </xdr:to>
        <xdr:sp macro="" textlink="">
          <xdr:nvSpPr>
            <xdr:cNvPr id="2037" name="Button 1013" hidden="1">
              <a:extLst>
                <a:ext uri="{63B3BB69-23CF-44E3-9099-C40C66FF867C}">
                  <a14:compatExt spid="_x0000_s2037"/>
                </a:ext>
                <a:ext uri="{FF2B5EF4-FFF2-40B4-BE49-F238E27FC236}">
                  <a16:creationId xmlns:a16="http://schemas.microsoft.com/office/drawing/2014/main" id="{00000000-0008-0000-0000-0000F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1333</xdr:row>
          <xdr:rowOff>0</xdr:rowOff>
        </xdr:to>
        <xdr:sp macro="" textlink="">
          <xdr:nvSpPr>
            <xdr:cNvPr id="2036" name="Button 1012" hidden="1">
              <a:extLst>
                <a:ext uri="{63B3BB69-23CF-44E3-9099-C40C66FF867C}">
                  <a14:compatExt spid="_x0000_s2036"/>
                </a:ext>
                <a:ext uri="{FF2B5EF4-FFF2-40B4-BE49-F238E27FC236}">
                  <a16:creationId xmlns:a16="http://schemas.microsoft.com/office/drawing/2014/main" id="{00000000-0008-0000-0000-0000F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1339</xdr:row>
          <xdr:rowOff>38100</xdr:rowOff>
        </xdr:to>
        <xdr:sp macro="" textlink="">
          <xdr:nvSpPr>
            <xdr:cNvPr id="2035" name="Button 1011" hidden="1">
              <a:extLst>
                <a:ext uri="{63B3BB69-23CF-44E3-9099-C40C66FF867C}">
                  <a14:compatExt spid="_x0000_s2035"/>
                </a:ext>
                <a:ext uri="{FF2B5EF4-FFF2-40B4-BE49-F238E27FC236}">
                  <a16:creationId xmlns:a16="http://schemas.microsoft.com/office/drawing/2014/main" id="{00000000-0008-0000-0000-0000F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1340</xdr:row>
          <xdr:rowOff>161925</xdr:rowOff>
        </xdr:to>
        <xdr:sp macro="" textlink="">
          <xdr:nvSpPr>
            <xdr:cNvPr id="2034" name="Button 1010" hidden="1">
              <a:extLst>
                <a:ext uri="{63B3BB69-23CF-44E3-9099-C40C66FF867C}">
                  <a14:compatExt spid="_x0000_s2034"/>
                </a:ext>
                <a:ext uri="{FF2B5EF4-FFF2-40B4-BE49-F238E27FC236}">
                  <a16:creationId xmlns:a16="http://schemas.microsoft.com/office/drawing/2014/main" id="{00000000-0008-0000-0000-0000F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1344</xdr:row>
          <xdr:rowOff>0</xdr:rowOff>
        </xdr:to>
        <xdr:sp macro="" textlink="">
          <xdr:nvSpPr>
            <xdr:cNvPr id="2033" name="Button 1009" hidden="1">
              <a:extLst>
                <a:ext uri="{63B3BB69-23CF-44E3-9099-C40C66FF867C}">
                  <a14:compatExt spid="_x0000_s2033"/>
                </a:ext>
                <a:ext uri="{FF2B5EF4-FFF2-40B4-BE49-F238E27FC236}">
                  <a16:creationId xmlns:a16="http://schemas.microsoft.com/office/drawing/2014/main" id="{00000000-0008-0000-0000-0000F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7</xdr:col>
          <xdr:colOff>0</xdr:colOff>
          <xdr:row>1350</xdr:row>
          <xdr:rowOff>38100</xdr:rowOff>
        </xdr:to>
        <xdr:sp macro="" textlink="">
          <xdr:nvSpPr>
            <xdr:cNvPr id="2032" name="Button 1008" hidden="1">
              <a:extLst>
                <a:ext uri="{63B3BB69-23CF-44E3-9099-C40C66FF867C}">
                  <a14:compatExt spid="_x0000_s2032"/>
                </a:ext>
                <a:ext uri="{FF2B5EF4-FFF2-40B4-BE49-F238E27FC236}">
                  <a16:creationId xmlns:a16="http://schemas.microsoft.com/office/drawing/2014/main" id="{00000000-0008-0000-0000-0000F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1351</xdr:row>
          <xdr:rowOff>161925</xdr:rowOff>
        </xdr:to>
        <xdr:sp macro="" textlink="">
          <xdr:nvSpPr>
            <xdr:cNvPr id="2031" name="Button 1007" hidden="1">
              <a:extLst>
                <a:ext uri="{63B3BB69-23CF-44E3-9099-C40C66FF867C}">
                  <a14:compatExt spid="_x0000_s2031"/>
                </a:ext>
                <a:ext uri="{FF2B5EF4-FFF2-40B4-BE49-F238E27FC236}">
                  <a16:creationId xmlns:a16="http://schemas.microsoft.com/office/drawing/2014/main" id="{00000000-0008-0000-0000-0000E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1352</xdr:row>
          <xdr:rowOff>161925</xdr:rowOff>
        </xdr:to>
        <xdr:sp macro="" textlink="">
          <xdr:nvSpPr>
            <xdr:cNvPr id="2030" name="Button 1006" hidden="1">
              <a:extLst>
                <a:ext uri="{63B3BB69-23CF-44E3-9099-C40C66FF867C}">
                  <a14:compatExt spid="_x0000_s2030"/>
                </a:ext>
                <a:ext uri="{FF2B5EF4-FFF2-40B4-BE49-F238E27FC236}">
                  <a16:creationId xmlns:a16="http://schemas.microsoft.com/office/drawing/2014/main" id="{00000000-0008-0000-0000-0000E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1353</xdr:row>
          <xdr:rowOff>161925</xdr:rowOff>
        </xdr:to>
        <xdr:sp macro="" textlink="">
          <xdr:nvSpPr>
            <xdr:cNvPr id="2029" name="Button 1005" hidden="1">
              <a:extLst>
                <a:ext uri="{63B3BB69-23CF-44E3-9099-C40C66FF867C}">
                  <a14:compatExt spid="_x0000_s2029"/>
                </a:ext>
                <a:ext uri="{FF2B5EF4-FFF2-40B4-BE49-F238E27FC236}">
                  <a16:creationId xmlns:a16="http://schemas.microsoft.com/office/drawing/2014/main" id="{00000000-0008-0000-0000-0000E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7</xdr:col>
          <xdr:colOff>0</xdr:colOff>
          <xdr:row>1357</xdr:row>
          <xdr:rowOff>0</xdr:rowOff>
        </xdr:to>
        <xdr:sp macro="" textlink="">
          <xdr:nvSpPr>
            <xdr:cNvPr id="2028" name="Button 1004" hidden="1">
              <a:extLst>
                <a:ext uri="{63B3BB69-23CF-44E3-9099-C40C66FF867C}">
                  <a14:compatExt spid="_x0000_s2028"/>
                </a:ext>
                <a:ext uri="{FF2B5EF4-FFF2-40B4-BE49-F238E27FC236}">
                  <a16:creationId xmlns:a16="http://schemas.microsoft.com/office/drawing/2014/main" id="{00000000-0008-0000-0000-0000E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1363</xdr:row>
          <xdr:rowOff>38100</xdr:rowOff>
        </xdr:to>
        <xdr:sp macro="" textlink="">
          <xdr:nvSpPr>
            <xdr:cNvPr id="2027" name="Button 1003" hidden="1">
              <a:extLst>
                <a:ext uri="{63B3BB69-23CF-44E3-9099-C40C66FF867C}">
                  <a14:compatExt spid="_x0000_s2027"/>
                </a:ext>
                <a:ext uri="{FF2B5EF4-FFF2-40B4-BE49-F238E27FC236}">
                  <a16:creationId xmlns:a16="http://schemas.microsoft.com/office/drawing/2014/main" id="{00000000-0008-0000-0000-0000E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1364</xdr:row>
          <xdr:rowOff>161925</xdr:rowOff>
        </xdr:to>
        <xdr:sp macro="" textlink="">
          <xdr:nvSpPr>
            <xdr:cNvPr id="2026" name="Button 1002" hidden="1">
              <a:extLst>
                <a:ext uri="{63B3BB69-23CF-44E3-9099-C40C66FF867C}">
                  <a14:compatExt spid="_x0000_s2026"/>
                </a:ext>
                <a:ext uri="{FF2B5EF4-FFF2-40B4-BE49-F238E27FC236}">
                  <a16:creationId xmlns:a16="http://schemas.microsoft.com/office/drawing/2014/main" id="{00000000-0008-0000-0000-0000E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1368</xdr:row>
          <xdr:rowOff>0</xdr:rowOff>
        </xdr:to>
        <xdr:sp macro="" textlink="">
          <xdr:nvSpPr>
            <xdr:cNvPr id="2025" name="Button 1001" hidden="1">
              <a:extLst>
                <a:ext uri="{63B3BB69-23CF-44E3-9099-C40C66FF867C}">
                  <a14:compatExt spid="_x0000_s2025"/>
                </a:ext>
                <a:ext uri="{FF2B5EF4-FFF2-40B4-BE49-F238E27FC236}">
                  <a16:creationId xmlns:a16="http://schemas.microsoft.com/office/drawing/2014/main" id="{00000000-0008-0000-0000-0000E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1374</xdr:row>
          <xdr:rowOff>38100</xdr:rowOff>
        </xdr:to>
        <xdr:sp macro="" textlink="">
          <xdr:nvSpPr>
            <xdr:cNvPr id="2024" name="Button 1000" hidden="1">
              <a:extLst>
                <a:ext uri="{63B3BB69-23CF-44E3-9099-C40C66FF867C}">
                  <a14:compatExt spid="_x0000_s2024"/>
                </a:ext>
                <a:ext uri="{FF2B5EF4-FFF2-40B4-BE49-F238E27FC236}">
                  <a16:creationId xmlns:a16="http://schemas.microsoft.com/office/drawing/2014/main" id="{00000000-0008-0000-0000-0000E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1375</xdr:row>
          <xdr:rowOff>161925</xdr:rowOff>
        </xdr:to>
        <xdr:sp macro="" textlink="">
          <xdr:nvSpPr>
            <xdr:cNvPr id="2023" name="Button 999" hidden="1">
              <a:extLst>
                <a:ext uri="{63B3BB69-23CF-44E3-9099-C40C66FF867C}">
                  <a14:compatExt spid="_x0000_s2023"/>
                </a:ext>
                <a:ext uri="{FF2B5EF4-FFF2-40B4-BE49-F238E27FC236}">
                  <a16:creationId xmlns:a16="http://schemas.microsoft.com/office/drawing/2014/main" id="{00000000-0008-0000-0000-0000E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7</xdr:col>
          <xdr:colOff>0</xdr:colOff>
          <xdr:row>1379</xdr:row>
          <xdr:rowOff>0</xdr:rowOff>
        </xdr:to>
        <xdr:sp macro="" textlink="">
          <xdr:nvSpPr>
            <xdr:cNvPr id="2022" name="Button 998" hidden="1">
              <a:extLst>
                <a:ext uri="{63B3BB69-23CF-44E3-9099-C40C66FF867C}">
                  <a14:compatExt spid="_x0000_s2022"/>
                </a:ext>
                <a:ext uri="{FF2B5EF4-FFF2-40B4-BE49-F238E27FC236}">
                  <a16:creationId xmlns:a16="http://schemas.microsoft.com/office/drawing/2014/main" id="{00000000-0008-0000-0000-0000E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38100</xdr:rowOff>
        </xdr:to>
        <xdr:sp macro="" textlink="">
          <xdr:nvSpPr>
            <xdr:cNvPr id="2021" name="Button 997" hidden="1">
              <a:extLst>
                <a:ext uri="{63B3BB69-23CF-44E3-9099-C40C66FF867C}">
                  <a14:compatExt spid="_x0000_s2021"/>
                </a:ext>
                <a:ext uri="{FF2B5EF4-FFF2-40B4-BE49-F238E27FC236}">
                  <a16:creationId xmlns:a16="http://schemas.microsoft.com/office/drawing/2014/main" id="{00000000-0008-0000-0000-0000E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161925</xdr:rowOff>
        </xdr:to>
        <xdr:sp macro="" textlink="">
          <xdr:nvSpPr>
            <xdr:cNvPr id="2020" name="Button 996" hidden="1">
              <a:extLst>
                <a:ext uri="{63B3BB69-23CF-44E3-9099-C40C66FF867C}">
                  <a14:compatExt spid="_x0000_s2020"/>
                </a:ext>
                <a:ext uri="{FF2B5EF4-FFF2-40B4-BE49-F238E27FC236}">
                  <a16:creationId xmlns:a16="http://schemas.microsoft.com/office/drawing/2014/main" id="{00000000-0008-0000-0000-0000E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1390</xdr:row>
          <xdr:rowOff>0</xdr:rowOff>
        </xdr:to>
        <xdr:sp macro="" textlink="">
          <xdr:nvSpPr>
            <xdr:cNvPr id="2019" name="Button 995" hidden="1">
              <a:extLst>
                <a:ext uri="{63B3BB69-23CF-44E3-9099-C40C66FF867C}">
                  <a14:compatExt spid="_x0000_s2019"/>
                </a:ext>
                <a:ext uri="{FF2B5EF4-FFF2-40B4-BE49-F238E27FC236}">
                  <a16:creationId xmlns:a16="http://schemas.microsoft.com/office/drawing/2014/main" id="{00000000-0008-0000-0000-0000E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1396</xdr:row>
          <xdr:rowOff>38100</xdr:rowOff>
        </xdr:to>
        <xdr:sp macro="" textlink="">
          <xdr:nvSpPr>
            <xdr:cNvPr id="2018" name="Button 994" hidden="1">
              <a:extLst>
                <a:ext uri="{63B3BB69-23CF-44E3-9099-C40C66FF867C}">
                  <a14:compatExt spid="_x0000_s2018"/>
                </a:ext>
                <a:ext uri="{FF2B5EF4-FFF2-40B4-BE49-F238E27FC236}">
                  <a16:creationId xmlns:a16="http://schemas.microsoft.com/office/drawing/2014/main" id="{00000000-0008-0000-0000-0000E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1397</xdr:row>
          <xdr:rowOff>161925</xdr:rowOff>
        </xdr:to>
        <xdr:sp macro="" textlink="">
          <xdr:nvSpPr>
            <xdr:cNvPr id="2017" name="Button 993" hidden="1">
              <a:extLst>
                <a:ext uri="{63B3BB69-23CF-44E3-9099-C40C66FF867C}">
                  <a14:compatExt spid="_x0000_s2017"/>
                </a:ext>
                <a:ext uri="{FF2B5EF4-FFF2-40B4-BE49-F238E27FC236}">
                  <a16:creationId xmlns:a16="http://schemas.microsoft.com/office/drawing/2014/main" id="{00000000-0008-0000-0000-0000E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1401</xdr:row>
          <xdr:rowOff>0</xdr:rowOff>
        </xdr:to>
        <xdr:sp macro="" textlink="">
          <xdr:nvSpPr>
            <xdr:cNvPr id="2016" name="Button 992" hidden="1">
              <a:extLst>
                <a:ext uri="{63B3BB69-23CF-44E3-9099-C40C66FF867C}">
                  <a14:compatExt spid="_x0000_s2016"/>
                </a:ext>
                <a:ext uri="{FF2B5EF4-FFF2-40B4-BE49-F238E27FC236}">
                  <a16:creationId xmlns:a16="http://schemas.microsoft.com/office/drawing/2014/main" id="{00000000-0008-0000-0000-0000E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1407</xdr:row>
          <xdr:rowOff>38100</xdr:rowOff>
        </xdr:to>
        <xdr:sp macro="" textlink="">
          <xdr:nvSpPr>
            <xdr:cNvPr id="2015" name="Button 991" hidden="1">
              <a:extLst>
                <a:ext uri="{63B3BB69-23CF-44E3-9099-C40C66FF867C}">
                  <a14:compatExt spid="_x0000_s2015"/>
                </a:ext>
                <a:ext uri="{FF2B5EF4-FFF2-40B4-BE49-F238E27FC236}">
                  <a16:creationId xmlns:a16="http://schemas.microsoft.com/office/drawing/2014/main" id="{00000000-0008-0000-0000-0000D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1408</xdr:row>
          <xdr:rowOff>161925</xdr:rowOff>
        </xdr:to>
        <xdr:sp macro="" textlink="">
          <xdr:nvSpPr>
            <xdr:cNvPr id="2014" name="Button 990" hidden="1">
              <a:extLst>
                <a:ext uri="{63B3BB69-23CF-44E3-9099-C40C66FF867C}">
                  <a14:compatExt spid="_x0000_s2014"/>
                </a:ext>
                <a:ext uri="{FF2B5EF4-FFF2-40B4-BE49-F238E27FC236}">
                  <a16:creationId xmlns:a16="http://schemas.microsoft.com/office/drawing/2014/main" id="{00000000-0008-0000-0000-0000D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1412</xdr:row>
          <xdr:rowOff>0</xdr:rowOff>
        </xdr:to>
        <xdr:sp macro="" textlink="">
          <xdr:nvSpPr>
            <xdr:cNvPr id="2013" name="Button 989" hidden="1">
              <a:extLst>
                <a:ext uri="{63B3BB69-23CF-44E3-9099-C40C66FF867C}">
                  <a14:compatExt spid="_x0000_s2013"/>
                </a:ext>
                <a:ext uri="{FF2B5EF4-FFF2-40B4-BE49-F238E27FC236}">
                  <a16:creationId xmlns:a16="http://schemas.microsoft.com/office/drawing/2014/main" id="{00000000-0008-0000-0000-0000D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1418</xdr:row>
          <xdr:rowOff>38100</xdr:rowOff>
        </xdr:to>
        <xdr:sp macro="" textlink="">
          <xdr:nvSpPr>
            <xdr:cNvPr id="2012" name="Button 988" hidden="1">
              <a:extLst>
                <a:ext uri="{63B3BB69-23CF-44E3-9099-C40C66FF867C}">
                  <a14:compatExt spid="_x0000_s2012"/>
                </a:ext>
                <a:ext uri="{FF2B5EF4-FFF2-40B4-BE49-F238E27FC236}">
                  <a16:creationId xmlns:a16="http://schemas.microsoft.com/office/drawing/2014/main" id="{00000000-0008-0000-0000-0000D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1419</xdr:row>
          <xdr:rowOff>161925</xdr:rowOff>
        </xdr:to>
        <xdr:sp macro="" textlink="">
          <xdr:nvSpPr>
            <xdr:cNvPr id="2011" name="Button 987" hidden="1">
              <a:extLst>
                <a:ext uri="{63B3BB69-23CF-44E3-9099-C40C66FF867C}">
                  <a14:compatExt spid="_x0000_s2011"/>
                </a:ext>
                <a:ext uri="{FF2B5EF4-FFF2-40B4-BE49-F238E27FC236}">
                  <a16:creationId xmlns:a16="http://schemas.microsoft.com/office/drawing/2014/main" id="{00000000-0008-0000-0000-0000D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7</xdr:col>
          <xdr:colOff>0</xdr:colOff>
          <xdr:row>1423</xdr:row>
          <xdr:rowOff>0</xdr:rowOff>
        </xdr:to>
        <xdr:sp macro="" textlink="">
          <xdr:nvSpPr>
            <xdr:cNvPr id="2010" name="Button 986" hidden="1">
              <a:extLst>
                <a:ext uri="{63B3BB69-23CF-44E3-9099-C40C66FF867C}">
                  <a14:compatExt spid="_x0000_s2010"/>
                </a:ext>
                <a:ext uri="{FF2B5EF4-FFF2-40B4-BE49-F238E27FC236}">
                  <a16:creationId xmlns:a16="http://schemas.microsoft.com/office/drawing/2014/main" id="{00000000-0008-0000-0000-0000D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1429</xdr:row>
          <xdr:rowOff>38100</xdr:rowOff>
        </xdr:to>
        <xdr:sp macro="" textlink="">
          <xdr:nvSpPr>
            <xdr:cNvPr id="2009" name="Button 985" hidden="1">
              <a:extLst>
                <a:ext uri="{63B3BB69-23CF-44E3-9099-C40C66FF867C}">
                  <a14:compatExt spid="_x0000_s2009"/>
                </a:ext>
                <a:ext uri="{FF2B5EF4-FFF2-40B4-BE49-F238E27FC236}">
                  <a16:creationId xmlns:a16="http://schemas.microsoft.com/office/drawing/2014/main" id="{00000000-0008-0000-0000-0000D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7</xdr:col>
          <xdr:colOff>0</xdr:colOff>
          <xdr:row>1430</xdr:row>
          <xdr:rowOff>161925</xdr:rowOff>
        </xdr:to>
        <xdr:sp macro="" textlink="">
          <xdr:nvSpPr>
            <xdr:cNvPr id="2008" name="Button 984" hidden="1">
              <a:extLst>
                <a:ext uri="{63B3BB69-23CF-44E3-9099-C40C66FF867C}">
                  <a14:compatExt spid="_x0000_s2008"/>
                </a:ext>
                <a:ext uri="{FF2B5EF4-FFF2-40B4-BE49-F238E27FC236}">
                  <a16:creationId xmlns:a16="http://schemas.microsoft.com/office/drawing/2014/main" id="{00000000-0008-0000-0000-0000D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1434</xdr:row>
          <xdr:rowOff>0</xdr:rowOff>
        </xdr:to>
        <xdr:sp macro="" textlink="">
          <xdr:nvSpPr>
            <xdr:cNvPr id="2007" name="Button 983" hidden="1">
              <a:extLst>
                <a:ext uri="{63B3BB69-23CF-44E3-9099-C40C66FF867C}">
                  <a14:compatExt spid="_x0000_s2007"/>
                </a:ext>
                <a:ext uri="{FF2B5EF4-FFF2-40B4-BE49-F238E27FC236}">
                  <a16:creationId xmlns:a16="http://schemas.microsoft.com/office/drawing/2014/main" id="{00000000-0008-0000-0000-0000D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7</xdr:col>
          <xdr:colOff>0</xdr:colOff>
          <xdr:row>1440</xdr:row>
          <xdr:rowOff>38100</xdr:rowOff>
        </xdr:to>
        <xdr:sp macro="" textlink="">
          <xdr:nvSpPr>
            <xdr:cNvPr id="2006" name="Button 982" hidden="1">
              <a:extLst>
                <a:ext uri="{63B3BB69-23CF-44E3-9099-C40C66FF867C}">
                  <a14:compatExt spid="_x0000_s2006"/>
                </a:ext>
                <a:ext uri="{FF2B5EF4-FFF2-40B4-BE49-F238E27FC236}">
                  <a16:creationId xmlns:a16="http://schemas.microsoft.com/office/drawing/2014/main" id="{00000000-0008-0000-0000-0000D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7</xdr:col>
          <xdr:colOff>0</xdr:colOff>
          <xdr:row>1441</xdr:row>
          <xdr:rowOff>161925</xdr:rowOff>
        </xdr:to>
        <xdr:sp macro="" textlink="">
          <xdr:nvSpPr>
            <xdr:cNvPr id="2005" name="Button 981" hidden="1">
              <a:extLst>
                <a:ext uri="{63B3BB69-23CF-44E3-9099-C40C66FF867C}">
                  <a14:compatExt spid="_x0000_s2005"/>
                </a:ext>
                <a:ext uri="{FF2B5EF4-FFF2-40B4-BE49-F238E27FC236}">
                  <a16:creationId xmlns:a16="http://schemas.microsoft.com/office/drawing/2014/main" id="{00000000-0008-0000-0000-0000D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1442</xdr:row>
          <xdr:rowOff>161925</xdr:rowOff>
        </xdr:to>
        <xdr:sp macro="" textlink="">
          <xdr:nvSpPr>
            <xdr:cNvPr id="2004" name="Button 980" hidden="1">
              <a:extLst>
                <a:ext uri="{63B3BB69-23CF-44E3-9099-C40C66FF867C}">
                  <a14:compatExt spid="_x0000_s2004"/>
                </a:ext>
                <a:ext uri="{FF2B5EF4-FFF2-40B4-BE49-F238E27FC236}">
                  <a16:creationId xmlns:a16="http://schemas.microsoft.com/office/drawing/2014/main" id="{00000000-0008-0000-0000-0000D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1443</xdr:row>
          <xdr:rowOff>161925</xdr:rowOff>
        </xdr:to>
        <xdr:sp macro="" textlink="">
          <xdr:nvSpPr>
            <xdr:cNvPr id="2003" name="Button 979" hidden="1">
              <a:extLst>
                <a:ext uri="{63B3BB69-23CF-44E3-9099-C40C66FF867C}">
                  <a14:compatExt spid="_x0000_s2003"/>
                </a:ext>
                <a:ext uri="{FF2B5EF4-FFF2-40B4-BE49-F238E27FC236}">
                  <a16:creationId xmlns:a16="http://schemas.microsoft.com/office/drawing/2014/main" id="{00000000-0008-0000-0000-0000D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1444</xdr:row>
          <xdr:rowOff>161925</xdr:rowOff>
        </xdr:to>
        <xdr:sp macro="" textlink="">
          <xdr:nvSpPr>
            <xdr:cNvPr id="2002" name="Button 978" hidden="1">
              <a:extLst>
                <a:ext uri="{63B3BB69-23CF-44E3-9099-C40C66FF867C}">
                  <a14:compatExt spid="_x0000_s2002"/>
                </a:ext>
                <a:ext uri="{FF2B5EF4-FFF2-40B4-BE49-F238E27FC236}">
                  <a16:creationId xmlns:a16="http://schemas.microsoft.com/office/drawing/2014/main" id="{00000000-0008-0000-0000-0000D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1445</xdr:row>
          <xdr:rowOff>161925</xdr:rowOff>
        </xdr:to>
        <xdr:sp macro="" textlink="">
          <xdr:nvSpPr>
            <xdr:cNvPr id="2001" name="Button 977" hidden="1">
              <a:extLst>
                <a:ext uri="{63B3BB69-23CF-44E3-9099-C40C66FF867C}">
                  <a14:compatExt spid="_x0000_s2001"/>
                </a:ext>
                <a:ext uri="{FF2B5EF4-FFF2-40B4-BE49-F238E27FC236}">
                  <a16:creationId xmlns:a16="http://schemas.microsoft.com/office/drawing/2014/main" id="{00000000-0008-0000-0000-0000D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161925</xdr:rowOff>
        </xdr:to>
        <xdr:sp macro="" textlink="">
          <xdr:nvSpPr>
            <xdr:cNvPr id="2000" name="Button 976" hidden="1">
              <a:extLst>
                <a:ext uri="{63B3BB69-23CF-44E3-9099-C40C66FF867C}">
                  <a14:compatExt spid="_x0000_s2000"/>
                </a:ext>
                <a:ext uri="{FF2B5EF4-FFF2-40B4-BE49-F238E27FC236}">
                  <a16:creationId xmlns:a16="http://schemas.microsoft.com/office/drawing/2014/main" id="{00000000-0008-0000-0000-0000D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1447</xdr:row>
          <xdr:rowOff>161925</xdr:rowOff>
        </xdr:to>
        <xdr:sp macro="" textlink="">
          <xdr:nvSpPr>
            <xdr:cNvPr id="1999" name="Button 975" hidden="1">
              <a:extLst>
                <a:ext uri="{63B3BB69-23CF-44E3-9099-C40C66FF867C}">
                  <a14:compatExt spid="_x0000_s1999"/>
                </a:ext>
                <a:ext uri="{FF2B5EF4-FFF2-40B4-BE49-F238E27FC236}">
                  <a16:creationId xmlns:a16="http://schemas.microsoft.com/office/drawing/2014/main" id="{00000000-0008-0000-0000-0000C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1451</xdr:row>
          <xdr:rowOff>0</xdr:rowOff>
        </xdr:to>
        <xdr:sp macro="" textlink="">
          <xdr:nvSpPr>
            <xdr:cNvPr id="1998" name="Button 974" hidden="1">
              <a:extLst>
                <a:ext uri="{63B3BB69-23CF-44E3-9099-C40C66FF867C}">
                  <a14:compatExt spid="_x0000_s1998"/>
                </a:ext>
                <a:ext uri="{FF2B5EF4-FFF2-40B4-BE49-F238E27FC236}">
                  <a16:creationId xmlns:a16="http://schemas.microsoft.com/office/drawing/2014/main" id="{00000000-0008-0000-0000-0000C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38100</xdr:rowOff>
        </xdr:to>
        <xdr:sp macro="" textlink="">
          <xdr:nvSpPr>
            <xdr:cNvPr id="1997" name="Button 973" hidden="1">
              <a:extLst>
                <a:ext uri="{63B3BB69-23CF-44E3-9099-C40C66FF867C}">
                  <a14:compatExt spid="_x0000_s1997"/>
                </a:ext>
                <a:ext uri="{FF2B5EF4-FFF2-40B4-BE49-F238E27FC236}">
                  <a16:creationId xmlns:a16="http://schemas.microsoft.com/office/drawing/2014/main" id="{00000000-0008-0000-0000-0000C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1458</xdr:row>
          <xdr:rowOff>161925</xdr:rowOff>
        </xdr:to>
        <xdr:sp macro="" textlink="">
          <xdr:nvSpPr>
            <xdr:cNvPr id="1996" name="Button 972" hidden="1">
              <a:extLst>
                <a:ext uri="{63B3BB69-23CF-44E3-9099-C40C66FF867C}">
                  <a14:compatExt spid="_x0000_s1996"/>
                </a:ext>
                <a:ext uri="{FF2B5EF4-FFF2-40B4-BE49-F238E27FC236}">
                  <a16:creationId xmlns:a16="http://schemas.microsoft.com/office/drawing/2014/main" id="{00000000-0008-0000-0000-0000C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1462</xdr:row>
          <xdr:rowOff>0</xdr:rowOff>
        </xdr:to>
        <xdr:sp macro="" textlink="">
          <xdr:nvSpPr>
            <xdr:cNvPr id="1995" name="Button 971" hidden="1">
              <a:extLst>
                <a:ext uri="{63B3BB69-23CF-44E3-9099-C40C66FF867C}">
                  <a14:compatExt spid="_x0000_s1995"/>
                </a:ext>
                <a:ext uri="{FF2B5EF4-FFF2-40B4-BE49-F238E27FC236}">
                  <a16:creationId xmlns:a16="http://schemas.microsoft.com/office/drawing/2014/main" id="{00000000-0008-0000-0000-0000C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1468</xdr:row>
          <xdr:rowOff>38100</xdr:rowOff>
        </xdr:to>
        <xdr:sp macro="" textlink="">
          <xdr:nvSpPr>
            <xdr:cNvPr id="1994" name="Button 970" hidden="1">
              <a:extLst>
                <a:ext uri="{63B3BB69-23CF-44E3-9099-C40C66FF867C}">
                  <a14:compatExt spid="_x0000_s1994"/>
                </a:ext>
                <a:ext uri="{FF2B5EF4-FFF2-40B4-BE49-F238E27FC236}">
                  <a16:creationId xmlns:a16="http://schemas.microsoft.com/office/drawing/2014/main" id="{00000000-0008-0000-0000-0000C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161925</xdr:rowOff>
        </xdr:to>
        <xdr:sp macro="" textlink="">
          <xdr:nvSpPr>
            <xdr:cNvPr id="1993" name="Button 969" hidden="1">
              <a:extLst>
                <a:ext uri="{63B3BB69-23CF-44E3-9099-C40C66FF867C}">
                  <a14:compatExt spid="_x0000_s1993"/>
                </a:ext>
                <a:ext uri="{FF2B5EF4-FFF2-40B4-BE49-F238E27FC236}">
                  <a16:creationId xmlns:a16="http://schemas.microsoft.com/office/drawing/2014/main" id="{00000000-0008-0000-0000-0000C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1470</xdr:row>
          <xdr:rowOff>161925</xdr:rowOff>
        </xdr:to>
        <xdr:sp macro="" textlink="">
          <xdr:nvSpPr>
            <xdr:cNvPr id="1992" name="Button 968" hidden="1">
              <a:extLst>
                <a:ext uri="{63B3BB69-23CF-44E3-9099-C40C66FF867C}">
                  <a14:compatExt spid="_x0000_s1992"/>
                </a:ext>
                <a:ext uri="{FF2B5EF4-FFF2-40B4-BE49-F238E27FC236}">
                  <a16:creationId xmlns:a16="http://schemas.microsoft.com/office/drawing/2014/main" id="{00000000-0008-0000-0000-0000C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7</xdr:col>
          <xdr:colOff>0</xdr:colOff>
          <xdr:row>1471</xdr:row>
          <xdr:rowOff>161925</xdr:rowOff>
        </xdr:to>
        <xdr:sp macro="" textlink="">
          <xdr:nvSpPr>
            <xdr:cNvPr id="1991" name="Button 967" hidden="1">
              <a:extLst>
                <a:ext uri="{63B3BB69-23CF-44E3-9099-C40C66FF867C}">
                  <a14:compatExt spid="_x0000_s1991"/>
                </a:ext>
                <a:ext uri="{FF2B5EF4-FFF2-40B4-BE49-F238E27FC236}">
                  <a16:creationId xmlns:a16="http://schemas.microsoft.com/office/drawing/2014/main" id="{00000000-0008-0000-0000-0000C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1472</xdr:row>
          <xdr:rowOff>161925</xdr:rowOff>
        </xdr:to>
        <xdr:sp macro="" textlink="">
          <xdr:nvSpPr>
            <xdr:cNvPr id="1990" name="Button 966" hidden="1">
              <a:extLst>
                <a:ext uri="{63B3BB69-23CF-44E3-9099-C40C66FF867C}">
                  <a14:compatExt spid="_x0000_s1990"/>
                </a:ext>
                <a:ext uri="{FF2B5EF4-FFF2-40B4-BE49-F238E27FC236}">
                  <a16:creationId xmlns:a16="http://schemas.microsoft.com/office/drawing/2014/main" id="{00000000-0008-0000-0000-0000C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7</xdr:col>
          <xdr:colOff>0</xdr:colOff>
          <xdr:row>1473</xdr:row>
          <xdr:rowOff>161925</xdr:rowOff>
        </xdr:to>
        <xdr:sp macro="" textlink="">
          <xdr:nvSpPr>
            <xdr:cNvPr id="1989" name="Button 965" hidden="1">
              <a:extLst>
                <a:ext uri="{63B3BB69-23CF-44E3-9099-C40C66FF867C}">
                  <a14:compatExt spid="_x0000_s1989"/>
                </a:ext>
                <a:ext uri="{FF2B5EF4-FFF2-40B4-BE49-F238E27FC236}">
                  <a16:creationId xmlns:a16="http://schemas.microsoft.com/office/drawing/2014/main" id="{00000000-0008-0000-0000-0000C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7</xdr:col>
          <xdr:colOff>0</xdr:colOff>
          <xdr:row>1474</xdr:row>
          <xdr:rowOff>161925</xdr:rowOff>
        </xdr:to>
        <xdr:sp macro="" textlink="">
          <xdr:nvSpPr>
            <xdr:cNvPr id="1988" name="Button 964" hidden="1">
              <a:extLst>
                <a:ext uri="{63B3BB69-23CF-44E3-9099-C40C66FF867C}">
                  <a14:compatExt spid="_x0000_s1988"/>
                </a:ext>
                <a:ext uri="{FF2B5EF4-FFF2-40B4-BE49-F238E27FC236}">
                  <a16:creationId xmlns:a16="http://schemas.microsoft.com/office/drawing/2014/main" id="{00000000-0008-0000-0000-0000C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7</xdr:col>
          <xdr:colOff>0</xdr:colOff>
          <xdr:row>1475</xdr:row>
          <xdr:rowOff>161925</xdr:rowOff>
        </xdr:to>
        <xdr:sp macro="" textlink="">
          <xdr:nvSpPr>
            <xdr:cNvPr id="1987" name="Button 963" hidden="1">
              <a:extLst>
                <a:ext uri="{63B3BB69-23CF-44E3-9099-C40C66FF867C}">
                  <a14:compatExt spid="_x0000_s1987"/>
                </a:ext>
                <a:ext uri="{FF2B5EF4-FFF2-40B4-BE49-F238E27FC236}">
                  <a16:creationId xmlns:a16="http://schemas.microsoft.com/office/drawing/2014/main" id="{00000000-0008-0000-0000-0000C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7</xdr:col>
          <xdr:colOff>0</xdr:colOff>
          <xdr:row>1476</xdr:row>
          <xdr:rowOff>161925</xdr:rowOff>
        </xdr:to>
        <xdr:sp macro="" textlink="">
          <xdr:nvSpPr>
            <xdr:cNvPr id="1986" name="Button 962" hidden="1">
              <a:extLst>
                <a:ext uri="{63B3BB69-23CF-44E3-9099-C40C66FF867C}">
                  <a14:compatExt spid="_x0000_s1986"/>
                </a:ext>
                <a:ext uri="{FF2B5EF4-FFF2-40B4-BE49-F238E27FC236}">
                  <a16:creationId xmlns:a16="http://schemas.microsoft.com/office/drawing/2014/main" id="{00000000-0008-0000-0000-0000C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7</xdr:col>
          <xdr:colOff>0</xdr:colOff>
          <xdr:row>1477</xdr:row>
          <xdr:rowOff>161925</xdr:rowOff>
        </xdr:to>
        <xdr:sp macro="" textlink="">
          <xdr:nvSpPr>
            <xdr:cNvPr id="1985" name="Button 961" hidden="1">
              <a:extLst>
                <a:ext uri="{63B3BB69-23CF-44E3-9099-C40C66FF867C}">
                  <a14:compatExt spid="_x0000_s1985"/>
                </a:ext>
                <a:ext uri="{FF2B5EF4-FFF2-40B4-BE49-F238E27FC236}">
                  <a16:creationId xmlns:a16="http://schemas.microsoft.com/office/drawing/2014/main" id="{00000000-0008-0000-0000-0000C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1481</xdr:row>
          <xdr:rowOff>0</xdr:rowOff>
        </xdr:to>
        <xdr:sp macro="" textlink="">
          <xdr:nvSpPr>
            <xdr:cNvPr id="1984" name="Button 960" hidden="1">
              <a:extLst>
                <a:ext uri="{63B3BB69-23CF-44E3-9099-C40C66FF867C}">
                  <a14:compatExt spid="_x0000_s1984"/>
                </a:ext>
                <a:ext uri="{FF2B5EF4-FFF2-40B4-BE49-F238E27FC236}">
                  <a16:creationId xmlns:a16="http://schemas.microsoft.com/office/drawing/2014/main" id="{00000000-0008-0000-0000-0000C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7</xdr:col>
          <xdr:colOff>0</xdr:colOff>
          <xdr:row>1487</xdr:row>
          <xdr:rowOff>38100</xdr:rowOff>
        </xdr:to>
        <xdr:sp macro="" textlink="">
          <xdr:nvSpPr>
            <xdr:cNvPr id="1983" name="Button 959" hidden="1">
              <a:extLst>
                <a:ext uri="{63B3BB69-23CF-44E3-9099-C40C66FF867C}">
                  <a14:compatExt spid="_x0000_s1983"/>
                </a:ext>
                <a:ext uri="{FF2B5EF4-FFF2-40B4-BE49-F238E27FC236}">
                  <a16:creationId xmlns:a16="http://schemas.microsoft.com/office/drawing/2014/main" id="{00000000-0008-0000-0000-0000B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7</xdr:col>
          <xdr:colOff>0</xdr:colOff>
          <xdr:row>1488</xdr:row>
          <xdr:rowOff>161925</xdr:rowOff>
        </xdr:to>
        <xdr:sp macro="" textlink="">
          <xdr:nvSpPr>
            <xdr:cNvPr id="1982" name="Button 958" hidden="1">
              <a:extLst>
                <a:ext uri="{63B3BB69-23CF-44E3-9099-C40C66FF867C}">
                  <a14:compatExt spid="_x0000_s1982"/>
                </a:ext>
                <a:ext uri="{FF2B5EF4-FFF2-40B4-BE49-F238E27FC236}">
                  <a16:creationId xmlns:a16="http://schemas.microsoft.com/office/drawing/2014/main" id="{00000000-0008-0000-0000-0000B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7</xdr:col>
          <xdr:colOff>0</xdr:colOff>
          <xdr:row>1492</xdr:row>
          <xdr:rowOff>0</xdr:rowOff>
        </xdr:to>
        <xdr:sp macro="" textlink="">
          <xdr:nvSpPr>
            <xdr:cNvPr id="1981" name="Button 957" hidden="1">
              <a:extLst>
                <a:ext uri="{63B3BB69-23CF-44E3-9099-C40C66FF867C}">
                  <a14:compatExt spid="_x0000_s1981"/>
                </a:ext>
                <a:ext uri="{FF2B5EF4-FFF2-40B4-BE49-F238E27FC236}">
                  <a16:creationId xmlns:a16="http://schemas.microsoft.com/office/drawing/2014/main" id="{00000000-0008-0000-0000-0000B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7</xdr:col>
          <xdr:colOff>0</xdr:colOff>
          <xdr:row>1498</xdr:row>
          <xdr:rowOff>38100</xdr:rowOff>
        </xdr:to>
        <xdr:sp macro="" textlink="">
          <xdr:nvSpPr>
            <xdr:cNvPr id="1980" name="Button 956" hidden="1">
              <a:extLst>
                <a:ext uri="{63B3BB69-23CF-44E3-9099-C40C66FF867C}">
                  <a14:compatExt spid="_x0000_s1980"/>
                </a:ext>
                <a:ext uri="{FF2B5EF4-FFF2-40B4-BE49-F238E27FC236}">
                  <a16:creationId xmlns:a16="http://schemas.microsoft.com/office/drawing/2014/main" id="{00000000-0008-0000-0000-0000B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7</xdr:col>
          <xdr:colOff>0</xdr:colOff>
          <xdr:row>1499</xdr:row>
          <xdr:rowOff>161925</xdr:rowOff>
        </xdr:to>
        <xdr:sp macro="" textlink="">
          <xdr:nvSpPr>
            <xdr:cNvPr id="1979" name="Button 955" hidden="1">
              <a:extLst>
                <a:ext uri="{63B3BB69-23CF-44E3-9099-C40C66FF867C}">
                  <a14:compatExt spid="_x0000_s1979"/>
                </a:ext>
                <a:ext uri="{FF2B5EF4-FFF2-40B4-BE49-F238E27FC236}">
                  <a16:creationId xmlns:a16="http://schemas.microsoft.com/office/drawing/2014/main" id="{00000000-0008-0000-0000-0000B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1500</xdr:row>
          <xdr:rowOff>161925</xdr:rowOff>
        </xdr:to>
        <xdr:sp macro="" textlink="">
          <xdr:nvSpPr>
            <xdr:cNvPr id="1978" name="Button 954" hidden="1">
              <a:extLst>
                <a:ext uri="{63B3BB69-23CF-44E3-9099-C40C66FF867C}">
                  <a14:compatExt spid="_x0000_s1978"/>
                </a:ext>
                <a:ext uri="{FF2B5EF4-FFF2-40B4-BE49-F238E27FC236}">
                  <a16:creationId xmlns:a16="http://schemas.microsoft.com/office/drawing/2014/main" id="{00000000-0008-0000-0000-0000B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1501</xdr:row>
          <xdr:rowOff>161925</xdr:rowOff>
        </xdr:to>
        <xdr:sp macro="" textlink="">
          <xdr:nvSpPr>
            <xdr:cNvPr id="1977" name="Button 953" hidden="1">
              <a:extLst>
                <a:ext uri="{63B3BB69-23CF-44E3-9099-C40C66FF867C}">
                  <a14:compatExt spid="_x0000_s1977"/>
                </a:ext>
                <a:ext uri="{FF2B5EF4-FFF2-40B4-BE49-F238E27FC236}">
                  <a16:creationId xmlns:a16="http://schemas.microsoft.com/office/drawing/2014/main" id="{00000000-0008-0000-0000-0000B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1502</xdr:row>
          <xdr:rowOff>161925</xdr:rowOff>
        </xdr:to>
        <xdr:sp macro="" textlink="">
          <xdr:nvSpPr>
            <xdr:cNvPr id="1976" name="Button 952" hidden="1">
              <a:extLst>
                <a:ext uri="{63B3BB69-23CF-44E3-9099-C40C66FF867C}">
                  <a14:compatExt spid="_x0000_s1976"/>
                </a:ext>
                <a:ext uri="{FF2B5EF4-FFF2-40B4-BE49-F238E27FC236}">
                  <a16:creationId xmlns:a16="http://schemas.microsoft.com/office/drawing/2014/main" id="{00000000-0008-0000-0000-0000B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1503</xdr:row>
          <xdr:rowOff>161925</xdr:rowOff>
        </xdr:to>
        <xdr:sp macro="" textlink="">
          <xdr:nvSpPr>
            <xdr:cNvPr id="1975" name="Button 951" hidden="1">
              <a:extLst>
                <a:ext uri="{63B3BB69-23CF-44E3-9099-C40C66FF867C}">
                  <a14:compatExt spid="_x0000_s1975"/>
                </a:ext>
                <a:ext uri="{FF2B5EF4-FFF2-40B4-BE49-F238E27FC236}">
                  <a16:creationId xmlns:a16="http://schemas.microsoft.com/office/drawing/2014/main" id="{00000000-0008-0000-0000-0000B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1504</xdr:row>
          <xdr:rowOff>161925</xdr:rowOff>
        </xdr:to>
        <xdr:sp macro="" textlink="">
          <xdr:nvSpPr>
            <xdr:cNvPr id="1974" name="Button 950" hidden="1">
              <a:extLst>
                <a:ext uri="{63B3BB69-23CF-44E3-9099-C40C66FF867C}">
                  <a14:compatExt spid="_x0000_s1974"/>
                </a:ext>
                <a:ext uri="{FF2B5EF4-FFF2-40B4-BE49-F238E27FC236}">
                  <a16:creationId xmlns:a16="http://schemas.microsoft.com/office/drawing/2014/main" id="{00000000-0008-0000-0000-0000B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1505</xdr:row>
          <xdr:rowOff>161925</xdr:rowOff>
        </xdr:to>
        <xdr:sp macro="" textlink="">
          <xdr:nvSpPr>
            <xdr:cNvPr id="1973" name="Button 949" hidden="1">
              <a:extLst>
                <a:ext uri="{63B3BB69-23CF-44E3-9099-C40C66FF867C}">
                  <a14:compatExt spid="_x0000_s1973"/>
                </a:ext>
                <a:ext uri="{FF2B5EF4-FFF2-40B4-BE49-F238E27FC236}">
                  <a16:creationId xmlns:a16="http://schemas.microsoft.com/office/drawing/2014/main" id="{00000000-0008-0000-0000-0000B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1506</xdr:row>
          <xdr:rowOff>161925</xdr:rowOff>
        </xdr:to>
        <xdr:sp macro="" textlink="">
          <xdr:nvSpPr>
            <xdr:cNvPr id="1972" name="Button 948" hidden="1">
              <a:extLst>
                <a:ext uri="{63B3BB69-23CF-44E3-9099-C40C66FF867C}">
                  <a14:compatExt spid="_x0000_s1972"/>
                </a:ext>
                <a:ext uri="{FF2B5EF4-FFF2-40B4-BE49-F238E27FC236}">
                  <a16:creationId xmlns:a16="http://schemas.microsoft.com/office/drawing/2014/main" id="{00000000-0008-0000-0000-0000B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1507</xdr:row>
          <xdr:rowOff>161925</xdr:rowOff>
        </xdr:to>
        <xdr:sp macro="" textlink="">
          <xdr:nvSpPr>
            <xdr:cNvPr id="1971" name="Button 947" hidden="1">
              <a:extLst>
                <a:ext uri="{63B3BB69-23CF-44E3-9099-C40C66FF867C}">
                  <a14:compatExt spid="_x0000_s1971"/>
                </a:ext>
                <a:ext uri="{FF2B5EF4-FFF2-40B4-BE49-F238E27FC236}">
                  <a16:creationId xmlns:a16="http://schemas.microsoft.com/office/drawing/2014/main" id="{00000000-0008-0000-0000-0000B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161925</xdr:rowOff>
        </xdr:to>
        <xdr:sp macro="" textlink="">
          <xdr:nvSpPr>
            <xdr:cNvPr id="1970" name="Button 946" hidden="1">
              <a:extLst>
                <a:ext uri="{63B3BB69-23CF-44E3-9099-C40C66FF867C}">
                  <a14:compatExt spid="_x0000_s1970"/>
                </a:ext>
                <a:ext uri="{FF2B5EF4-FFF2-40B4-BE49-F238E27FC236}">
                  <a16:creationId xmlns:a16="http://schemas.microsoft.com/office/drawing/2014/main" id="{00000000-0008-0000-0000-0000B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1509</xdr:row>
          <xdr:rowOff>161925</xdr:rowOff>
        </xdr:to>
        <xdr:sp macro="" textlink="">
          <xdr:nvSpPr>
            <xdr:cNvPr id="1969" name="Button 945" hidden="1">
              <a:extLst>
                <a:ext uri="{63B3BB69-23CF-44E3-9099-C40C66FF867C}">
                  <a14:compatExt spid="_x0000_s1969"/>
                </a:ext>
                <a:ext uri="{FF2B5EF4-FFF2-40B4-BE49-F238E27FC236}">
                  <a16:creationId xmlns:a16="http://schemas.microsoft.com/office/drawing/2014/main" id="{00000000-0008-0000-0000-0000B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7</xdr:col>
          <xdr:colOff>0</xdr:colOff>
          <xdr:row>1510</xdr:row>
          <xdr:rowOff>161925</xdr:rowOff>
        </xdr:to>
        <xdr:sp macro="" textlink="">
          <xdr:nvSpPr>
            <xdr:cNvPr id="1968" name="Button 944" hidden="1">
              <a:extLst>
                <a:ext uri="{63B3BB69-23CF-44E3-9099-C40C66FF867C}">
                  <a14:compatExt spid="_x0000_s1968"/>
                </a:ext>
                <a:ext uri="{FF2B5EF4-FFF2-40B4-BE49-F238E27FC236}">
                  <a16:creationId xmlns:a16="http://schemas.microsoft.com/office/drawing/2014/main" id="{00000000-0008-0000-0000-0000B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1511</xdr:row>
          <xdr:rowOff>161925</xdr:rowOff>
        </xdr:to>
        <xdr:sp macro="" textlink="">
          <xdr:nvSpPr>
            <xdr:cNvPr id="1967" name="Button 943" hidden="1">
              <a:extLst>
                <a:ext uri="{63B3BB69-23CF-44E3-9099-C40C66FF867C}">
                  <a14:compatExt spid="_x0000_s1967"/>
                </a:ext>
                <a:ext uri="{FF2B5EF4-FFF2-40B4-BE49-F238E27FC236}">
                  <a16:creationId xmlns:a16="http://schemas.microsoft.com/office/drawing/2014/main" id="{00000000-0008-0000-0000-0000A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1512</xdr:row>
          <xdr:rowOff>161925</xdr:rowOff>
        </xdr:to>
        <xdr:sp macro="" textlink="">
          <xdr:nvSpPr>
            <xdr:cNvPr id="1966" name="Button 942" hidden="1">
              <a:extLst>
                <a:ext uri="{63B3BB69-23CF-44E3-9099-C40C66FF867C}">
                  <a14:compatExt spid="_x0000_s1966"/>
                </a:ext>
                <a:ext uri="{FF2B5EF4-FFF2-40B4-BE49-F238E27FC236}">
                  <a16:creationId xmlns:a16="http://schemas.microsoft.com/office/drawing/2014/main" id="{00000000-0008-0000-0000-0000A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1513</xdr:row>
          <xdr:rowOff>161925</xdr:rowOff>
        </xdr:to>
        <xdr:sp macro="" textlink="">
          <xdr:nvSpPr>
            <xdr:cNvPr id="1965" name="Button 941" hidden="1">
              <a:extLst>
                <a:ext uri="{63B3BB69-23CF-44E3-9099-C40C66FF867C}">
                  <a14:compatExt spid="_x0000_s1965"/>
                </a:ext>
                <a:ext uri="{FF2B5EF4-FFF2-40B4-BE49-F238E27FC236}">
                  <a16:creationId xmlns:a16="http://schemas.microsoft.com/office/drawing/2014/main" id="{00000000-0008-0000-0000-0000A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1514</xdr:row>
          <xdr:rowOff>161925</xdr:rowOff>
        </xdr:to>
        <xdr:sp macro="" textlink="">
          <xdr:nvSpPr>
            <xdr:cNvPr id="1964" name="Button 940" hidden="1">
              <a:extLst>
                <a:ext uri="{63B3BB69-23CF-44E3-9099-C40C66FF867C}">
                  <a14:compatExt spid="_x0000_s1964"/>
                </a:ext>
                <a:ext uri="{FF2B5EF4-FFF2-40B4-BE49-F238E27FC236}">
                  <a16:creationId xmlns:a16="http://schemas.microsoft.com/office/drawing/2014/main" id="{00000000-0008-0000-0000-0000A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1515</xdr:row>
          <xdr:rowOff>161925</xdr:rowOff>
        </xdr:to>
        <xdr:sp macro="" textlink="">
          <xdr:nvSpPr>
            <xdr:cNvPr id="1963" name="Button 939" hidden="1">
              <a:extLst>
                <a:ext uri="{63B3BB69-23CF-44E3-9099-C40C66FF867C}">
                  <a14:compatExt spid="_x0000_s1963"/>
                </a:ext>
                <a:ext uri="{FF2B5EF4-FFF2-40B4-BE49-F238E27FC236}">
                  <a16:creationId xmlns:a16="http://schemas.microsoft.com/office/drawing/2014/main" id="{00000000-0008-0000-0000-0000A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1516</xdr:row>
          <xdr:rowOff>161925</xdr:rowOff>
        </xdr:to>
        <xdr:sp macro="" textlink="">
          <xdr:nvSpPr>
            <xdr:cNvPr id="1962" name="Button 938" hidden="1">
              <a:extLst>
                <a:ext uri="{63B3BB69-23CF-44E3-9099-C40C66FF867C}">
                  <a14:compatExt spid="_x0000_s1962"/>
                </a:ext>
                <a:ext uri="{FF2B5EF4-FFF2-40B4-BE49-F238E27FC236}">
                  <a16:creationId xmlns:a16="http://schemas.microsoft.com/office/drawing/2014/main" id="{00000000-0008-0000-0000-0000A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1517</xdr:row>
          <xdr:rowOff>161925</xdr:rowOff>
        </xdr:to>
        <xdr:sp macro="" textlink="">
          <xdr:nvSpPr>
            <xdr:cNvPr id="1961" name="Button 937" hidden="1">
              <a:extLst>
                <a:ext uri="{63B3BB69-23CF-44E3-9099-C40C66FF867C}">
                  <a14:compatExt spid="_x0000_s1961"/>
                </a:ext>
                <a:ext uri="{FF2B5EF4-FFF2-40B4-BE49-F238E27FC236}">
                  <a16:creationId xmlns:a16="http://schemas.microsoft.com/office/drawing/2014/main" id="{00000000-0008-0000-0000-0000A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161925</xdr:rowOff>
        </xdr:to>
        <xdr:sp macro="" textlink="">
          <xdr:nvSpPr>
            <xdr:cNvPr id="1960" name="Button 936" hidden="1">
              <a:extLst>
                <a:ext uri="{63B3BB69-23CF-44E3-9099-C40C66FF867C}">
                  <a14:compatExt spid="_x0000_s1960"/>
                </a:ext>
                <a:ext uri="{FF2B5EF4-FFF2-40B4-BE49-F238E27FC236}">
                  <a16:creationId xmlns:a16="http://schemas.microsoft.com/office/drawing/2014/main" id="{00000000-0008-0000-0000-0000A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7</xdr:col>
          <xdr:colOff>0</xdr:colOff>
          <xdr:row>1522</xdr:row>
          <xdr:rowOff>0</xdr:rowOff>
        </xdr:to>
        <xdr:sp macro="" textlink="">
          <xdr:nvSpPr>
            <xdr:cNvPr id="1959" name="Button 935" hidden="1">
              <a:extLst>
                <a:ext uri="{63B3BB69-23CF-44E3-9099-C40C66FF867C}">
                  <a14:compatExt spid="_x0000_s1959"/>
                </a:ext>
                <a:ext uri="{FF2B5EF4-FFF2-40B4-BE49-F238E27FC236}">
                  <a16:creationId xmlns:a16="http://schemas.microsoft.com/office/drawing/2014/main" id="{00000000-0008-0000-0000-0000A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1528</xdr:row>
          <xdr:rowOff>38100</xdr:rowOff>
        </xdr:to>
        <xdr:sp macro="" textlink="">
          <xdr:nvSpPr>
            <xdr:cNvPr id="1958" name="Button 934" hidden="1">
              <a:extLst>
                <a:ext uri="{63B3BB69-23CF-44E3-9099-C40C66FF867C}">
                  <a14:compatExt spid="_x0000_s1958"/>
                </a:ext>
                <a:ext uri="{FF2B5EF4-FFF2-40B4-BE49-F238E27FC236}">
                  <a16:creationId xmlns:a16="http://schemas.microsoft.com/office/drawing/2014/main" id="{00000000-0008-0000-0000-0000A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1529</xdr:row>
          <xdr:rowOff>161925</xdr:rowOff>
        </xdr:to>
        <xdr:sp macro="" textlink="">
          <xdr:nvSpPr>
            <xdr:cNvPr id="1957" name="Button 933" hidden="1">
              <a:extLst>
                <a:ext uri="{63B3BB69-23CF-44E3-9099-C40C66FF867C}">
                  <a14:compatExt spid="_x0000_s1957"/>
                </a:ext>
                <a:ext uri="{FF2B5EF4-FFF2-40B4-BE49-F238E27FC236}">
                  <a16:creationId xmlns:a16="http://schemas.microsoft.com/office/drawing/2014/main" id="{00000000-0008-0000-0000-0000A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161925</xdr:rowOff>
        </xdr:to>
        <xdr:sp macro="" textlink="">
          <xdr:nvSpPr>
            <xdr:cNvPr id="1956" name="Button 932" hidden="1">
              <a:extLst>
                <a:ext uri="{63B3BB69-23CF-44E3-9099-C40C66FF867C}">
                  <a14:compatExt spid="_x0000_s1956"/>
                </a:ext>
                <a:ext uri="{FF2B5EF4-FFF2-40B4-BE49-F238E27FC236}">
                  <a16:creationId xmlns:a16="http://schemas.microsoft.com/office/drawing/2014/main" id="{00000000-0008-0000-0000-0000A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1531</xdr:row>
          <xdr:rowOff>161925</xdr:rowOff>
        </xdr:to>
        <xdr:sp macro="" textlink="">
          <xdr:nvSpPr>
            <xdr:cNvPr id="1955" name="Button 931" hidden="1">
              <a:extLst>
                <a:ext uri="{63B3BB69-23CF-44E3-9099-C40C66FF867C}">
                  <a14:compatExt spid="_x0000_s1955"/>
                </a:ext>
                <a:ext uri="{FF2B5EF4-FFF2-40B4-BE49-F238E27FC236}">
                  <a16:creationId xmlns:a16="http://schemas.microsoft.com/office/drawing/2014/main" id="{00000000-0008-0000-0000-0000A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7</xdr:col>
          <xdr:colOff>0</xdr:colOff>
          <xdr:row>1532</xdr:row>
          <xdr:rowOff>161925</xdr:rowOff>
        </xdr:to>
        <xdr:sp macro="" textlink="">
          <xdr:nvSpPr>
            <xdr:cNvPr id="1954" name="Button 930" hidden="1">
              <a:extLst>
                <a:ext uri="{63B3BB69-23CF-44E3-9099-C40C66FF867C}">
                  <a14:compatExt spid="_x0000_s1954"/>
                </a:ext>
                <a:ext uri="{FF2B5EF4-FFF2-40B4-BE49-F238E27FC236}">
                  <a16:creationId xmlns:a16="http://schemas.microsoft.com/office/drawing/2014/main" id="{00000000-0008-0000-0000-0000A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1533</xdr:row>
          <xdr:rowOff>161925</xdr:rowOff>
        </xdr:to>
        <xdr:sp macro="" textlink="">
          <xdr:nvSpPr>
            <xdr:cNvPr id="1953" name="Button 929" hidden="1">
              <a:extLst>
                <a:ext uri="{63B3BB69-23CF-44E3-9099-C40C66FF867C}">
                  <a14:compatExt spid="_x0000_s1953"/>
                </a:ext>
                <a:ext uri="{FF2B5EF4-FFF2-40B4-BE49-F238E27FC236}">
                  <a16:creationId xmlns:a16="http://schemas.microsoft.com/office/drawing/2014/main" id="{00000000-0008-0000-0000-0000A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1534</xdr:row>
          <xdr:rowOff>161925</xdr:rowOff>
        </xdr:to>
        <xdr:sp macro="" textlink="">
          <xdr:nvSpPr>
            <xdr:cNvPr id="1952" name="Button 928" hidden="1">
              <a:extLst>
                <a:ext uri="{63B3BB69-23CF-44E3-9099-C40C66FF867C}">
                  <a14:compatExt spid="_x0000_s1952"/>
                </a:ext>
                <a:ext uri="{FF2B5EF4-FFF2-40B4-BE49-F238E27FC236}">
                  <a16:creationId xmlns:a16="http://schemas.microsoft.com/office/drawing/2014/main" id="{00000000-0008-0000-0000-0000A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1535</xdr:row>
          <xdr:rowOff>161925</xdr:rowOff>
        </xdr:to>
        <xdr:sp macro="" textlink="">
          <xdr:nvSpPr>
            <xdr:cNvPr id="1951" name="Button 927" hidden="1">
              <a:extLst>
                <a:ext uri="{63B3BB69-23CF-44E3-9099-C40C66FF867C}">
                  <a14:compatExt spid="_x0000_s1951"/>
                </a:ext>
                <a:ext uri="{FF2B5EF4-FFF2-40B4-BE49-F238E27FC236}">
                  <a16:creationId xmlns:a16="http://schemas.microsoft.com/office/drawing/2014/main" id="{00000000-0008-0000-0000-00009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7</xdr:col>
          <xdr:colOff>0</xdr:colOff>
          <xdr:row>1539</xdr:row>
          <xdr:rowOff>0</xdr:rowOff>
        </xdr:to>
        <xdr:sp macro="" textlink="">
          <xdr:nvSpPr>
            <xdr:cNvPr id="1950" name="Button 926" hidden="1">
              <a:extLst>
                <a:ext uri="{63B3BB69-23CF-44E3-9099-C40C66FF867C}">
                  <a14:compatExt spid="_x0000_s1950"/>
                </a:ext>
                <a:ext uri="{FF2B5EF4-FFF2-40B4-BE49-F238E27FC236}">
                  <a16:creationId xmlns:a16="http://schemas.microsoft.com/office/drawing/2014/main" id="{00000000-0008-0000-0000-00009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7</xdr:col>
          <xdr:colOff>0</xdr:colOff>
          <xdr:row>1545</xdr:row>
          <xdr:rowOff>38100</xdr:rowOff>
        </xdr:to>
        <xdr:sp macro="" textlink="">
          <xdr:nvSpPr>
            <xdr:cNvPr id="1949" name="Button 925" hidden="1">
              <a:extLst>
                <a:ext uri="{63B3BB69-23CF-44E3-9099-C40C66FF867C}">
                  <a14:compatExt spid="_x0000_s1949"/>
                </a:ext>
                <a:ext uri="{FF2B5EF4-FFF2-40B4-BE49-F238E27FC236}">
                  <a16:creationId xmlns:a16="http://schemas.microsoft.com/office/drawing/2014/main" id="{00000000-0008-0000-0000-00009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7</xdr:col>
          <xdr:colOff>0</xdr:colOff>
          <xdr:row>1546</xdr:row>
          <xdr:rowOff>161925</xdr:rowOff>
        </xdr:to>
        <xdr:sp macro="" textlink="">
          <xdr:nvSpPr>
            <xdr:cNvPr id="1948" name="Button 924" hidden="1">
              <a:extLst>
                <a:ext uri="{63B3BB69-23CF-44E3-9099-C40C66FF867C}">
                  <a14:compatExt spid="_x0000_s1948"/>
                </a:ext>
                <a:ext uri="{FF2B5EF4-FFF2-40B4-BE49-F238E27FC236}">
                  <a16:creationId xmlns:a16="http://schemas.microsoft.com/office/drawing/2014/main" id="{00000000-0008-0000-0000-00009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1547</xdr:row>
          <xdr:rowOff>161925</xdr:rowOff>
        </xdr:to>
        <xdr:sp macro="" textlink="">
          <xdr:nvSpPr>
            <xdr:cNvPr id="1947" name="Button 923" hidden="1">
              <a:extLst>
                <a:ext uri="{63B3BB69-23CF-44E3-9099-C40C66FF867C}">
                  <a14:compatExt spid="_x0000_s1947"/>
                </a:ext>
                <a:ext uri="{FF2B5EF4-FFF2-40B4-BE49-F238E27FC236}">
                  <a16:creationId xmlns:a16="http://schemas.microsoft.com/office/drawing/2014/main" id="{00000000-0008-0000-0000-00009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1548</xdr:row>
          <xdr:rowOff>161925</xdr:rowOff>
        </xdr:to>
        <xdr:sp macro="" textlink="">
          <xdr:nvSpPr>
            <xdr:cNvPr id="1946" name="Button 922" hidden="1">
              <a:extLst>
                <a:ext uri="{63B3BB69-23CF-44E3-9099-C40C66FF867C}">
                  <a14:compatExt spid="_x0000_s1946"/>
                </a:ext>
                <a:ext uri="{FF2B5EF4-FFF2-40B4-BE49-F238E27FC236}">
                  <a16:creationId xmlns:a16="http://schemas.microsoft.com/office/drawing/2014/main" id="{00000000-0008-0000-0000-00009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1549</xdr:row>
          <xdr:rowOff>161925</xdr:rowOff>
        </xdr:to>
        <xdr:sp macro="" textlink="">
          <xdr:nvSpPr>
            <xdr:cNvPr id="1945" name="Button 921" hidden="1">
              <a:extLst>
                <a:ext uri="{63B3BB69-23CF-44E3-9099-C40C66FF867C}">
                  <a14:compatExt spid="_x0000_s1945"/>
                </a:ext>
                <a:ext uri="{FF2B5EF4-FFF2-40B4-BE49-F238E27FC236}">
                  <a16:creationId xmlns:a16="http://schemas.microsoft.com/office/drawing/2014/main" id="{00000000-0008-0000-0000-00009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1550</xdr:row>
          <xdr:rowOff>161925</xdr:rowOff>
        </xdr:to>
        <xdr:sp macro="" textlink="">
          <xdr:nvSpPr>
            <xdr:cNvPr id="1944" name="Button 920" hidden="1">
              <a:extLst>
                <a:ext uri="{63B3BB69-23CF-44E3-9099-C40C66FF867C}">
                  <a14:compatExt spid="_x0000_s1944"/>
                </a:ext>
                <a:ext uri="{FF2B5EF4-FFF2-40B4-BE49-F238E27FC236}">
                  <a16:creationId xmlns:a16="http://schemas.microsoft.com/office/drawing/2014/main" id="{00000000-0008-0000-0000-00009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1554</xdr:row>
          <xdr:rowOff>0</xdr:rowOff>
        </xdr:to>
        <xdr:sp macro="" textlink="">
          <xdr:nvSpPr>
            <xdr:cNvPr id="1943" name="Button 919" hidden="1">
              <a:extLst>
                <a:ext uri="{63B3BB69-23CF-44E3-9099-C40C66FF867C}">
                  <a14:compatExt spid="_x0000_s1943"/>
                </a:ext>
                <a:ext uri="{FF2B5EF4-FFF2-40B4-BE49-F238E27FC236}">
                  <a16:creationId xmlns:a16="http://schemas.microsoft.com/office/drawing/2014/main" id="{00000000-0008-0000-0000-00009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7</xdr:col>
          <xdr:colOff>0</xdr:colOff>
          <xdr:row>1560</xdr:row>
          <xdr:rowOff>38100</xdr:rowOff>
        </xdr:to>
        <xdr:sp macro="" textlink="">
          <xdr:nvSpPr>
            <xdr:cNvPr id="1942" name="Button 918" hidden="1">
              <a:extLst>
                <a:ext uri="{63B3BB69-23CF-44E3-9099-C40C66FF867C}">
                  <a14:compatExt spid="_x0000_s1942"/>
                </a:ext>
                <a:ext uri="{FF2B5EF4-FFF2-40B4-BE49-F238E27FC236}">
                  <a16:creationId xmlns:a16="http://schemas.microsoft.com/office/drawing/2014/main" id="{00000000-0008-0000-0000-00009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7</xdr:col>
          <xdr:colOff>0</xdr:colOff>
          <xdr:row>1561</xdr:row>
          <xdr:rowOff>161925</xdr:rowOff>
        </xdr:to>
        <xdr:sp macro="" textlink="">
          <xdr:nvSpPr>
            <xdr:cNvPr id="1941" name="Button 917" hidden="1">
              <a:extLst>
                <a:ext uri="{63B3BB69-23CF-44E3-9099-C40C66FF867C}">
                  <a14:compatExt spid="_x0000_s1941"/>
                </a:ext>
                <a:ext uri="{FF2B5EF4-FFF2-40B4-BE49-F238E27FC236}">
                  <a16:creationId xmlns:a16="http://schemas.microsoft.com/office/drawing/2014/main" id="{00000000-0008-0000-0000-00009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1565</xdr:row>
          <xdr:rowOff>0</xdr:rowOff>
        </xdr:to>
        <xdr:sp macro="" textlink="">
          <xdr:nvSpPr>
            <xdr:cNvPr id="1940" name="Button 916" hidden="1">
              <a:extLst>
                <a:ext uri="{63B3BB69-23CF-44E3-9099-C40C66FF867C}">
                  <a14:compatExt spid="_x0000_s1940"/>
                </a:ext>
                <a:ext uri="{FF2B5EF4-FFF2-40B4-BE49-F238E27FC236}">
                  <a16:creationId xmlns:a16="http://schemas.microsoft.com/office/drawing/2014/main" id="{00000000-0008-0000-0000-00009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1571</xdr:row>
          <xdr:rowOff>38100</xdr:rowOff>
        </xdr:to>
        <xdr:sp macro="" textlink="">
          <xdr:nvSpPr>
            <xdr:cNvPr id="1939" name="Button 915" hidden="1">
              <a:extLst>
                <a:ext uri="{63B3BB69-23CF-44E3-9099-C40C66FF867C}">
                  <a14:compatExt spid="_x0000_s1939"/>
                </a:ext>
                <a:ext uri="{FF2B5EF4-FFF2-40B4-BE49-F238E27FC236}">
                  <a16:creationId xmlns:a16="http://schemas.microsoft.com/office/drawing/2014/main" id="{00000000-0008-0000-0000-00009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7</xdr:col>
          <xdr:colOff>0</xdr:colOff>
          <xdr:row>1572</xdr:row>
          <xdr:rowOff>161925</xdr:rowOff>
        </xdr:to>
        <xdr:sp macro="" textlink="">
          <xdr:nvSpPr>
            <xdr:cNvPr id="1938" name="Button 914" hidden="1">
              <a:extLst>
                <a:ext uri="{63B3BB69-23CF-44E3-9099-C40C66FF867C}">
                  <a14:compatExt spid="_x0000_s1938"/>
                </a:ext>
                <a:ext uri="{FF2B5EF4-FFF2-40B4-BE49-F238E27FC236}">
                  <a16:creationId xmlns:a16="http://schemas.microsoft.com/office/drawing/2014/main" id="{00000000-0008-0000-0000-00009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7</xdr:col>
          <xdr:colOff>0</xdr:colOff>
          <xdr:row>1573</xdr:row>
          <xdr:rowOff>161925</xdr:rowOff>
        </xdr:to>
        <xdr:sp macro="" textlink="">
          <xdr:nvSpPr>
            <xdr:cNvPr id="1937" name="Button 913" hidden="1">
              <a:extLst>
                <a:ext uri="{63B3BB69-23CF-44E3-9099-C40C66FF867C}">
                  <a14:compatExt spid="_x0000_s1937"/>
                </a:ext>
                <a:ext uri="{FF2B5EF4-FFF2-40B4-BE49-F238E27FC236}">
                  <a16:creationId xmlns:a16="http://schemas.microsoft.com/office/drawing/2014/main" id="{00000000-0008-0000-0000-00009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1574</xdr:row>
          <xdr:rowOff>161925</xdr:rowOff>
        </xdr:to>
        <xdr:sp macro="" textlink="">
          <xdr:nvSpPr>
            <xdr:cNvPr id="1936" name="Button 912" hidden="1">
              <a:extLst>
                <a:ext uri="{63B3BB69-23CF-44E3-9099-C40C66FF867C}">
                  <a14:compatExt spid="_x0000_s1936"/>
                </a:ext>
                <a:ext uri="{FF2B5EF4-FFF2-40B4-BE49-F238E27FC236}">
                  <a16:creationId xmlns:a16="http://schemas.microsoft.com/office/drawing/2014/main" id="{00000000-0008-0000-0000-00009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7</xdr:col>
          <xdr:colOff>0</xdr:colOff>
          <xdr:row>1575</xdr:row>
          <xdr:rowOff>161925</xdr:rowOff>
        </xdr:to>
        <xdr:sp macro="" textlink="">
          <xdr:nvSpPr>
            <xdr:cNvPr id="1935" name="Button 911" hidden="1">
              <a:extLst>
                <a:ext uri="{63B3BB69-23CF-44E3-9099-C40C66FF867C}">
                  <a14:compatExt spid="_x0000_s1935"/>
                </a:ext>
                <a:ext uri="{FF2B5EF4-FFF2-40B4-BE49-F238E27FC236}">
                  <a16:creationId xmlns:a16="http://schemas.microsoft.com/office/drawing/2014/main" id="{00000000-0008-0000-0000-00008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7</xdr:col>
          <xdr:colOff>0</xdr:colOff>
          <xdr:row>1576</xdr:row>
          <xdr:rowOff>161925</xdr:rowOff>
        </xdr:to>
        <xdr:sp macro="" textlink="">
          <xdr:nvSpPr>
            <xdr:cNvPr id="1934" name="Button 910" hidden="1">
              <a:extLst>
                <a:ext uri="{63B3BB69-23CF-44E3-9099-C40C66FF867C}">
                  <a14:compatExt spid="_x0000_s1934"/>
                </a:ext>
                <a:ext uri="{FF2B5EF4-FFF2-40B4-BE49-F238E27FC236}">
                  <a16:creationId xmlns:a16="http://schemas.microsoft.com/office/drawing/2014/main" id="{00000000-0008-0000-0000-00008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1577</xdr:row>
          <xdr:rowOff>161925</xdr:rowOff>
        </xdr:to>
        <xdr:sp macro="" textlink="">
          <xdr:nvSpPr>
            <xdr:cNvPr id="1933" name="Button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1578</xdr:row>
          <xdr:rowOff>161925</xdr:rowOff>
        </xdr:to>
        <xdr:sp macro="" textlink="">
          <xdr:nvSpPr>
            <xdr:cNvPr id="1932" name="Button 908" hidden="1">
              <a:extLst>
                <a:ext uri="{63B3BB69-23CF-44E3-9099-C40C66FF867C}">
                  <a14:compatExt spid="_x0000_s1932"/>
                </a:ext>
                <a:ext uri="{FF2B5EF4-FFF2-40B4-BE49-F238E27FC236}">
                  <a16:creationId xmlns:a16="http://schemas.microsoft.com/office/drawing/2014/main" id="{00000000-0008-0000-0000-00008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161925</xdr:rowOff>
        </xdr:to>
        <xdr:sp macro="" textlink="">
          <xdr:nvSpPr>
            <xdr:cNvPr id="1931" name="Button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1580</xdr:row>
          <xdr:rowOff>161925</xdr:rowOff>
        </xdr:to>
        <xdr:sp macro="" textlink="">
          <xdr:nvSpPr>
            <xdr:cNvPr id="1930" name="Button 906" hidden="1">
              <a:extLst>
                <a:ext uri="{63B3BB69-23CF-44E3-9099-C40C66FF867C}">
                  <a14:compatExt spid="_x0000_s1930"/>
                </a:ext>
                <a:ext uri="{FF2B5EF4-FFF2-40B4-BE49-F238E27FC236}">
                  <a16:creationId xmlns:a16="http://schemas.microsoft.com/office/drawing/2014/main" id="{00000000-0008-0000-0000-00008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1581</xdr:row>
          <xdr:rowOff>161925</xdr:rowOff>
        </xdr:to>
        <xdr:sp macro="" textlink="">
          <xdr:nvSpPr>
            <xdr:cNvPr id="1929" name="Button 905" hidden="1">
              <a:extLst>
                <a:ext uri="{63B3BB69-23CF-44E3-9099-C40C66FF867C}">
                  <a14:compatExt spid="_x0000_s1929"/>
                </a:ext>
                <a:ext uri="{FF2B5EF4-FFF2-40B4-BE49-F238E27FC236}">
                  <a16:creationId xmlns:a16="http://schemas.microsoft.com/office/drawing/2014/main" id="{00000000-0008-0000-0000-00008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1582</xdr:row>
          <xdr:rowOff>161925</xdr:rowOff>
        </xdr:to>
        <xdr:sp macro="" textlink="">
          <xdr:nvSpPr>
            <xdr:cNvPr id="1928" name="Button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1583</xdr:row>
          <xdr:rowOff>161925</xdr:rowOff>
        </xdr:to>
        <xdr:sp macro="" textlink="">
          <xdr:nvSpPr>
            <xdr:cNvPr id="1927" name="Button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1584</xdr:row>
          <xdr:rowOff>161925</xdr:rowOff>
        </xdr:to>
        <xdr:sp macro="" textlink="">
          <xdr:nvSpPr>
            <xdr:cNvPr id="1926" name="Button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1585</xdr:row>
          <xdr:rowOff>161925</xdr:rowOff>
        </xdr:to>
        <xdr:sp macro="" textlink="">
          <xdr:nvSpPr>
            <xdr:cNvPr id="1925" name="Button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1589</xdr:row>
          <xdr:rowOff>0</xdr:rowOff>
        </xdr:to>
        <xdr:sp macro="" textlink="">
          <xdr:nvSpPr>
            <xdr:cNvPr id="1924" name="Button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1595</xdr:row>
          <xdr:rowOff>38100</xdr:rowOff>
        </xdr:to>
        <xdr:sp macro="" textlink="">
          <xdr:nvSpPr>
            <xdr:cNvPr id="1923" name="Button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1596</xdr:row>
          <xdr:rowOff>161925</xdr:rowOff>
        </xdr:to>
        <xdr:sp macro="" textlink="">
          <xdr:nvSpPr>
            <xdr:cNvPr id="1922" name="Button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1597</xdr:row>
          <xdr:rowOff>161925</xdr:rowOff>
        </xdr:to>
        <xdr:sp macro="" textlink="">
          <xdr:nvSpPr>
            <xdr:cNvPr id="1921" name="Button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7</xdr:col>
          <xdr:colOff>0</xdr:colOff>
          <xdr:row>1598</xdr:row>
          <xdr:rowOff>161925</xdr:rowOff>
        </xdr:to>
        <xdr:sp macro="" textlink="">
          <xdr:nvSpPr>
            <xdr:cNvPr id="1920" name="Button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1599</xdr:row>
          <xdr:rowOff>161925</xdr:rowOff>
        </xdr:to>
        <xdr:sp macro="" textlink="">
          <xdr:nvSpPr>
            <xdr:cNvPr id="1919" name="Button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1600</xdr:row>
          <xdr:rowOff>161925</xdr:rowOff>
        </xdr:to>
        <xdr:sp macro="" textlink="">
          <xdr:nvSpPr>
            <xdr:cNvPr id="1918" name="Button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1601</xdr:row>
          <xdr:rowOff>161925</xdr:rowOff>
        </xdr:to>
        <xdr:sp macro="" textlink="">
          <xdr:nvSpPr>
            <xdr:cNvPr id="1917" name="Button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1602</xdr:row>
          <xdr:rowOff>161925</xdr:rowOff>
        </xdr:to>
        <xdr:sp macro="" textlink="">
          <xdr:nvSpPr>
            <xdr:cNvPr id="1916" name="Button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1603</xdr:row>
          <xdr:rowOff>161925</xdr:rowOff>
        </xdr:to>
        <xdr:sp macro="" textlink="">
          <xdr:nvSpPr>
            <xdr:cNvPr id="1915" name="Button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1604</xdr:row>
          <xdr:rowOff>161925</xdr:rowOff>
        </xdr:to>
        <xdr:sp macro="" textlink="">
          <xdr:nvSpPr>
            <xdr:cNvPr id="1914" name="Button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1608</xdr:row>
          <xdr:rowOff>0</xdr:rowOff>
        </xdr:to>
        <xdr:sp macro="" textlink="">
          <xdr:nvSpPr>
            <xdr:cNvPr id="1913" name="Button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1614</xdr:row>
          <xdr:rowOff>38100</xdr:rowOff>
        </xdr:to>
        <xdr:sp macro="" textlink="">
          <xdr:nvSpPr>
            <xdr:cNvPr id="1912" name="Button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1615</xdr:row>
          <xdr:rowOff>161925</xdr:rowOff>
        </xdr:to>
        <xdr:sp macro="" textlink="">
          <xdr:nvSpPr>
            <xdr:cNvPr id="1911" name="Button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7</xdr:col>
          <xdr:colOff>0</xdr:colOff>
          <xdr:row>1616</xdr:row>
          <xdr:rowOff>161925</xdr:rowOff>
        </xdr:to>
        <xdr:sp macro="" textlink="">
          <xdr:nvSpPr>
            <xdr:cNvPr id="1910" name="Button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1617</xdr:row>
          <xdr:rowOff>161925</xdr:rowOff>
        </xdr:to>
        <xdr:sp macro="" textlink="">
          <xdr:nvSpPr>
            <xdr:cNvPr id="1909" name="Button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1618</xdr:row>
          <xdr:rowOff>161925</xdr:rowOff>
        </xdr:to>
        <xdr:sp macro="" textlink="">
          <xdr:nvSpPr>
            <xdr:cNvPr id="1908" name="Button 884" hidden="1">
              <a:extLst>
                <a:ext uri="{63B3BB69-23CF-44E3-9099-C40C66FF867C}">
                  <a14:compatExt spid="_x0000_s1908"/>
                </a:ext>
                <a:ext uri="{FF2B5EF4-FFF2-40B4-BE49-F238E27FC236}">
                  <a16:creationId xmlns:a16="http://schemas.microsoft.com/office/drawing/2014/main" id="{00000000-0008-0000-0000-00007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7</xdr:col>
          <xdr:colOff>0</xdr:colOff>
          <xdr:row>1622</xdr:row>
          <xdr:rowOff>0</xdr:rowOff>
        </xdr:to>
        <xdr:sp macro="" textlink="">
          <xdr:nvSpPr>
            <xdr:cNvPr id="1907" name="Button 883" hidden="1">
              <a:extLst>
                <a:ext uri="{63B3BB69-23CF-44E3-9099-C40C66FF867C}">
                  <a14:compatExt spid="_x0000_s1907"/>
                </a:ext>
                <a:ext uri="{FF2B5EF4-FFF2-40B4-BE49-F238E27FC236}">
                  <a16:creationId xmlns:a16="http://schemas.microsoft.com/office/drawing/2014/main" id="{00000000-0008-0000-0000-00007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7</xdr:col>
          <xdr:colOff>0</xdr:colOff>
          <xdr:row>1628</xdr:row>
          <xdr:rowOff>38100</xdr:rowOff>
        </xdr:to>
        <xdr:sp macro="" textlink="">
          <xdr:nvSpPr>
            <xdr:cNvPr id="1906" name="Button 882" hidden="1">
              <a:extLst>
                <a:ext uri="{63B3BB69-23CF-44E3-9099-C40C66FF867C}">
                  <a14:compatExt spid="_x0000_s1906"/>
                </a:ext>
                <a:ext uri="{FF2B5EF4-FFF2-40B4-BE49-F238E27FC236}">
                  <a16:creationId xmlns:a16="http://schemas.microsoft.com/office/drawing/2014/main" id="{00000000-0008-0000-0000-00007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1629</xdr:row>
          <xdr:rowOff>161925</xdr:rowOff>
        </xdr:to>
        <xdr:sp macro="" textlink="">
          <xdr:nvSpPr>
            <xdr:cNvPr id="1905" name="Button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7</xdr:col>
          <xdr:colOff>0</xdr:colOff>
          <xdr:row>1633</xdr:row>
          <xdr:rowOff>0</xdr:rowOff>
        </xdr:to>
        <xdr:sp macro="" textlink="">
          <xdr:nvSpPr>
            <xdr:cNvPr id="1904" name="Button 880" hidden="1">
              <a:extLst>
                <a:ext uri="{63B3BB69-23CF-44E3-9099-C40C66FF867C}">
                  <a14:compatExt spid="_x0000_s1904"/>
                </a:ext>
                <a:ext uri="{FF2B5EF4-FFF2-40B4-BE49-F238E27FC236}">
                  <a16:creationId xmlns:a16="http://schemas.microsoft.com/office/drawing/2014/main" id="{00000000-0008-0000-0000-00007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1639</xdr:row>
          <xdr:rowOff>38100</xdr:rowOff>
        </xdr:to>
        <xdr:sp macro="" textlink="">
          <xdr:nvSpPr>
            <xdr:cNvPr id="1903" name="Button 879" hidden="1">
              <a:extLst>
                <a:ext uri="{63B3BB69-23CF-44E3-9099-C40C66FF867C}">
                  <a14:compatExt spid="_x0000_s1903"/>
                </a:ext>
                <a:ext uri="{FF2B5EF4-FFF2-40B4-BE49-F238E27FC236}">
                  <a16:creationId xmlns:a16="http://schemas.microsoft.com/office/drawing/2014/main" id="{00000000-0008-0000-0000-00006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1640</xdr:row>
          <xdr:rowOff>161925</xdr:rowOff>
        </xdr:to>
        <xdr:sp macro="" textlink="">
          <xdr:nvSpPr>
            <xdr:cNvPr id="1902" name="Button 878" hidden="1">
              <a:extLst>
                <a:ext uri="{63B3BB69-23CF-44E3-9099-C40C66FF867C}">
                  <a14:compatExt spid="_x0000_s1902"/>
                </a:ext>
                <a:ext uri="{FF2B5EF4-FFF2-40B4-BE49-F238E27FC236}">
                  <a16:creationId xmlns:a16="http://schemas.microsoft.com/office/drawing/2014/main" id="{00000000-0008-0000-0000-00006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7</xdr:col>
          <xdr:colOff>0</xdr:colOff>
          <xdr:row>1644</xdr:row>
          <xdr:rowOff>0</xdr:rowOff>
        </xdr:to>
        <xdr:sp macro="" textlink="">
          <xdr:nvSpPr>
            <xdr:cNvPr id="1901" name="Button 877" hidden="1">
              <a:extLst>
                <a:ext uri="{63B3BB69-23CF-44E3-9099-C40C66FF867C}">
                  <a14:compatExt spid="_x0000_s1901"/>
                </a:ext>
                <a:ext uri="{FF2B5EF4-FFF2-40B4-BE49-F238E27FC236}">
                  <a16:creationId xmlns:a16="http://schemas.microsoft.com/office/drawing/2014/main" id="{00000000-0008-0000-0000-00006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7</xdr:col>
          <xdr:colOff>0</xdr:colOff>
          <xdr:row>1650</xdr:row>
          <xdr:rowOff>38100</xdr:rowOff>
        </xdr:to>
        <xdr:sp macro="" textlink="">
          <xdr:nvSpPr>
            <xdr:cNvPr id="1900" name="Button 876" hidden="1">
              <a:extLst>
                <a:ext uri="{63B3BB69-23CF-44E3-9099-C40C66FF867C}">
                  <a14:compatExt spid="_x0000_s1900"/>
                </a:ext>
                <a:ext uri="{FF2B5EF4-FFF2-40B4-BE49-F238E27FC236}">
                  <a16:creationId xmlns:a16="http://schemas.microsoft.com/office/drawing/2014/main" id="{00000000-0008-0000-0000-00006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1651</xdr:row>
          <xdr:rowOff>161925</xdr:rowOff>
        </xdr:to>
        <xdr:sp macro="" textlink="">
          <xdr:nvSpPr>
            <xdr:cNvPr id="1899" name="Button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1652</xdr:row>
          <xdr:rowOff>161925</xdr:rowOff>
        </xdr:to>
        <xdr:sp macro="" textlink="">
          <xdr:nvSpPr>
            <xdr:cNvPr id="1898" name="Button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7</xdr:col>
          <xdr:colOff>0</xdr:colOff>
          <xdr:row>1653</xdr:row>
          <xdr:rowOff>161925</xdr:rowOff>
        </xdr:to>
        <xdr:sp macro="" textlink="">
          <xdr:nvSpPr>
            <xdr:cNvPr id="1897" name="Button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1654</xdr:row>
          <xdr:rowOff>161925</xdr:rowOff>
        </xdr:to>
        <xdr:sp macro="" textlink="">
          <xdr:nvSpPr>
            <xdr:cNvPr id="1896" name="Button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7</xdr:col>
          <xdr:colOff>0</xdr:colOff>
          <xdr:row>1655</xdr:row>
          <xdr:rowOff>161925</xdr:rowOff>
        </xdr:to>
        <xdr:sp macro="" textlink="">
          <xdr:nvSpPr>
            <xdr:cNvPr id="1895" name="Button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1656</xdr:row>
          <xdr:rowOff>161925</xdr:rowOff>
        </xdr:to>
        <xdr:sp macro="" textlink="">
          <xdr:nvSpPr>
            <xdr:cNvPr id="1894" name="Button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7</xdr:col>
          <xdr:colOff>0</xdr:colOff>
          <xdr:row>1657</xdr:row>
          <xdr:rowOff>161925</xdr:rowOff>
        </xdr:to>
        <xdr:sp macro="" textlink="">
          <xdr:nvSpPr>
            <xdr:cNvPr id="1893" name="Button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7</xdr:col>
          <xdr:colOff>0</xdr:colOff>
          <xdr:row>1658</xdr:row>
          <xdr:rowOff>161925</xdr:rowOff>
        </xdr:to>
        <xdr:sp macro="" textlink="">
          <xdr:nvSpPr>
            <xdr:cNvPr id="1892" name="Button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1659</xdr:row>
          <xdr:rowOff>161925</xdr:rowOff>
        </xdr:to>
        <xdr:sp macro="" textlink="">
          <xdr:nvSpPr>
            <xdr:cNvPr id="1891" name="Button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7</xdr:col>
          <xdr:colOff>0</xdr:colOff>
          <xdr:row>1660</xdr:row>
          <xdr:rowOff>161925</xdr:rowOff>
        </xdr:to>
        <xdr:sp macro="" textlink="">
          <xdr:nvSpPr>
            <xdr:cNvPr id="1890" name="Button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7</xdr:col>
          <xdr:colOff>0</xdr:colOff>
          <xdr:row>1661</xdr:row>
          <xdr:rowOff>161925</xdr:rowOff>
        </xdr:to>
        <xdr:sp macro="" textlink="">
          <xdr:nvSpPr>
            <xdr:cNvPr id="1889" name="Button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7</xdr:col>
          <xdr:colOff>0</xdr:colOff>
          <xdr:row>1662</xdr:row>
          <xdr:rowOff>161925</xdr:rowOff>
        </xdr:to>
        <xdr:sp macro="" textlink="">
          <xdr:nvSpPr>
            <xdr:cNvPr id="1888" name="Button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1663</xdr:row>
          <xdr:rowOff>161925</xdr:rowOff>
        </xdr:to>
        <xdr:sp macro="" textlink="">
          <xdr:nvSpPr>
            <xdr:cNvPr id="1887" name="Button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1664</xdr:row>
          <xdr:rowOff>161925</xdr:rowOff>
        </xdr:to>
        <xdr:sp macro="" textlink="">
          <xdr:nvSpPr>
            <xdr:cNvPr id="1886" name="Button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1665</xdr:row>
          <xdr:rowOff>161925</xdr:rowOff>
        </xdr:to>
        <xdr:sp macro="" textlink="">
          <xdr:nvSpPr>
            <xdr:cNvPr id="1885" name="Button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1666</xdr:row>
          <xdr:rowOff>161925</xdr:rowOff>
        </xdr:to>
        <xdr:sp macro="" textlink="">
          <xdr:nvSpPr>
            <xdr:cNvPr id="1884" name="Button 860" hidden="1">
              <a:extLst>
                <a:ext uri="{63B3BB69-23CF-44E3-9099-C40C66FF867C}">
                  <a14:compatExt spid="_x0000_s1884"/>
                </a:ext>
                <a:ext uri="{FF2B5EF4-FFF2-40B4-BE49-F238E27FC236}">
                  <a16:creationId xmlns:a16="http://schemas.microsoft.com/office/drawing/2014/main" id="{00000000-0008-0000-0000-00005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161925</xdr:rowOff>
        </xdr:to>
        <xdr:sp macro="" textlink="">
          <xdr:nvSpPr>
            <xdr:cNvPr id="1883" name="Button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1668</xdr:row>
          <xdr:rowOff>161925</xdr:rowOff>
        </xdr:to>
        <xdr:sp macro="" textlink="">
          <xdr:nvSpPr>
            <xdr:cNvPr id="1882" name="Button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1669</xdr:row>
          <xdr:rowOff>161925</xdr:rowOff>
        </xdr:to>
        <xdr:sp macro="" textlink="">
          <xdr:nvSpPr>
            <xdr:cNvPr id="1881" name="Button 857" hidden="1">
              <a:extLst>
                <a:ext uri="{63B3BB69-23CF-44E3-9099-C40C66FF867C}">
                  <a14:compatExt spid="_x0000_s1881"/>
                </a:ext>
                <a:ext uri="{FF2B5EF4-FFF2-40B4-BE49-F238E27FC236}">
                  <a16:creationId xmlns:a16="http://schemas.microsoft.com/office/drawing/2014/main" id="{00000000-0008-0000-0000-00005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1670</xdr:row>
          <xdr:rowOff>161925</xdr:rowOff>
        </xdr:to>
        <xdr:sp macro="" textlink="">
          <xdr:nvSpPr>
            <xdr:cNvPr id="1880" name="Button 856" hidden="1">
              <a:extLst>
                <a:ext uri="{63B3BB69-23CF-44E3-9099-C40C66FF867C}">
                  <a14:compatExt spid="_x0000_s1880"/>
                </a:ext>
                <a:ext uri="{FF2B5EF4-FFF2-40B4-BE49-F238E27FC236}">
                  <a16:creationId xmlns:a16="http://schemas.microsoft.com/office/drawing/2014/main" id="{00000000-0008-0000-0000-00005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7</xdr:col>
          <xdr:colOff>0</xdr:colOff>
          <xdr:row>1671</xdr:row>
          <xdr:rowOff>161925</xdr:rowOff>
        </xdr:to>
        <xdr:sp macro="" textlink="">
          <xdr:nvSpPr>
            <xdr:cNvPr id="1879" name="Button 855" hidden="1">
              <a:extLst>
                <a:ext uri="{63B3BB69-23CF-44E3-9099-C40C66FF867C}">
                  <a14:compatExt spid="_x0000_s1879"/>
                </a:ext>
                <a:ext uri="{FF2B5EF4-FFF2-40B4-BE49-F238E27FC236}">
                  <a16:creationId xmlns:a16="http://schemas.microsoft.com/office/drawing/2014/main" id="{00000000-0008-0000-0000-00005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7</xdr:col>
          <xdr:colOff>0</xdr:colOff>
          <xdr:row>1672</xdr:row>
          <xdr:rowOff>161925</xdr:rowOff>
        </xdr:to>
        <xdr:sp macro="" textlink="">
          <xdr:nvSpPr>
            <xdr:cNvPr id="1878" name="Button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7</xdr:col>
          <xdr:colOff>0</xdr:colOff>
          <xdr:row>1673</xdr:row>
          <xdr:rowOff>161925</xdr:rowOff>
        </xdr:to>
        <xdr:sp macro="" textlink="">
          <xdr:nvSpPr>
            <xdr:cNvPr id="1877" name="Button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7</xdr:col>
          <xdr:colOff>0</xdr:colOff>
          <xdr:row>1674</xdr:row>
          <xdr:rowOff>161925</xdr:rowOff>
        </xdr:to>
        <xdr:sp macro="" textlink="">
          <xdr:nvSpPr>
            <xdr:cNvPr id="1876" name="Button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7</xdr:col>
          <xdr:colOff>0</xdr:colOff>
          <xdr:row>1678</xdr:row>
          <xdr:rowOff>0</xdr:rowOff>
        </xdr:to>
        <xdr:sp macro="" textlink="">
          <xdr:nvSpPr>
            <xdr:cNvPr id="1875" name="Button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7</xdr:col>
          <xdr:colOff>0</xdr:colOff>
          <xdr:row>1684</xdr:row>
          <xdr:rowOff>38100</xdr:rowOff>
        </xdr:to>
        <xdr:sp macro="" textlink="">
          <xdr:nvSpPr>
            <xdr:cNvPr id="1874" name="Button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7</xdr:col>
          <xdr:colOff>0</xdr:colOff>
          <xdr:row>1685</xdr:row>
          <xdr:rowOff>161925</xdr:rowOff>
        </xdr:to>
        <xdr:sp macro="" textlink="">
          <xdr:nvSpPr>
            <xdr:cNvPr id="1873" name="Button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1689</xdr:row>
          <xdr:rowOff>0</xdr:rowOff>
        </xdr:to>
        <xdr:sp macro="" textlink="">
          <xdr:nvSpPr>
            <xdr:cNvPr id="1872" name="Button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7</xdr:col>
          <xdr:colOff>0</xdr:colOff>
          <xdr:row>1695</xdr:row>
          <xdr:rowOff>38100</xdr:rowOff>
        </xdr:to>
        <xdr:sp macro="" textlink="">
          <xdr:nvSpPr>
            <xdr:cNvPr id="1871" name="Button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7</xdr:col>
          <xdr:colOff>0</xdr:colOff>
          <xdr:row>1696</xdr:row>
          <xdr:rowOff>161925</xdr:rowOff>
        </xdr:to>
        <xdr:sp macro="" textlink="">
          <xdr:nvSpPr>
            <xdr:cNvPr id="1870" name="Button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7</xdr:col>
          <xdr:colOff>0</xdr:colOff>
          <xdr:row>1697</xdr:row>
          <xdr:rowOff>161925</xdr:rowOff>
        </xdr:to>
        <xdr:sp macro="" textlink="">
          <xdr:nvSpPr>
            <xdr:cNvPr id="1869" name="Button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7</xdr:col>
          <xdr:colOff>0</xdr:colOff>
          <xdr:row>1698</xdr:row>
          <xdr:rowOff>161925</xdr:rowOff>
        </xdr:to>
        <xdr:sp macro="" textlink="">
          <xdr:nvSpPr>
            <xdr:cNvPr id="1868" name="Button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7</xdr:col>
          <xdr:colOff>0</xdr:colOff>
          <xdr:row>1699</xdr:row>
          <xdr:rowOff>161925</xdr:rowOff>
        </xdr:to>
        <xdr:sp macro="" textlink="">
          <xdr:nvSpPr>
            <xdr:cNvPr id="1867" name="Button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7</xdr:col>
          <xdr:colOff>0</xdr:colOff>
          <xdr:row>1700</xdr:row>
          <xdr:rowOff>161925</xdr:rowOff>
        </xdr:to>
        <xdr:sp macro="" textlink="">
          <xdr:nvSpPr>
            <xdr:cNvPr id="1866" name="Button 842" hidden="1">
              <a:extLst>
                <a:ext uri="{63B3BB69-23CF-44E3-9099-C40C66FF867C}">
                  <a14:compatExt spid="_x0000_s1866"/>
                </a:ext>
                <a:ext uri="{FF2B5EF4-FFF2-40B4-BE49-F238E27FC236}">
                  <a16:creationId xmlns:a16="http://schemas.microsoft.com/office/drawing/2014/main" id="{00000000-0008-0000-0000-00004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7</xdr:col>
          <xdr:colOff>0</xdr:colOff>
          <xdr:row>1701</xdr:row>
          <xdr:rowOff>161925</xdr:rowOff>
        </xdr:to>
        <xdr:sp macro="" textlink="">
          <xdr:nvSpPr>
            <xdr:cNvPr id="1865" name="Button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7</xdr:col>
          <xdr:colOff>0</xdr:colOff>
          <xdr:row>1702</xdr:row>
          <xdr:rowOff>161925</xdr:rowOff>
        </xdr:to>
        <xdr:sp macro="" textlink="">
          <xdr:nvSpPr>
            <xdr:cNvPr id="1864" name="Button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7</xdr:col>
          <xdr:colOff>0</xdr:colOff>
          <xdr:row>1703</xdr:row>
          <xdr:rowOff>161925</xdr:rowOff>
        </xdr:to>
        <xdr:sp macro="" textlink="">
          <xdr:nvSpPr>
            <xdr:cNvPr id="1863" name="Button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7</xdr:col>
          <xdr:colOff>0</xdr:colOff>
          <xdr:row>1704</xdr:row>
          <xdr:rowOff>161925</xdr:rowOff>
        </xdr:to>
        <xdr:sp macro="" textlink="">
          <xdr:nvSpPr>
            <xdr:cNvPr id="1862" name="Button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7</xdr:col>
          <xdr:colOff>0</xdr:colOff>
          <xdr:row>1705</xdr:row>
          <xdr:rowOff>161925</xdr:rowOff>
        </xdr:to>
        <xdr:sp macro="" textlink="">
          <xdr:nvSpPr>
            <xdr:cNvPr id="1861" name="Button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7</xdr:col>
          <xdr:colOff>0</xdr:colOff>
          <xdr:row>1706</xdr:row>
          <xdr:rowOff>161925</xdr:rowOff>
        </xdr:to>
        <xdr:sp macro="" textlink="">
          <xdr:nvSpPr>
            <xdr:cNvPr id="1860" name="Button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7</xdr:col>
          <xdr:colOff>0</xdr:colOff>
          <xdr:row>1707</xdr:row>
          <xdr:rowOff>161925</xdr:rowOff>
        </xdr:to>
        <xdr:sp macro="" textlink="">
          <xdr:nvSpPr>
            <xdr:cNvPr id="1859" name="Button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7</xdr:col>
          <xdr:colOff>0</xdr:colOff>
          <xdr:row>1708</xdr:row>
          <xdr:rowOff>161925</xdr:rowOff>
        </xdr:to>
        <xdr:sp macro="" textlink="">
          <xdr:nvSpPr>
            <xdr:cNvPr id="1858" name="Button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7</xdr:col>
          <xdr:colOff>0</xdr:colOff>
          <xdr:row>1709</xdr:row>
          <xdr:rowOff>161925</xdr:rowOff>
        </xdr:to>
        <xdr:sp macro="" textlink="">
          <xdr:nvSpPr>
            <xdr:cNvPr id="1857" name="Button 833" hidden="1">
              <a:extLst>
                <a:ext uri="{63B3BB69-23CF-44E3-9099-C40C66FF867C}">
                  <a14:compatExt spid="_x0000_s1857"/>
                </a:ext>
                <a:ext uri="{FF2B5EF4-FFF2-40B4-BE49-F238E27FC236}">
                  <a16:creationId xmlns:a16="http://schemas.microsoft.com/office/drawing/2014/main" id="{00000000-0008-0000-0000-00004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7</xdr:col>
          <xdr:colOff>0</xdr:colOff>
          <xdr:row>1710</xdr:row>
          <xdr:rowOff>161925</xdr:rowOff>
        </xdr:to>
        <xdr:sp macro="" textlink="">
          <xdr:nvSpPr>
            <xdr:cNvPr id="1856" name="Button 832" hidden="1">
              <a:extLst>
                <a:ext uri="{63B3BB69-23CF-44E3-9099-C40C66FF867C}">
                  <a14:compatExt spid="_x0000_s1856"/>
                </a:ext>
                <a:ext uri="{FF2B5EF4-FFF2-40B4-BE49-F238E27FC236}">
                  <a16:creationId xmlns:a16="http://schemas.microsoft.com/office/drawing/2014/main" id="{00000000-0008-0000-0000-00004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7</xdr:col>
          <xdr:colOff>0</xdr:colOff>
          <xdr:row>1711</xdr:row>
          <xdr:rowOff>161925</xdr:rowOff>
        </xdr:to>
        <xdr:sp macro="" textlink="">
          <xdr:nvSpPr>
            <xdr:cNvPr id="1855" name="Button 831" hidden="1">
              <a:extLst>
                <a:ext uri="{63B3BB69-23CF-44E3-9099-C40C66FF867C}">
                  <a14:compatExt spid="_x0000_s1855"/>
                </a:ext>
                <a:ext uri="{FF2B5EF4-FFF2-40B4-BE49-F238E27FC236}">
                  <a16:creationId xmlns:a16="http://schemas.microsoft.com/office/drawing/2014/main" id="{00000000-0008-0000-0000-00003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7</xdr:col>
          <xdr:colOff>0</xdr:colOff>
          <xdr:row>1712</xdr:row>
          <xdr:rowOff>161925</xdr:rowOff>
        </xdr:to>
        <xdr:sp macro="" textlink="">
          <xdr:nvSpPr>
            <xdr:cNvPr id="1854" name="Button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7</xdr:col>
          <xdr:colOff>0</xdr:colOff>
          <xdr:row>1713</xdr:row>
          <xdr:rowOff>161925</xdr:rowOff>
        </xdr:to>
        <xdr:sp macro="" textlink="">
          <xdr:nvSpPr>
            <xdr:cNvPr id="1853" name="Button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7</xdr:col>
          <xdr:colOff>0</xdr:colOff>
          <xdr:row>1714</xdr:row>
          <xdr:rowOff>161925</xdr:rowOff>
        </xdr:to>
        <xdr:sp macro="" textlink="">
          <xdr:nvSpPr>
            <xdr:cNvPr id="1852" name="Button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7</xdr:col>
          <xdr:colOff>0</xdr:colOff>
          <xdr:row>1715</xdr:row>
          <xdr:rowOff>161925</xdr:rowOff>
        </xdr:to>
        <xdr:sp macro="" textlink="">
          <xdr:nvSpPr>
            <xdr:cNvPr id="1851" name="Button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7</xdr:col>
          <xdr:colOff>0</xdr:colOff>
          <xdr:row>1716</xdr:row>
          <xdr:rowOff>161925</xdr:rowOff>
        </xdr:to>
        <xdr:sp macro="" textlink="">
          <xdr:nvSpPr>
            <xdr:cNvPr id="1850" name="Button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7</xdr:col>
          <xdr:colOff>0</xdr:colOff>
          <xdr:row>1717</xdr:row>
          <xdr:rowOff>161925</xdr:rowOff>
        </xdr:to>
        <xdr:sp macro="" textlink="">
          <xdr:nvSpPr>
            <xdr:cNvPr id="1849" name="Button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7</xdr:col>
          <xdr:colOff>0</xdr:colOff>
          <xdr:row>1718</xdr:row>
          <xdr:rowOff>161925</xdr:rowOff>
        </xdr:to>
        <xdr:sp macro="" textlink="">
          <xdr:nvSpPr>
            <xdr:cNvPr id="1848" name="Button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7</xdr:col>
          <xdr:colOff>0</xdr:colOff>
          <xdr:row>1719</xdr:row>
          <xdr:rowOff>161925</xdr:rowOff>
        </xdr:to>
        <xdr:sp macro="" textlink="">
          <xdr:nvSpPr>
            <xdr:cNvPr id="1847" name="Button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7</xdr:col>
          <xdr:colOff>0</xdr:colOff>
          <xdr:row>1720</xdr:row>
          <xdr:rowOff>161925</xdr:rowOff>
        </xdr:to>
        <xdr:sp macro="" textlink="">
          <xdr:nvSpPr>
            <xdr:cNvPr id="1846" name="Button 822" hidden="1">
              <a:extLst>
                <a:ext uri="{63B3BB69-23CF-44E3-9099-C40C66FF867C}">
                  <a14:compatExt spid="_x0000_s1846"/>
                </a:ext>
                <a:ext uri="{FF2B5EF4-FFF2-40B4-BE49-F238E27FC236}">
                  <a16:creationId xmlns:a16="http://schemas.microsoft.com/office/drawing/2014/main" id="{00000000-0008-0000-0000-00003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7</xdr:col>
          <xdr:colOff>0</xdr:colOff>
          <xdr:row>1721</xdr:row>
          <xdr:rowOff>161925</xdr:rowOff>
        </xdr:to>
        <xdr:sp macro="" textlink="">
          <xdr:nvSpPr>
            <xdr:cNvPr id="1845" name="Button 821" hidden="1">
              <a:extLst>
                <a:ext uri="{63B3BB69-23CF-44E3-9099-C40C66FF867C}">
                  <a14:compatExt spid="_x0000_s1845"/>
                </a:ext>
                <a:ext uri="{FF2B5EF4-FFF2-40B4-BE49-F238E27FC236}">
                  <a16:creationId xmlns:a16="http://schemas.microsoft.com/office/drawing/2014/main" id="{00000000-0008-0000-0000-00003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7</xdr:col>
          <xdr:colOff>0</xdr:colOff>
          <xdr:row>1722</xdr:row>
          <xdr:rowOff>161925</xdr:rowOff>
        </xdr:to>
        <xdr:sp macro="" textlink="">
          <xdr:nvSpPr>
            <xdr:cNvPr id="1844" name="Button 820" hidden="1">
              <a:extLst>
                <a:ext uri="{63B3BB69-23CF-44E3-9099-C40C66FF867C}">
                  <a14:compatExt spid="_x0000_s1844"/>
                </a:ext>
                <a:ext uri="{FF2B5EF4-FFF2-40B4-BE49-F238E27FC236}">
                  <a16:creationId xmlns:a16="http://schemas.microsoft.com/office/drawing/2014/main" id="{00000000-0008-0000-0000-00003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7</xdr:col>
          <xdr:colOff>0</xdr:colOff>
          <xdr:row>1723</xdr:row>
          <xdr:rowOff>161925</xdr:rowOff>
        </xdr:to>
        <xdr:sp macro="" textlink="">
          <xdr:nvSpPr>
            <xdr:cNvPr id="1843" name="Button 819" hidden="1">
              <a:extLst>
                <a:ext uri="{63B3BB69-23CF-44E3-9099-C40C66FF867C}">
                  <a14:compatExt spid="_x0000_s1843"/>
                </a:ext>
                <a:ext uri="{FF2B5EF4-FFF2-40B4-BE49-F238E27FC236}">
                  <a16:creationId xmlns:a16="http://schemas.microsoft.com/office/drawing/2014/main" id="{00000000-0008-0000-0000-00003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7</xdr:col>
          <xdr:colOff>0</xdr:colOff>
          <xdr:row>1724</xdr:row>
          <xdr:rowOff>161925</xdr:rowOff>
        </xdr:to>
        <xdr:sp macro="" textlink="">
          <xdr:nvSpPr>
            <xdr:cNvPr id="1842" name="Button 818" hidden="1">
              <a:extLst>
                <a:ext uri="{63B3BB69-23CF-44E3-9099-C40C66FF867C}">
                  <a14:compatExt spid="_x0000_s1842"/>
                </a:ext>
                <a:ext uri="{FF2B5EF4-FFF2-40B4-BE49-F238E27FC236}">
                  <a16:creationId xmlns:a16="http://schemas.microsoft.com/office/drawing/2014/main" id="{00000000-0008-0000-0000-00003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7</xdr:col>
          <xdr:colOff>0</xdr:colOff>
          <xdr:row>1725</xdr:row>
          <xdr:rowOff>161925</xdr:rowOff>
        </xdr:to>
        <xdr:sp macro="" textlink="">
          <xdr:nvSpPr>
            <xdr:cNvPr id="1841" name="Button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7</xdr:col>
          <xdr:colOff>0</xdr:colOff>
          <xdr:row>1726</xdr:row>
          <xdr:rowOff>161925</xdr:rowOff>
        </xdr:to>
        <xdr:sp macro="" textlink="">
          <xdr:nvSpPr>
            <xdr:cNvPr id="1840" name="Button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7</xdr:col>
          <xdr:colOff>0</xdr:colOff>
          <xdr:row>1727</xdr:row>
          <xdr:rowOff>161925</xdr:rowOff>
        </xdr:to>
        <xdr:sp macro="" textlink="">
          <xdr:nvSpPr>
            <xdr:cNvPr id="1839" name="Button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7</xdr:col>
          <xdr:colOff>0</xdr:colOff>
          <xdr:row>1728</xdr:row>
          <xdr:rowOff>161925</xdr:rowOff>
        </xdr:to>
        <xdr:sp macro="" textlink="">
          <xdr:nvSpPr>
            <xdr:cNvPr id="1838" name="Button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7</xdr:col>
          <xdr:colOff>0</xdr:colOff>
          <xdr:row>1729</xdr:row>
          <xdr:rowOff>161925</xdr:rowOff>
        </xdr:to>
        <xdr:sp macro="" textlink="">
          <xdr:nvSpPr>
            <xdr:cNvPr id="1837" name="Button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7</xdr:col>
          <xdr:colOff>0</xdr:colOff>
          <xdr:row>1730</xdr:row>
          <xdr:rowOff>161925</xdr:rowOff>
        </xdr:to>
        <xdr:sp macro="" textlink="">
          <xdr:nvSpPr>
            <xdr:cNvPr id="1836" name="Button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7</xdr:col>
          <xdr:colOff>0</xdr:colOff>
          <xdr:row>1731</xdr:row>
          <xdr:rowOff>161925</xdr:rowOff>
        </xdr:to>
        <xdr:sp macro="" textlink="">
          <xdr:nvSpPr>
            <xdr:cNvPr id="1835" name="Button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7</xdr:col>
          <xdr:colOff>0</xdr:colOff>
          <xdr:row>1732</xdr:row>
          <xdr:rowOff>161925</xdr:rowOff>
        </xdr:to>
        <xdr:sp macro="" textlink="">
          <xdr:nvSpPr>
            <xdr:cNvPr id="1834" name="Button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7</xdr:col>
          <xdr:colOff>0</xdr:colOff>
          <xdr:row>1733</xdr:row>
          <xdr:rowOff>161925</xdr:rowOff>
        </xdr:to>
        <xdr:sp macro="" textlink="">
          <xdr:nvSpPr>
            <xdr:cNvPr id="1833" name="Button 809" hidden="1">
              <a:extLst>
                <a:ext uri="{63B3BB69-23CF-44E3-9099-C40C66FF867C}">
                  <a14:compatExt spid="_x0000_s1833"/>
                </a:ext>
                <a:ext uri="{FF2B5EF4-FFF2-40B4-BE49-F238E27FC236}">
                  <a16:creationId xmlns:a16="http://schemas.microsoft.com/office/drawing/2014/main" id="{00000000-0008-0000-0000-00002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7</xdr:col>
          <xdr:colOff>0</xdr:colOff>
          <xdr:row>1734</xdr:row>
          <xdr:rowOff>161925</xdr:rowOff>
        </xdr:to>
        <xdr:sp macro="" textlink="">
          <xdr:nvSpPr>
            <xdr:cNvPr id="1832" name="Button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7</xdr:col>
          <xdr:colOff>0</xdr:colOff>
          <xdr:row>1735</xdr:row>
          <xdr:rowOff>161925</xdr:rowOff>
        </xdr:to>
        <xdr:sp macro="" textlink="">
          <xdr:nvSpPr>
            <xdr:cNvPr id="1831" name="Button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7</xdr:col>
          <xdr:colOff>0</xdr:colOff>
          <xdr:row>1736</xdr:row>
          <xdr:rowOff>161925</xdr:rowOff>
        </xdr:to>
        <xdr:sp macro="" textlink="">
          <xdr:nvSpPr>
            <xdr:cNvPr id="1830" name="Button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7</xdr:col>
          <xdr:colOff>0</xdr:colOff>
          <xdr:row>1737</xdr:row>
          <xdr:rowOff>161925</xdr:rowOff>
        </xdr:to>
        <xdr:sp macro="" textlink="">
          <xdr:nvSpPr>
            <xdr:cNvPr id="1829" name="Button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7</xdr:col>
          <xdr:colOff>0</xdr:colOff>
          <xdr:row>1738</xdr:row>
          <xdr:rowOff>161925</xdr:rowOff>
        </xdr:to>
        <xdr:sp macro="" textlink="">
          <xdr:nvSpPr>
            <xdr:cNvPr id="1828" name="Button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7</xdr:col>
          <xdr:colOff>0</xdr:colOff>
          <xdr:row>1739</xdr:row>
          <xdr:rowOff>161925</xdr:rowOff>
        </xdr:to>
        <xdr:sp macro="" textlink="">
          <xdr:nvSpPr>
            <xdr:cNvPr id="1827" name="Button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7</xdr:col>
          <xdr:colOff>0</xdr:colOff>
          <xdr:row>1740</xdr:row>
          <xdr:rowOff>161925</xdr:rowOff>
        </xdr:to>
        <xdr:sp macro="" textlink="">
          <xdr:nvSpPr>
            <xdr:cNvPr id="1826" name="Button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7</xdr:col>
          <xdr:colOff>0</xdr:colOff>
          <xdr:row>1741</xdr:row>
          <xdr:rowOff>161925</xdr:rowOff>
        </xdr:to>
        <xdr:sp macro="" textlink="">
          <xdr:nvSpPr>
            <xdr:cNvPr id="1825" name="Button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7</xdr:col>
          <xdr:colOff>0</xdr:colOff>
          <xdr:row>1742</xdr:row>
          <xdr:rowOff>161925</xdr:rowOff>
        </xdr:to>
        <xdr:sp macro="" textlink="">
          <xdr:nvSpPr>
            <xdr:cNvPr id="1824" name="Button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7</xdr:col>
          <xdr:colOff>0</xdr:colOff>
          <xdr:row>1743</xdr:row>
          <xdr:rowOff>161925</xdr:rowOff>
        </xdr:to>
        <xdr:sp macro="" textlink="">
          <xdr:nvSpPr>
            <xdr:cNvPr id="1823" name="Button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7</xdr:col>
          <xdr:colOff>0</xdr:colOff>
          <xdr:row>1744</xdr:row>
          <xdr:rowOff>161925</xdr:rowOff>
        </xdr:to>
        <xdr:sp macro="" textlink="">
          <xdr:nvSpPr>
            <xdr:cNvPr id="1822" name="Button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7</xdr:col>
          <xdr:colOff>0</xdr:colOff>
          <xdr:row>1745</xdr:row>
          <xdr:rowOff>161925</xdr:rowOff>
        </xdr:to>
        <xdr:sp macro="" textlink="">
          <xdr:nvSpPr>
            <xdr:cNvPr id="1821" name="Button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7</xdr:col>
          <xdr:colOff>0</xdr:colOff>
          <xdr:row>1746</xdr:row>
          <xdr:rowOff>161925</xdr:rowOff>
        </xdr:to>
        <xdr:sp macro="" textlink="">
          <xdr:nvSpPr>
            <xdr:cNvPr id="1820" name="Button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7</xdr:col>
          <xdr:colOff>0</xdr:colOff>
          <xdr:row>1747</xdr:row>
          <xdr:rowOff>161925</xdr:rowOff>
        </xdr:to>
        <xdr:sp macro="" textlink="">
          <xdr:nvSpPr>
            <xdr:cNvPr id="1819" name="Button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7</xdr:col>
          <xdr:colOff>0</xdr:colOff>
          <xdr:row>1748</xdr:row>
          <xdr:rowOff>161925</xdr:rowOff>
        </xdr:to>
        <xdr:sp macro="" textlink="">
          <xdr:nvSpPr>
            <xdr:cNvPr id="1818" name="Button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7</xdr:col>
          <xdr:colOff>0</xdr:colOff>
          <xdr:row>1749</xdr:row>
          <xdr:rowOff>161925</xdr:rowOff>
        </xdr:to>
        <xdr:sp macro="" textlink="">
          <xdr:nvSpPr>
            <xdr:cNvPr id="1817" name="Button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7</xdr:col>
          <xdr:colOff>0</xdr:colOff>
          <xdr:row>1750</xdr:row>
          <xdr:rowOff>161925</xdr:rowOff>
        </xdr:to>
        <xdr:sp macro="" textlink="">
          <xdr:nvSpPr>
            <xdr:cNvPr id="1816" name="Button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7</xdr:col>
          <xdr:colOff>0</xdr:colOff>
          <xdr:row>1751</xdr:row>
          <xdr:rowOff>161925</xdr:rowOff>
        </xdr:to>
        <xdr:sp macro="" textlink="">
          <xdr:nvSpPr>
            <xdr:cNvPr id="1815" name="Button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1752</xdr:row>
          <xdr:rowOff>161925</xdr:rowOff>
        </xdr:to>
        <xdr:sp macro="" textlink="">
          <xdr:nvSpPr>
            <xdr:cNvPr id="1814" name="Button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7</xdr:col>
          <xdr:colOff>0</xdr:colOff>
          <xdr:row>1753</xdr:row>
          <xdr:rowOff>161925</xdr:rowOff>
        </xdr:to>
        <xdr:sp macro="" textlink="">
          <xdr:nvSpPr>
            <xdr:cNvPr id="1813" name="Button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7</xdr:col>
          <xdr:colOff>0</xdr:colOff>
          <xdr:row>1754</xdr:row>
          <xdr:rowOff>161925</xdr:rowOff>
        </xdr:to>
        <xdr:sp macro="" textlink="">
          <xdr:nvSpPr>
            <xdr:cNvPr id="1812" name="Button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7</xdr:col>
          <xdr:colOff>0</xdr:colOff>
          <xdr:row>1758</xdr:row>
          <xdr:rowOff>0</xdr:rowOff>
        </xdr:to>
        <xdr:sp macro="" textlink="">
          <xdr:nvSpPr>
            <xdr:cNvPr id="1811" name="Button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7</xdr:col>
          <xdr:colOff>0</xdr:colOff>
          <xdr:row>1764</xdr:row>
          <xdr:rowOff>38100</xdr:rowOff>
        </xdr:to>
        <xdr:sp macro="" textlink="">
          <xdr:nvSpPr>
            <xdr:cNvPr id="1810" name="Button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7</xdr:col>
          <xdr:colOff>0</xdr:colOff>
          <xdr:row>1765</xdr:row>
          <xdr:rowOff>161925</xdr:rowOff>
        </xdr:to>
        <xdr:sp macro="" textlink="">
          <xdr:nvSpPr>
            <xdr:cNvPr id="1809" name="Button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7</xdr:col>
          <xdr:colOff>0</xdr:colOff>
          <xdr:row>1766</xdr:row>
          <xdr:rowOff>161925</xdr:rowOff>
        </xdr:to>
        <xdr:sp macro="" textlink="">
          <xdr:nvSpPr>
            <xdr:cNvPr id="1808" name="Button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7</xdr:col>
          <xdr:colOff>0</xdr:colOff>
          <xdr:row>1767</xdr:row>
          <xdr:rowOff>161925</xdr:rowOff>
        </xdr:to>
        <xdr:sp macro="" textlink="">
          <xdr:nvSpPr>
            <xdr:cNvPr id="1807" name="Button 783"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7</xdr:col>
          <xdr:colOff>0</xdr:colOff>
          <xdr:row>1768</xdr:row>
          <xdr:rowOff>161925</xdr:rowOff>
        </xdr:to>
        <xdr:sp macro="" textlink="">
          <xdr:nvSpPr>
            <xdr:cNvPr id="1806" name="Button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1769</xdr:row>
          <xdr:rowOff>161925</xdr:rowOff>
        </xdr:to>
        <xdr:sp macro="" textlink="">
          <xdr:nvSpPr>
            <xdr:cNvPr id="1805" name="Button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1770</xdr:row>
          <xdr:rowOff>161925</xdr:rowOff>
        </xdr:to>
        <xdr:sp macro="" textlink="">
          <xdr:nvSpPr>
            <xdr:cNvPr id="1804" name="Button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7</xdr:col>
          <xdr:colOff>0</xdr:colOff>
          <xdr:row>1771</xdr:row>
          <xdr:rowOff>161925</xdr:rowOff>
        </xdr:to>
        <xdr:sp macro="" textlink="">
          <xdr:nvSpPr>
            <xdr:cNvPr id="1803" name="Button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1772</xdr:row>
          <xdr:rowOff>161925</xdr:rowOff>
        </xdr:to>
        <xdr:sp macro="" textlink="">
          <xdr:nvSpPr>
            <xdr:cNvPr id="1802" name="Button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1773</xdr:row>
          <xdr:rowOff>161925</xdr:rowOff>
        </xdr:to>
        <xdr:sp macro="" textlink="">
          <xdr:nvSpPr>
            <xdr:cNvPr id="1801" name="Button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7</xdr:col>
          <xdr:colOff>0</xdr:colOff>
          <xdr:row>1774</xdr:row>
          <xdr:rowOff>161925</xdr:rowOff>
        </xdr:to>
        <xdr:sp macro="" textlink="">
          <xdr:nvSpPr>
            <xdr:cNvPr id="1800" name="Button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7</xdr:col>
          <xdr:colOff>0</xdr:colOff>
          <xdr:row>1775</xdr:row>
          <xdr:rowOff>161925</xdr:rowOff>
        </xdr:to>
        <xdr:sp macro="" textlink="">
          <xdr:nvSpPr>
            <xdr:cNvPr id="1799" name="Button 775" hidden="1">
              <a:extLst>
                <a:ext uri="{63B3BB69-23CF-44E3-9099-C40C66FF867C}">
                  <a14:compatExt spid="_x0000_s1799"/>
                </a:ext>
                <a:ext uri="{FF2B5EF4-FFF2-40B4-BE49-F238E27FC236}">
                  <a16:creationId xmlns:a16="http://schemas.microsoft.com/office/drawing/2014/main" id="{00000000-0008-0000-0000-00000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7</xdr:col>
          <xdr:colOff>0</xdr:colOff>
          <xdr:row>1776</xdr:row>
          <xdr:rowOff>161925</xdr:rowOff>
        </xdr:to>
        <xdr:sp macro="" textlink="">
          <xdr:nvSpPr>
            <xdr:cNvPr id="1798" name="Button 774"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7</xdr:col>
          <xdr:colOff>0</xdr:colOff>
          <xdr:row>1777</xdr:row>
          <xdr:rowOff>161925</xdr:rowOff>
        </xdr:to>
        <xdr:sp macro="" textlink="">
          <xdr:nvSpPr>
            <xdr:cNvPr id="1797" name="Button 773"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7</xdr:col>
          <xdr:colOff>0</xdr:colOff>
          <xdr:row>1778</xdr:row>
          <xdr:rowOff>161925</xdr:rowOff>
        </xdr:to>
        <xdr:sp macro="" textlink="">
          <xdr:nvSpPr>
            <xdr:cNvPr id="1796" name="Button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7</xdr:col>
          <xdr:colOff>0</xdr:colOff>
          <xdr:row>1779</xdr:row>
          <xdr:rowOff>161925</xdr:rowOff>
        </xdr:to>
        <xdr:sp macro="" textlink="">
          <xdr:nvSpPr>
            <xdr:cNvPr id="1795" name="Button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1780</xdr:row>
          <xdr:rowOff>161925</xdr:rowOff>
        </xdr:to>
        <xdr:sp macro="" textlink="">
          <xdr:nvSpPr>
            <xdr:cNvPr id="1794" name="Button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1781</xdr:row>
          <xdr:rowOff>161925</xdr:rowOff>
        </xdr:to>
        <xdr:sp macro="" textlink="">
          <xdr:nvSpPr>
            <xdr:cNvPr id="1793" name="Button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7</xdr:col>
          <xdr:colOff>0</xdr:colOff>
          <xdr:row>1782</xdr:row>
          <xdr:rowOff>161925</xdr:rowOff>
        </xdr:to>
        <xdr:sp macro="" textlink="">
          <xdr:nvSpPr>
            <xdr:cNvPr id="1792" name="Button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7</xdr:col>
          <xdr:colOff>0</xdr:colOff>
          <xdr:row>1783</xdr:row>
          <xdr:rowOff>161925</xdr:rowOff>
        </xdr:to>
        <xdr:sp macro="" textlink="">
          <xdr:nvSpPr>
            <xdr:cNvPr id="1791" name="Button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7</xdr:col>
          <xdr:colOff>0</xdr:colOff>
          <xdr:row>1784</xdr:row>
          <xdr:rowOff>161925</xdr:rowOff>
        </xdr:to>
        <xdr:sp macro="" textlink="">
          <xdr:nvSpPr>
            <xdr:cNvPr id="1790" name="Button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7</xdr:col>
          <xdr:colOff>0</xdr:colOff>
          <xdr:row>1785</xdr:row>
          <xdr:rowOff>161925</xdr:rowOff>
        </xdr:to>
        <xdr:sp macro="" textlink="">
          <xdr:nvSpPr>
            <xdr:cNvPr id="1789" name="Button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7</xdr:col>
          <xdr:colOff>0</xdr:colOff>
          <xdr:row>1786</xdr:row>
          <xdr:rowOff>161925</xdr:rowOff>
        </xdr:to>
        <xdr:sp macro="" textlink="">
          <xdr:nvSpPr>
            <xdr:cNvPr id="1788" name="Button 764" hidden="1">
              <a:extLst>
                <a:ext uri="{63B3BB69-23CF-44E3-9099-C40C66FF867C}">
                  <a14:compatExt spid="_x0000_s1788"/>
                </a:ext>
                <a:ext uri="{FF2B5EF4-FFF2-40B4-BE49-F238E27FC236}">
                  <a16:creationId xmlns:a16="http://schemas.microsoft.com/office/drawing/2014/main" id="{00000000-0008-0000-0000-0000F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7</xdr:col>
          <xdr:colOff>0</xdr:colOff>
          <xdr:row>1787</xdr:row>
          <xdr:rowOff>161925</xdr:rowOff>
        </xdr:to>
        <xdr:sp macro="" textlink="">
          <xdr:nvSpPr>
            <xdr:cNvPr id="1787" name="Button 763" hidden="1">
              <a:extLst>
                <a:ext uri="{63B3BB69-23CF-44E3-9099-C40C66FF867C}">
                  <a14:compatExt spid="_x0000_s1787"/>
                </a:ext>
                <a:ext uri="{FF2B5EF4-FFF2-40B4-BE49-F238E27FC236}">
                  <a16:creationId xmlns:a16="http://schemas.microsoft.com/office/drawing/2014/main" id="{00000000-0008-0000-0000-0000F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7</xdr:col>
          <xdr:colOff>0</xdr:colOff>
          <xdr:row>1788</xdr:row>
          <xdr:rowOff>161925</xdr:rowOff>
        </xdr:to>
        <xdr:sp macro="" textlink="">
          <xdr:nvSpPr>
            <xdr:cNvPr id="1786" name="Button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7</xdr:col>
          <xdr:colOff>0</xdr:colOff>
          <xdr:row>1789</xdr:row>
          <xdr:rowOff>161925</xdr:rowOff>
        </xdr:to>
        <xdr:sp macro="" textlink="">
          <xdr:nvSpPr>
            <xdr:cNvPr id="1785" name="Button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7</xdr:col>
          <xdr:colOff>0</xdr:colOff>
          <xdr:row>1790</xdr:row>
          <xdr:rowOff>161925</xdr:rowOff>
        </xdr:to>
        <xdr:sp macro="" textlink="">
          <xdr:nvSpPr>
            <xdr:cNvPr id="1784" name="Button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7</xdr:col>
          <xdr:colOff>0</xdr:colOff>
          <xdr:row>1791</xdr:row>
          <xdr:rowOff>161925</xdr:rowOff>
        </xdr:to>
        <xdr:sp macro="" textlink="">
          <xdr:nvSpPr>
            <xdr:cNvPr id="1783" name="Button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7</xdr:col>
          <xdr:colOff>0</xdr:colOff>
          <xdr:row>1792</xdr:row>
          <xdr:rowOff>161925</xdr:rowOff>
        </xdr:to>
        <xdr:sp macro="" textlink="">
          <xdr:nvSpPr>
            <xdr:cNvPr id="1782" name="Button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1793</xdr:row>
          <xdr:rowOff>0</xdr:rowOff>
        </xdr:from>
        <xdr:to>
          <xdr:col>7</xdr:col>
          <xdr:colOff>0</xdr:colOff>
          <xdr:row>1793</xdr:row>
          <xdr:rowOff>161925</xdr:rowOff>
        </xdr:to>
        <xdr:sp macro="" textlink="">
          <xdr:nvSpPr>
            <xdr:cNvPr id="1781" name="Button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7</xdr:col>
          <xdr:colOff>0</xdr:colOff>
          <xdr:row>1794</xdr:row>
          <xdr:rowOff>161925</xdr:rowOff>
        </xdr:to>
        <xdr:sp macro="" textlink="">
          <xdr:nvSpPr>
            <xdr:cNvPr id="1780" name="Button 756" hidden="1">
              <a:extLst>
                <a:ext uri="{63B3BB69-23CF-44E3-9099-C40C66FF867C}">
                  <a14:compatExt spid="_x0000_s1780"/>
                </a:ext>
                <a:ext uri="{FF2B5EF4-FFF2-40B4-BE49-F238E27FC236}">
                  <a16:creationId xmlns:a16="http://schemas.microsoft.com/office/drawing/2014/main" id="{00000000-0008-0000-0000-0000F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7</xdr:col>
          <xdr:colOff>0</xdr:colOff>
          <xdr:row>1795</xdr:row>
          <xdr:rowOff>161925</xdr:rowOff>
        </xdr:to>
        <xdr:sp macro="" textlink="">
          <xdr:nvSpPr>
            <xdr:cNvPr id="1779" name="Button 755" hidden="1">
              <a:extLst>
                <a:ext uri="{63B3BB69-23CF-44E3-9099-C40C66FF867C}">
                  <a14:compatExt spid="_x0000_s1779"/>
                </a:ext>
                <a:ext uri="{FF2B5EF4-FFF2-40B4-BE49-F238E27FC236}">
                  <a16:creationId xmlns:a16="http://schemas.microsoft.com/office/drawing/2014/main" id="{00000000-0008-0000-0000-0000F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7</xdr:col>
          <xdr:colOff>0</xdr:colOff>
          <xdr:row>1796</xdr:row>
          <xdr:rowOff>161925</xdr:rowOff>
        </xdr:to>
        <xdr:sp macro="" textlink="">
          <xdr:nvSpPr>
            <xdr:cNvPr id="1778" name="Button 754" hidden="1">
              <a:extLst>
                <a:ext uri="{63B3BB69-23CF-44E3-9099-C40C66FF867C}">
                  <a14:compatExt spid="_x0000_s1778"/>
                </a:ext>
                <a:ext uri="{FF2B5EF4-FFF2-40B4-BE49-F238E27FC236}">
                  <a16:creationId xmlns:a16="http://schemas.microsoft.com/office/drawing/2014/main" id="{00000000-0008-0000-0000-0000F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7</xdr:col>
          <xdr:colOff>0</xdr:colOff>
          <xdr:row>1797</xdr:row>
          <xdr:rowOff>161925</xdr:rowOff>
        </xdr:to>
        <xdr:sp macro="" textlink="">
          <xdr:nvSpPr>
            <xdr:cNvPr id="1777" name="Button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7</xdr:col>
          <xdr:colOff>0</xdr:colOff>
          <xdr:row>1801</xdr:row>
          <xdr:rowOff>0</xdr:rowOff>
        </xdr:to>
        <xdr:sp macro="" textlink="">
          <xdr:nvSpPr>
            <xdr:cNvPr id="1776" name="Button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7</xdr:col>
          <xdr:colOff>0</xdr:colOff>
          <xdr:row>1807</xdr:row>
          <xdr:rowOff>38100</xdr:rowOff>
        </xdr:to>
        <xdr:sp macro="" textlink="">
          <xdr:nvSpPr>
            <xdr:cNvPr id="1775" name="Button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7</xdr:col>
          <xdr:colOff>0</xdr:colOff>
          <xdr:row>1808</xdr:row>
          <xdr:rowOff>161925</xdr:rowOff>
        </xdr:to>
        <xdr:sp macro="" textlink="">
          <xdr:nvSpPr>
            <xdr:cNvPr id="1774" name="Button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7</xdr:col>
          <xdr:colOff>0</xdr:colOff>
          <xdr:row>1809</xdr:row>
          <xdr:rowOff>161925</xdr:rowOff>
        </xdr:to>
        <xdr:sp macro="" textlink="">
          <xdr:nvSpPr>
            <xdr:cNvPr id="1773" name="Button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7</xdr:col>
          <xdr:colOff>0</xdr:colOff>
          <xdr:row>1810</xdr:row>
          <xdr:rowOff>161925</xdr:rowOff>
        </xdr:to>
        <xdr:sp macro="" textlink="">
          <xdr:nvSpPr>
            <xdr:cNvPr id="1772" name="Button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7</xdr:col>
          <xdr:colOff>0</xdr:colOff>
          <xdr:row>1811</xdr:row>
          <xdr:rowOff>161925</xdr:rowOff>
        </xdr:to>
        <xdr:sp macro="" textlink="">
          <xdr:nvSpPr>
            <xdr:cNvPr id="1771" name="Button 747"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7</xdr:col>
          <xdr:colOff>0</xdr:colOff>
          <xdr:row>1812</xdr:row>
          <xdr:rowOff>161925</xdr:rowOff>
        </xdr:to>
        <xdr:sp macro="" textlink="">
          <xdr:nvSpPr>
            <xdr:cNvPr id="1770" name="Button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7</xdr:col>
          <xdr:colOff>0</xdr:colOff>
          <xdr:row>1813</xdr:row>
          <xdr:rowOff>161925</xdr:rowOff>
        </xdr:to>
        <xdr:sp macro="" textlink="">
          <xdr:nvSpPr>
            <xdr:cNvPr id="1769" name="Button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7</xdr:col>
          <xdr:colOff>0</xdr:colOff>
          <xdr:row>1814</xdr:row>
          <xdr:rowOff>161925</xdr:rowOff>
        </xdr:to>
        <xdr:sp macro="" textlink="">
          <xdr:nvSpPr>
            <xdr:cNvPr id="1768" name="Button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7</xdr:col>
          <xdr:colOff>0</xdr:colOff>
          <xdr:row>1815</xdr:row>
          <xdr:rowOff>161925</xdr:rowOff>
        </xdr:to>
        <xdr:sp macro="" textlink="">
          <xdr:nvSpPr>
            <xdr:cNvPr id="1767" name="Button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7</xdr:col>
          <xdr:colOff>0</xdr:colOff>
          <xdr:row>1816</xdr:row>
          <xdr:rowOff>161925</xdr:rowOff>
        </xdr:to>
        <xdr:sp macro="" textlink="">
          <xdr:nvSpPr>
            <xdr:cNvPr id="1766" name="Button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7</xdr:col>
          <xdr:colOff>0</xdr:colOff>
          <xdr:row>1817</xdr:row>
          <xdr:rowOff>161925</xdr:rowOff>
        </xdr:to>
        <xdr:sp macro="" textlink="">
          <xdr:nvSpPr>
            <xdr:cNvPr id="1765" name="Button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7</xdr:col>
          <xdr:colOff>0</xdr:colOff>
          <xdr:row>1818</xdr:row>
          <xdr:rowOff>161925</xdr:rowOff>
        </xdr:to>
        <xdr:sp macro="" textlink="">
          <xdr:nvSpPr>
            <xdr:cNvPr id="1764" name="Button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7</xdr:col>
          <xdr:colOff>0</xdr:colOff>
          <xdr:row>1819</xdr:row>
          <xdr:rowOff>161925</xdr:rowOff>
        </xdr:to>
        <xdr:sp macro="" textlink="">
          <xdr:nvSpPr>
            <xdr:cNvPr id="1763" name="Button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7</xdr:col>
          <xdr:colOff>0</xdr:colOff>
          <xdr:row>1820</xdr:row>
          <xdr:rowOff>161925</xdr:rowOff>
        </xdr:to>
        <xdr:sp macro="" textlink="">
          <xdr:nvSpPr>
            <xdr:cNvPr id="1762" name="Button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7</xdr:col>
          <xdr:colOff>0</xdr:colOff>
          <xdr:row>1821</xdr:row>
          <xdr:rowOff>161925</xdr:rowOff>
        </xdr:to>
        <xdr:sp macro="" textlink="">
          <xdr:nvSpPr>
            <xdr:cNvPr id="1761" name="Button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7</xdr:col>
          <xdr:colOff>0</xdr:colOff>
          <xdr:row>1822</xdr:row>
          <xdr:rowOff>161925</xdr:rowOff>
        </xdr:to>
        <xdr:sp macro="" textlink="">
          <xdr:nvSpPr>
            <xdr:cNvPr id="1760" name="Button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7</xdr:col>
          <xdr:colOff>0</xdr:colOff>
          <xdr:row>1823</xdr:row>
          <xdr:rowOff>161925</xdr:rowOff>
        </xdr:to>
        <xdr:sp macro="" textlink="">
          <xdr:nvSpPr>
            <xdr:cNvPr id="1759" name="Button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7</xdr:col>
          <xdr:colOff>0</xdr:colOff>
          <xdr:row>1827</xdr:row>
          <xdr:rowOff>0</xdr:rowOff>
        </xdr:to>
        <xdr:sp macro="" textlink="">
          <xdr:nvSpPr>
            <xdr:cNvPr id="1758" name="Button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7</xdr:col>
          <xdr:colOff>0</xdr:colOff>
          <xdr:row>1833</xdr:row>
          <xdr:rowOff>38100</xdr:rowOff>
        </xdr:to>
        <xdr:sp macro="" textlink="">
          <xdr:nvSpPr>
            <xdr:cNvPr id="1757" name="Button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7</xdr:col>
          <xdr:colOff>0</xdr:colOff>
          <xdr:row>1834</xdr:row>
          <xdr:rowOff>161925</xdr:rowOff>
        </xdr:to>
        <xdr:sp macro="" textlink="">
          <xdr:nvSpPr>
            <xdr:cNvPr id="1756" name="Button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7</xdr:col>
          <xdr:colOff>0</xdr:colOff>
          <xdr:row>1835</xdr:row>
          <xdr:rowOff>161925</xdr:rowOff>
        </xdr:to>
        <xdr:sp macro="" textlink="">
          <xdr:nvSpPr>
            <xdr:cNvPr id="1755" name="Button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7</xdr:col>
          <xdr:colOff>0</xdr:colOff>
          <xdr:row>1836</xdr:row>
          <xdr:rowOff>161925</xdr:rowOff>
        </xdr:to>
        <xdr:sp macro="" textlink="">
          <xdr:nvSpPr>
            <xdr:cNvPr id="1754" name="Button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7</xdr:col>
          <xdr:colOff>0</xdr:colOff>
          <xdr:row>1837</xdr:row>
          <xdr:rowOff>161925</xdr:rowOff>
        </xdr:to>
        <xdr:sp macro="" textlink="">
          <xdr:nvSpPr>
            <xdr:cNvPr id="1753" name="Button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7</xdr:col>
          <xdr:colOff>0</xdr:colOff>
          <xdr:row>1838</xdr:row>
          <xdr:rowOff>161925</xdr:rowOff>
        </xdr:to>
        <xdr:sp macro="" textlink="">
          <xdr:nvSpPr>
            <xdr:cNvPr id="1752" name="Button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1839</xdr:row>
          <xdr:rowOff>0</xdr:rowOff>
        </xdr:from>
        <xdr:to>
          <xdr:col>7</xdr:col>
          <xdr:colOff>0</xdr:colOff>
          <xdr:row>1839</xdr:row>
          <xdr:rowOff>161925</xdr:rowOff>
        </xdr:to>
        <xdr:sp macro="" textlink="">
          <xdr:nvSpPr>
            <xdr:cNvPr id="1751" name="Button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7</xdr:col>
          <xdr:colOff>0</xdr:colOff>
          <xdr:row>1840</xdr:row>
          <xdr:rowOff>161925</xdr:rowOff>
        </xdr:to>
        <xdr:sp macro="" textlink="">
          <xdr:nvSpPr>
            <xdr:cNvPr id="1750" name="Button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7</xdr:col>
          <xdr:colOff>0</xdr:colOff>
          <xdr:row>1844</xdr:row>
          <xdr:rowOff>0</xdr:rowOff>
        </xdr:to>
        <xdr:sp macro="" textlink="">
          <xdr:nvSpPr>
            <xdr:cNvPr id="1749" name="Button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7</xdr:col>
          <xdr:colOff>0</xdr:colOff>
          <xdr:row>1850</xdr:row>
          <xdr:rowOff>38100</xdr:rowOff>
        </xdr:to>
        <xdr:sp macro="" textlink="">
          <xdr:nvSpPr>
            <xdr:cNvPr id="1748" name="Button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7</xdr:col>
          <xdr:colOff>0</xdr:colOff>
          <xdr:row>1851</xdr:row>
          <xdr:rowOff>161925</xdr:rowOff>
        </xdr:to>
        <xdr:sp macro="" textlink="">
          <xdr:nvSpPr>
            <xdr:cNvPr id="1747" name="Button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7</xdr:col>
          <xdr:colOff>0</xdr:colOff>
          <xdr:row>1852</xdr:row>
          <xdr:rowOff>161925</xdr:rowOff>
        </xdr:to>
        <xdr:sp macro="" textlink="">
          <xdr:nvSpPr>
            <xdr:cNvPr id="1746" name="Button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7</xdr:col>
          <xdr:colOff>0</xdr:colOff>
          <xdr:row>1856</xdr:row>
          <xdr:rowOff>0</xdr:rowOff>
        </xdr:to>
        <xdr:sp macro="" textlink="">
          <xdr:nvSpPr>
            <xdr:cNvPr id="1745" name="Button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7</xdr:col>
          <xdr:colOff>0</xdr:colOff>
          <xdr:row>1862</xdr:row>
          <xdr:rowOff>38100</xdr:rowOff>
        </xdr:to>
        <xdr:sp macro="" textlink="">
          <xdr:nvSpPr>
            <xdr:cNvPr id="1744" name="Button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7</xdr:col>
          <xdr:colOff>0</xdr:colOff>
          <xdr:row>1863</xdr:row>
          <xdr:rowOff>161925</xdr:rowOff>
        </xdr:to>
        <xdr:sp macro="" textlink="">
          <xdr:nvSpPr>
            <xdr:cNvPr id="1743" name="Button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7</xdr:col>
          <xdr:colOff>0</xdr:colOff>
          <xdr:row>1864</xdr:row>
          <xdr:rowOff>161925</xdr:rowOff>
        </xdr:to>
        <xdr:sp macro="" textlink="">
          <xdr:nvSpPr>
            <xdr:cNvPr id="1742" name="Button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7</xdr:col>
          <xdr:colOff>0</xdr:colOff>
          <xdr:row>1865</xdr:row>
          <xdr:rowOff>161925</xdr:rowOff>
        </xdr:to>
        <xdr:sp macro="" textlink="">
          <xdr:nvSpPr>
            <xdr:cNvPr id="1741" name="Button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7</xdr:col>
          <xdr:colOff>0</xdr:colOff>
          <xdr:row>1866</xdr:row>
          <xdr:rowOff>161925</xdr:rowOff>
        </xdr:to>
        <xdr:sp macro="" textlink="">
          <xdr:nvSpPr>
            <xdr:cNvPr id="1740" name="Button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7</xdr:col>
          <xdr:colOff>0</xdr:colOff>
          <xdr:row>1867</xdr:row>
          <xdr:rowOff>161925</xdr:rowOff>
        </xdr:to>
        <xdr:sp macro="" textlink="">
          <xdr:nvSpPr>
            <xdr:cNvPr id="1739" name="Button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7</xdr:col>
          <xdr:colOff>0</xdr:colOff>
          <xdr:row>1871</xdr:row>
          <xdr:rowOff>0</xdr:rowOff>
        </xdr:to>
        <xdr:sp macro="" textlink="">
          <xdr:nvSpPr>
            <xdr:cNvPr id="1738" name="Button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7</xdr:col>
          <xdr:colOff>0</xdr:colOff>
          <xdr:row>1877</xdr:row>
          <xdr:rowOff>38100</xdr:rowOff>
        </xdr:to>
        <xdr:sp macro="" textlink="">
          <xdr:nvSpPr>
            <xdr:cNvPr id="1737" name="Button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7</xdr:col>
          <xdr:colOff>0</xdr:colOff>
          <xdr:row>1878</xdr:row>
          <xdr:rowOff>161925</xdr:rowOff>
        </xdr:to>
        <xdr:sp macro="" textlink="">
          <xdr:nvSpPr>
            <xdr:cNvPr id="1736" name="Button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7</xdr:col>
          <xdr:colOff>0</xdr:colOff>
          <xdr:row>1882</xdr:row>
          <xdr:rowOff>0</xdr:rowOff>
        </xdr:to>
        <xdr:sp macro="" textlink="">
          <xdr:nvSpPr>
            <xdr:cNvPr id="1735" name="Button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1888</xdr:row>
          <xdr:rowOff>0</xdr:rowOff>
        </xdr:from>
        <xdr:to>
          <xdr:col>7</xdr:col>
          <xdr:colOff>0</xdr:colOff>
          <xdr:row>1888</xdr:row>
          <xdr:rowOff>38100</xdr:rowOff>
        </xdr:to>
        <xdr:sp macro="" textlink="">
          <xdr:nvSpPr>
            <xdr:cNvPr id="1734" name="Button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1889</xdr:row>
          <xdr:rowOff>0</xdr:rowOff>
        </xdr:from>
        <xdr:to>
          <xdr:col>7</xdr:col>
          <xdr:colOff>0</xdr:colOff>
          <xdr:row>1889</xdr:row>
          <xdr:rowOff>161925</xdr:rowOff>
        </xdr:to>
        <xdr:sp macro="" textlink="">
          <xdr:nvSpPr>
            <xdr:cNvPr id="1733" name="Button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1890</xdr:row>
          <xdr:rowOff>0</xdr:rowOff>
        </xdr:from>
        <xdr:to>
          <xdr:col>7</xdr:col>
          <xdr:colOff>0</xdr:colOff>
          <xdr:row>1890</xdr:row>
          <xdr:rowOff>161925</xdr:rowOff>
        </xdr:to>
        <xdr:sp macro="" textlink="">
          <xdr:nvSpPr>
            <xdr:cNvPr id="1732" name="Button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1891</xdr:row>
          <xdr:rowOff>0</xdr:rowOff>
        </xdr:from>
        <xdr:to>
          <xdr:col>7</xdr:col>
          <xdr:colOff>0</xdr:colOff>
          <xdr:row>1891</xdr:row>
          <xdr:rowOff>161925</xdr:rowOff>
        </xdr:to>
        <xdr:sp macro="" textlink="">
          <xdr:nvSpPr>
            <xdr:cNvPr id="1731" name="Button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7</xdr:col>
          <xdr:colOff>0</xdr:colOff>
          <xdr:row>1895</xdr:row>
          <xdr:rowOff>0</xdr:rowOff>
        </xdr:to>
        <xdr:sp macro="" textlink="">
          <xdr:nvSpPr>
            <xdr:cNvPr id="1730" name="Button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7</xdr:col>
          <xdr:colOff>0</xdr:colOff>
          <xdr:row>1901</xdr:row>
          <xdr:rowOff>38100</xdr:rowOff>
        </xdr:to>
        <xdr:sp macro="" textlink="">
          <xdr:nvSpPr>
            <xdr:cNvPr id="1729" name="Button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7</xdr:col>
          <xdr:colOff>0</xdr:colOff>
          <xdr:row>1902</xdr:row>
          <xdr:rowOff>161925</xdr:rowOff>
        </xdr:to>
        <xdr:sp macro="" textlink="">
          <xdr:nvSpPr>
            <xdr:cNvPr id="1728" name="Button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7</xdr:col>
          <xdr:colOff>0</xdr:colOff>
          <xdr:row>1906</xdr:row>
          <xdr:rowOff>0</xdr:rowOff>
        </xdr:to>
        <xdr:sp macro="" textlink="">
          <xdr:nvSpPr>
            <xdr:cNvPr id="1727" name="Button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7</xdr:col>
          <xdr:colOff>0</xdr:colOff>
          <xdr:row>1912</xdr:row>
          <xdr:rowOff>38100</xdr:rowOff>
        </xdr:to>
        <xdr:sp macro="" textlink="">
          <xdr:nvSpPr>
            <xdr:cNvPr id="1726" name="Button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7</xdr:col>
          <xdr:colOff>0</xdr:colOff>
          <xdr:row>1913</xdr:row>
          <xdr:rowOff>161925</xdr:rowOff>
        </xdr:to>
        <xdr:sp macro="" textlink="">
          <xdr:nvSpPr>
            <xdr:cNvPr id="1725" name="Button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7</xdr:col>
          <xdr:colOff>0</xdr:colOff>
          <xdr:row>1917</xdr:row>
          <xdr:rowOff>0</xdr:rowOff>
        </xdr:to>
        <xdr:sp macro="" textlink="">
          <xdr:nvSpPr>
            <xdr:cNvPr id="1724" name="Button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1923</xdr:row>
          <xdr:rowOff>0</xdr:rowOff>
        </xdr:from>
        <xdr:to>
          <xdr:col>7</xdr:col>
          <xdr:colOff>0</xdr:colOff>
          <xdr:row>1923</xdr:row>
          <xdr:rowOff>38100</xdr:rowOff>
        </xdr:to>
        <xdr:sp macro="" textlink="">
          <xdr:nvSpPr>
            <xdr:cNvPr id="1723" name="Button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1924</xdr:row>
          <xdr:rowOff>0</xdr:rowOff>
        </xdr:from>
        <xdr:to>
          <xdr:col>7</xdr:col>
          <xdr:colOff>0</xdr:colOff>
          <xdr:row>1924</xdr:row>
          <xdr:rowOff>161925</xdr:rowOff>
        </xdr:to>
        <xdr:sp macro="" textlink="">
          <xdr:nvSpPr>
            <xdr:cNvPr id="1722" name="Button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1925</xdr:row>
          <xdr:rowOff>0</xdr:rowOff>
        </xdr:from>
        <xdr:to>
          <xdr:col>7</xdr:col>
          <xdr:colOff>0</xdr:colOff>
          <xdr:row>1925</xdr:row>
          <xdr:rowOff>161925</xdr:rowOff>
        </xdr:to>
        <xdr:sp macro="" textlink="">
          <xdr:nvSpPr>
            <xdr:cNvPr id="1721" name="Button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1926</xdr:row>
          <xdr:rowOff>0</xdr:rowOff>
        </xdr:from>
        <xdr:to>
          <xdr:col>7</xdr:col>
          <xdr:colOff>0</xdr:colOff>
          <xdr:row>1926</xdr:row>
          <xdr:rowOff>161925</xdr:rowOff>
        </xdr:to>
        <xdr:sp macro="" textlink="">
          <xdr:nvSpPr>
            <xdr:cNvPr id="1720" name="Button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7</xdr:col>
          <xdr:colOff>0</xdr:colOff>
          <xdr:row>1927</xdr:row>
          <xdr:rowOff>161925</xdr:rowOff>
        </xdr:to>
        <xdr:sp macro="" textlink="">
          <xdr:nvSpPr>
            <xdr:cNvPr id="1719" name="Button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1928</xdr:row>
          <xdr:rowOff>0</xdr:rowOff>
        </xdr:from>
        <xdr:to>
          <xdr:col>7</xdr:col>
          <xdr:colOff>0</xdr:colOff>
          <xdr:row>1928</xdr:row>
          <xdr:rowOff>161925</xdr:rowOff>
        </xdr:to>
        <xdr:sp macro="" textlink="">
          <xdr:nvSpPr>
            <xdr:cNvPr id="1718" name="Button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7</xdr:col>
          <xdr:colOff>0</xdr:colOff>
          <xdr:row>1929</xdr:row>
          <xdr:rowOff>161925</xdr:rowOff>
        </xdr:to>
        <xdr:sp macro="" textlink="">
          <xdr:nvSpPr>
            <xdr:cNvPr id="1717" name="Button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7</xdr:col>
          <xdr:colOff>0</xdr:colOff>
          <xdr:row>1930</xdr:row>
          <xdr:rowOff>161925</xdr:rowOff>
        </xdr:to>
        <xdr:sp macro="" textlink="">
          <xdr:nvSpPr>
            <xdr:cNvPr id="1716" name="Button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7</xdr:col>
          <xdr:colOff>0</xdr:colOff>
          <xdr:row>1931</xdr:row>
          <xdr:rowOff>161925</xdr:rowOff>
        </xdr:to>
        <xdr:sp macro="" textlink="">
          <xdr:nvSpPr>
            <xdr:cNvPr id="1715" name="Button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7</xdr:col>
          <xdr:colOff>0</xdr:colOff>
          <xdr:row>1932</xdr:row>
          <xdr:rowOff>161925</xdr:rowOff>
        </xdr:to>
        <xdr:sp macro="" textlink="">
          <xdr:nvSpPr>
            <xdr:cNvPr id="1714" name="Button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7</xdr:col>
          <xdr:colOff>0</xdr:colOff>
          <xdr:row>1933</xdr:row>
          <xdr:rowOff>161925</xdr:rowOff>
        </xdr:to>
        <xdr:sp macro="" textlink="">
          <xdr:nvSpPr>
            <xdr:cNvPr id="1713" name="Button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7</xdr:col>
          <xdr:colOff>0</xdr:colOff>
          <xdr:row>1934</xdr:row>
          <xdr:rowOff>161925</xdr:rowOff>
        </xdr:to>
        <xdr:sp macro="" textlink="">
          <xdr:nvSpPr>
            <xdr:cNvPr id="1712" name="Button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7</xdr:col>
          <xdr:colOff>0</xdr:colOff>
          <xdr:row>1938</xdr:row>
          <xdr:rowOff>0</xdr:rowOff>
        </xdr:to>
        <xdr:sp macro="" textlink="">
          <xdr:nvSpPr>
            <xdr:cNvPr id="1711" name="Button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7</xdr:col>
          <xdr:colOff>0</xdr:colOff>
          <xdr:row>1944</xdr:row>
          <xdr:rowOff>38100</xdr:rowOff>
        </xdr:to>
        <xdr:sp macro="" textlink="">
          <xdr:nvSpPr>
            <xdr:cNvPr id="1710" name="Button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7</xdr:col>
          <xdr:colOff>0</xdr:colOff>
          <xdr:row>1945</xdr:row>
          <xdr:rowOff>161925</xdr:rowOff>
        </xdr:to>
        <xdr:sp macro="" textlink="">
          <xdr:nvSpPr>
            <xdr:cNvPr id="1709" name="Button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7</xdr:col>
          <xdr:colOff>0</xdr:colOff>
          <xdr:row>1946</xdr:row>
          <xdr:rowOff>161925</xdr:rowOff>
        </xdr:to>
        <xdr:sp macro="" textlink="">
          <xdr:nvSpPr>
            <xdr:cNvPr id="1708" name="Button 684"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7</xdr:col>
          <xdr:colOff>0</xdr:colOff>
          <xdr:row>1947</xdr:row>
          <xdr:rowOff>161925</xdr:rowOff>
        </xdr:to>
        <xdr:sp macro="" textlink="">
          <xdr:nvSpPr>
            <xdr:cNvPr id="1707" name="Button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1948</xdr:row>
          <xdr:rowOff>0</xdr:rowOff>
        </xdr:from>
        <xdr:to>
          <xdr:col>7</xdr:col>
          <xdr:colOff>0</xdr:colOff>
          <xdr:row>1948</xdr:row>
          <xdr:rowOff>161925</xdr:rowOff>
        </xdr:to>
        <xdr:sp macro="" textlink="">
          <xdr:nvSpPr>
            <xdr:cNvPr id="1706" name="Button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7</xdr:col>
          <xdr:colOff>0</xdr:colOff>
          <xdr:row>1949</xdr:row>
          <xdr:rowOff>161925</xdr:rowOff>
        </xdr:to>
        <xdr:sp macro="" textlink="">
          <xdr:nvSpPr>
            <xdr:cNvPr id="1705" name="Button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1950</xdr:row>
          <xdr:rowOff>0</xdr:rowOff>
        </xdr:from>
        <xdr:to>
          <xdr:col>7</xdr:col>
          <xdr:colOff>0</xdr:colOff>
          <xdr:row>1950</xdr:row>
          <xdr:rowOff>161925</xdr:rowOff>
        </xdr:to>
        <xdr:sp macro="" textlink="">
          <xdr:nvSpPr>
            <xdr:cNvPr id="1704" name="Button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7</xdr:col>
          <xdr:colOff>0</xdr:colOff>
          <xdr:row>1951</xdr:row>
          <xdr:rowOff>161925</xdr:rowOff>
        </xdr:to>
        <xdr:sp macro="" textlink="">
          <xdr:nvSpPr>
            <xdr:cNvPr id="1703" name="Button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7</xdr:col>
          <xdr:colOff>0</xdr:colOff>
          <xdr:row>1952</xdr:row>
          <xdr:rowOff>161925</xdr:rowOff>
        </xdr:to>
        <xdr:sp macro="" textlink="">
          <xdr:nvSpPr>
            <xdr:cNvPr id="1702" name="Button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7</xdr:col>
          <xdr:colOff>0</xdr:colOff>
          <xdr:row>1953</xdr:row>
          <xdr:rowOff>161925</xdr:rowOff>
        </xdr:to>
        <xdr:sp macro="" textlink="">
          <xdr:nvSpPr>
            <xdr:cNvPr id="1701" name="Button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7</xdr:col>
          <xdr:colOff>0</xdr:colOff>
          <xdr:row>1954</xdr:row>
          <xdr:rowOff>161925</xdr:rowOff>
        </xdr:to>
        <xdr:sp macro="" textlink="">
          <xdr:nvSpPr>
            <xdr:cNvPr id="1700" name="Button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1955</xdr:row>
          <xdr:rowOff>0</xdr:rowOff>
        </xdr:from>
        <xdr:to>
          <xdr:col>7</xdr:col>
          <xdr:colOff>0</xdr:colOff>
          <xdr:row>1955</xdr:row>
          <xdr:rowOff>161925</xdr:rowOff>
        </xdr:to>
        <xdr:sp macro="" textlink="">
          <xdr:nvSpPr>
            <xdr:cNvPr id="1699" name="Button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7</xdr:col>
          <xdr:colOff>0</xdr:colOff>
          <xdr:row>1956</xdr:row>
          <xdr:rowOff>161925</xdr:rowOff>
        </xdr:to>
        <xdr:sp macro="" textlink="">
          <xdr:nvSpPr>
            <xdr:cNvPr id="1698" name="Button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7</xdr:col>
          <xdr:colOff>0</xdr:colOff>
          <xdr:row>1960</xdr:row>
          <xdr:rowOff>0</xdr:rowOff>
        </xdr:to>
        <xdr:sp macro="" textlink="">
          <xdr:nvSpPr>
            <xdr:cNvPr id="1697" name="Button 673" hidden="1">
              <a:extLst>
                <a:ext uri="{63B3BB69-23CF-44E3-9099-C40C66FF867C}">
                  <a14:compatExt spid="_x0000_s1697"/>
                </a:ext>
                <a:ext uri="{FF2B5EF4-FFF2-40B4-BE49-F238E27FC236}">
                  <a16:creationId xmlns:a16="http://schemas.microsoft.com/office/drawing/2014/main" id="{00000000-0008-0000-0000-0000A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1966</xdr:row>
          <xdr:rowOff>0</xdr:rowOff>
        </xdr:from>
        <xdr:to>
          <xdr:col>7</xdr:col>
          <xdr:colOff>0</xdr:colOff>
          <xdr:row>1966</xdr:row>
          <xdr:rowOff>38100</xdr:rowOff>
        </xdr:to>
        <xdr:sp macro="" textlink="">
          <xdr:nvSpPr>
            <xdr:cNvPr id="1696" name="Button 672" hidden="1">
              <a:extLst>
                <a:ext uri="{63B3BB69-23CF-44E3-9099-C40C66FF867C}">
                  <a14:compatExt spid="_x0000_s1696"/>
                </a:ext>
                <a:ext uri="{FF2B5EF4-FFF2-40B4-BE49-F238E27FC236}">
                  <a16:creationId xmlns:a16="http://schemas.microsoft.com/office/drawing/2014/main" id="{00000000-0008-0000-0000-0000A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7</xdr:col>
          <xdr:colOff>0</xdr:colOff>
          <xdr:row>1967</xdr:row>
          <xdr:rowOff>161925</xdr:rowOff>
        </xdr:to>
        <xdr:sp macro="" textlink="">
          <xdr:nvSpPr>
            <xdr:cNvPr id="1695" name="Button 671" hidden="1">
              <a:extLst>
                <a:ext uri="{63B3BB69-23CF-44E3-9099-C40C66FF867C}">
                  <a14:compatExt spid="_x0000_s1695"/>
                </a:ext>
                <a:ext uri="{FF2B5EF4-FFF2-40B4-BE49-F238E27FC236}">
                  <a16:creationId xmlns:a16="http://schemas.microsoft.com/office/drawing/2014/main" id="{00000000-0008-0000-0000-00009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7</xdr:col>
          <xdr:colOff>0</xdr:colOff>
          <xdr:row>1968</xdr:row>
          <xdr:rowOff>161925</xdr:rowOff>
        </xdr:to>
        <xdr:sp macro="" textlink="">
          <xdr:nvSpPr>
            <xdr:cNvPr id="1694" name="Button 670" hidden="1">
              <a:extLst>
                <a:ext uri="{63B3BB69-23CF-44E3-9099-C40C66FF867C}">
                  <a14:compatExt spid="_x0000_s1694"/>
                </a:ext>
                <a:ext uri="{FF2B5EF4-FFF2-40B4-BE49-F238E27FC236}">
                  <a16:creationId xmlns:a16="http://schemas.microsoft.com/office/drawing/2014/main" id="{00000000-0008-0000-0000-00009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7</xdr:col>
          <xdr:colOff>0</xdr:colOff>
          <xdr:row>1969</xdr:row>
          <xdr:rowOff>161925</xdr:rowOff>
        </xdr:to>
        <xdr:sp macro="" textlink="">
          <xdr:nvSpPr>
            <xdr:cNvPr id="1693" name="Button 669" hidden="1">
              <a:extLst>
                <a:ext uri="{63B3BB69-23CF-44E3-9099-C40C66FF867C}">
                  <a14:compatExt spid="_x0000_s1693"/>
                </a:ext>
                <a:ext uri="{FF2B5EF4-FFF2-40B4-BE49-F238E27FC236}">
                  <a16:creationId xmlns:a16="http://schemas.microsoft.com/office/drawing/2014/main" id="{00000000-0008-0000-0000-00009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7</xdr:col>
          <xdr:colOff>0</xdr:colOff>
          <xdr:row>1970</xdr:row>
          <xdr:rowOff>161925</xdr:rowOff>
        </xdr:to>
        <xdr:sp macro="" textlink="">
          <xdr:nvSpPr>
            <xdr:cNvPr id="1692" name="Button 668" hidden="1">
              <a:extLst>
                <a:ext uri="{63B3BB69-23CF-44E3-9099-C40C66FF867C}">
                  <a14:compatExt spid="_x0000_s1692"/>
                </a:ext>
                <a:ext uri="{FF2B5EF4-FFF2-40B4-BE49-F238E27FC236}">
                  <a16:creationId xmlns:a16="http://schemas.microsoft.com/office/drawing/2014/main" id="{00000000-0008-0000-0000-00009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7</xdr:col>
          <xdr:colOff>0</xdr:colOff>
          <xdr:row>1971</xdr:row>
          <xdr:rowOff>161925</xdr:rowOff>
        </xdr:to>
        <xdr:sp macro="" textlink="">
          <xdr:nvSpPr>
            <xdr:cNvPr id="1691" name="Button 667" hidden="1">
              <a:extLst>
                <a:ext uri="{63B3BB69-23CF-44E3-9099-C40C66FF867C}">
                  <a14:compatExt spid="_x0000_s1691"/>
                </a:ext>
                <a:ext uri="{FF2B5EF4-FFF2-40B4-BE49-F238E27FC236}">
                  <a16:creationId xmlns:a16="http://schemas.microsoft.com/office/drawing/2014/main" id="{00000000-0008-0000-0000-00009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7</xdr:col>
          <xdr:colOff>0</xdr:colOff>
          <xdr:row>1972</xdr:row>
          <xdr:rowOff>161925</xdr:rowOff>
        </xdr:to>
        <xdr:sp macro="" textlink="">
          <xdr:nvSpPr>
            <xdr:cNvPr id="1690" name="Button 666" hidden="1">
              <a:extLst>
                <a:ext uri="{63B3BB69-23CF-44E3-9099-C40C66FF867C}">
                  <a14:compatExt spid="_x0000_s1690"/>
                </a:ext>
                <a:ext uri="{FF2B5EF4-FFF2-40B4-BE49-F238E27FC236}">
                  <a16:creationId xmlns:a16="http://schemas.microsoft.com/office/drawing/2014/main" id="{00000000-0008-0000-0000-00009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7</xdr:col>
          <xdr:colOff>0</xdr:colOff>
          <xdr:row>1976</xdr:row>
          <xdr:rowOff>0</xdr:rowOff>
        </xdr:to>
        <xdr:sp macro="" textlink="">
          <xdr:nvSpPr>
            <xdr:cNvPr id="1689" name="Button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1982</xdr:row>
          <xdr:rowOff>0</xdr:rowOff>
        </xdr:from>
        <xdr:to>
          <xdr:col>7</xdr:col>
          <xdr:colOff>0</xdr:colOff>
          <xdr:row>1982</xdr:row>
          <xdr:rowOff>38100</xdr:rowOff>
        </xdr:to>
        <xdr:sp macro="" textlink="">
          <xdr:nvSpPr>
            <xdr:cNvPr id="1688" name="Button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1983</xdr:row>
          <xdr:rowOff>0</xdr:rowOff>
        </xdr:from>
        <xdr:to>
          <xdr:col>7</xdr:col>
          <xdr:colOff>0</xdr:colOff>
          <xdr:row>1983</xdr:row>
          <xdr:rowOff>161925</xdr:rowOff>
        </xdr:to>
        <xdr:sp macro="" textlink="">
          <xdr:nvSpPr>
            <xdr:cNvPr id="1687" name="Button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1986</xdr:row>
          <xdr:rowOff>0</xdr:rowOff>
        </xdr:from>
        <xdr:to>
          <xdr:col>7</xdr:col>
          <xdr:colOff>0</xdr:colOff>
          <xdr:row>1987</xdr:row>
          <xdr:rowOff>0</xdr:rowOff>
        </xdr:to>
        <xdr:sp macro="" textlink="">
          <xdr:nvSpPr>
            <xdr:cNvPr id="1686" name="Button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7</xdr:col>
          <xdr:colOff>0</xdr:colOff>
          <xdr:row>1993</xdr:row>
          <xdr:rowOff>38100</xdr:rowOff>
        </xdr:to>
        <xdr:sp macro="" textlink="">
          <xdr:nvSpPr>
            <xdr:cNvPr id="1685" name="Button 661"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1994</xdr:row>
          <xdr:rowOff>0</xdr:rowOff>
        </xdr:from>
        <xdr:to>
          <xdr:col>7</xdr:col>
          <xdr:colOff>0</xdr:colOff>
          <xdr:row>1994</xdr:row>
          <xdr:rowOff>161925</xdr:rowOff>
        </xdr:to>
        <xdr:sp macro="" textlink="">
          <xdr:nvSpPr>
            <xdr:cNvPr id="1684" name="Button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1997</xdr:row>
          <xdr:rowOff>0</xdr:rowOff>
        </xdr:from>
        <xdr:to>
          <xdr:col>7</xdr:col>
          <xdr:colOff>0</xdr:colOff>
          <xdr:row>1998</xdr:row>
          <xdr:rowOff>0</xdr:rowOff>
        </xdr:to>
        <xdr:sp macro="" textlink="">
          <xdr:nvSpPr>
            <xdr:cNvPr id="1683" name="Button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2004</xdr:row>
          <xdr:rowOff>0</xdr:rowOff>
        </xdr:from>
        <xdr:to>
          <xdr:col>7</xdr:col>
          <xdr:colOff>0</xdr:colOff>
          <xdr:row>2004</xdr:row>
          <xdr:rowOff>38100</xdr:rowOff>
        </xdr:to>
        <xdr:sp macro="" textlink="">
          <xdr:nvSpPr>
            <xdr:cNvPr id="1682" name="Button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2005</xdr:row>
          <xdr:rowOff>0</xdr:rowOff>
        </xdr:from>
        <xdr:to>
          <xdr:col>7</xdr:col>
          <xdr:colOff>0</xdr:colOff>
          <xdr:row>2005</xdr:row>
          <xdr:rowOff>161925</xdr:rowOff>
        </xdr:to>
        <xdr:sp macro="" textlink="">
          <xdr:nvSpPr>
            <xdr:cNvPr id="1681" name="Button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2006</xdr:row>
          <xdr:rowOff>0</xdr:rowOff>
        </xdr:from>
        <xdr:to>
          <xdr:col>7</xdr:col>
          <xdr:colOff>0</xdr:colOff>
          <xdr:row>2006</xdr:row>
          <xdr:rowOff>161925</xdr:rowOff>
        </xdr:to>
        <xdr:sp macro="" textlink="">
          <xdr:nvSpPr>
            <xdr:cNvPr id="1680" name="Button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2007</xdr:row>
          <xdr:rowOff>0</xdr:rowOff>
        </xdr:from>
        <xdr:to>
          <xdr:col>7</xdr:col>
          <xdr:colOff>0</xdr:colOff>
          <xdr:row>2007</xdr:row>
          <xdr:rowOff>161925</xdr:rowOff>
        </xdr:to>
        <xdr:sp macro="" textlink="">
          <xdr:nvSpPr>
            <xdr:cNvPr id="1679" name="Button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2010</xdr:row>
          <xdr:rowOff>0</xdr:rowOff>
        </xdr:from>
        <xdr:to>
          <xdr:col>7</xdr:col>
          <xdr:colOff>0</xdr:colOff>
          <xdr:row>2011</xdr:row>
          <xdr:rowOff>0</xdr:rowOff>
        </xdr:to>
        <xdr:sp macro="" textlink="">
          <xdr:nvSpPr>
            <xdr:cNvPr id="1678" name="Button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2017</xdr:row>
          <xdr:rowOff>0</xdr:rowOff>
        </xdr:from>
        <xdr:to>
          <xdr:col>7</xdr:col>
          <xdr:colOff>0</xdr:colOff>
          <xdr:row>2017</xdr:row>
          <xdr:rowOff>38100</xdr:rowOff>
        </xdr:to>
        <xdr:sp macro="" textlink="">
          <xdr:nvSpPr>
            <xdr:cNvPr id="1677" name="Button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2018</xdr:row>
          <xdr:rowOff>0</xdr:rowOff>
        </xdr:from>
        <xdr:to>
          <xdr:col>7</xdr:col>
          <xdr:colOff>0</xdr:colOff>
          <xdr:row>2018</xdr:row>
          <xdr:rowOff>161925</xdr:rowOff>
        </xdr:to>
        <xdr:sp macro="" textlink="">
          <xdr:nvSpPr>
            <xdr:cNvPr id="1676" name="Button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2021</xdr:row>
          <xdr:rowOff>0</xdr:rowOff>
        </xdr:from>
        <xdr:to>
          <xdr:col>7</xdr:col>
          <xdr:colOff>0</xdr:colOff>
          <xdr:row>2022</xdr:row>
          <xdr:rowOff>0</xdr:rowOff>
        </xdr:to>
        <xdr:sp macro="" textlink="">
          <xdr:nvSpPr>
            <xdr:cNvPr id="1675" name="Button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2028</xdr:row>
          <xdr:rowOff>0</xdr:rowOff>
        </xdr:from>
        <xdr:to>
          <xdr:col>7</xdr:col>
          <xdr:colOff>0</xdr:colOff>
          <xdr:row>2028</xdr:row>
          <xdr:rowOff>38100</xdr:rowOff>
        </xdr:to>
        <xdr:sp macro="" textlink="">
          <xdr:nvSpPr>
            <xdr:cNvPr id="1674" name="Butto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2029</xdr:row>
          <xdr:rowOff>0</xdr:rowOff>
        </xdr:from>
        <xdr:to>
          <xdr:col>7</xdr:col>
          <xdr:colOff>0</xdr:colOff>
          <xdr:row>2029</xdr:row>
          <xdr:rowOff>161925</xdr:rowOff>
        </xdr:to>
        <xdr:sp macro="" textlink="">
          <xdr:nvSpPr>
            <xdr:cNvPr id="1673" name="Button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2032</xdr:row>
          <xdr:rowOff>0</xdr:rowOff>
        </xdr:from>
        <xdr:to>
          <xdr:col>7</xdr:col>
          <xdr:colOff>0</xdr:colOff>
          <xdr:row>2033</xdr:row>
          <xdr:rowOff>0</xdr:rowOff>
        </xdr:to>
        <xdr:sp macro="" textlink="">
          <xdr:nvSpPr>
            <xdr:cNvPr id="1672" name="Button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2039</xdr:row>
          <xdr:rowOff>0</xdr:rowOff>
        </xdr:from>
        <xdr:to>
          <xdr:col>7</xdr:col>
          <xdr:colOff>0</xdr:colOff>
          <xdr:row>2039</xdr:row>
          <xdr:rowOff>38100</xdr:rowOff>
        </xdr:to>
        <xdr:sp macro="" textlink="">
          <xdr:nvSpPr>
            <xdr:cNvPr id="1671" name="Button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2040</xdr:row>
          <xdr:rowOff>0</xdr:rowOff>
        </xdr:from>
        <xdr:to>
          <xdr:col>7</xdr:col>
          <xdr:colOff>0</xdr:colOff>
          <xdr:row>2040</xdr:row>
          <xdr:rowOff>161925</xdr:rowOff>
        </xdr:to>
        <xdr:sp macro="" textlink="">
          <xdr:nvSpPr>
            <xdr:cNvPr id="1670" name="Button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2043</xdr:row>
          <xdr:rowOff>0</xdr:rowOff>
        </xdr:from>
        <xdr:to>
          <xdr:col>7</xdr:col>
          <xdr:colOff>0</xdr:colOff>
          <xdr:row>2044</xdr:row>
          <xdr:rowOff>0</xdr:rowOff>
        </xdr:to>
        <xdr:sp macro="" textlink="">
          <xdr:nvSpPr>
            <xdr:cNvPr id="1669" name="Button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2050</xdr:row>
          <xdr:rowOff>0</xdr:rowOff>
        </xdr:from>
        <xdr:to>
          <xdr:col>7</xdr:col>
          <xdr:colOff>0</xdr:colOff>
          <xdr:row>2050</xdr:row>
          <xdr:rowOff>38100</xdr:rowOff>
        </xdr:to>
        <xdr:sp macro="" textlink="">
          <xdr:nvSpPr>
            <xdr:cNvPr id="1668" name="Button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2051</xdr:row>
          <xdr:rowOff>0</xdr:rowOff>
        </xdr:from>
        <xdr:to>
          <xdr:col>7</xdr:col>
          <xdr:colOff>0</xdr:colOff>
          <xdr:row>2051</xdr:row>
          <xdr:rowOff>161925</xdr:rowOff>
        </xdr:to>
        <xdr:sp macro="" textlink="">
          <xdr:nvSpPr>
            <xdr:cNvPr id="1667" name="Button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2054</xdr:row>
          <xdr:rowOff>0</xdr:rowOff>
        </xdr:from>
        <xdr:to>
          <xdr:col>7</xdr:col>
          <xdr:colOff>0</xdr:colOff>
          <xdr:row>2055</xdr:row>
          <xdr:rowOff>0</xdr:rowOff>
        </xdr:to>
        <xdr:sp macro="" textlink="">
          <xdr:nvSpPr>
            <xdr:cNvPr id="1666" name="Button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2061</xdr:row>
          <xdr:rowOff>0</xdr:rowOff>
        </xdr:from>
        <xdr:to>
          <xdr:col>7</xdr:col>
          <xdr:colOff>0</xdr:colOff>
          <xdr:row>2061</xdr:row>
          <xdr:rowOff>38100</xdr:rowOff>
        </xdr:to>
        <xdr:sp macro="" textlink="">
          <xdr:nvSpPr>
            <xdr:cNvPr id="1665" name="Button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2062</xdr:row>
          <xdr:rowOff>0</xdr:rowOff>
        </xdr:from>
        <xdr:to>
          <xdr:col>7</xdr:col>
          <xdr:colOff>0</xdr:colOff>
          <xdr:row>2062</xdr:row>
          <xdr:rowOff>161925</xdr:rowOff>
        </xdr:to>
        <xdr:sp macro="" textlink="">
          <xdr:nvSpPr>
            <xdr:cNvPr id="1664" name="Button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2065</xdr:row>
          <xdr:rowOff>0</xdr:rowOff>
        </xdr:from>
        <xdr:to>
          <xdr:col>7</xdr:col>
          <xdr:colOff>0</xdr:colOff>
          <xdr:row>2066</xdr:row>
          <xdr:rowOff>0</xdr:rowOff>
        </xdr:to>
        <xdr:sp macro="" textlink="">
          <xdr:nvSpPr>
            <xdr:cNvPr id="1663" name="Button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2072</xdr:row>
          <xdr:rowOff>0</xdr:rowOff>
        </xdr:from>
        <xdr:to>
          <xdr:col>7</xdr:col>
          <xdr:colOff>0</xdr:colOff>
          <xdr:row>2072</xdr:row>
          <xdr:rowOff>38100</xdr:rowOff>
        </xdr:to>
        <xdr:sp macro="" textlink="">
          <xdr:nvSpPr>
            <xdr:cNvPr id="1662" name="Button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2073</xdr:row>
          <xdr:rowOff>0</xdr:rowOff>
        </xdr:from>
        <xdr:to>
          <xdr:col>7</xdr:col>
          <xdr:colOff>0</xdr:colOff>
          <xdr:row>2073</xdr:row>
          <xdr:rowOff>161925</xdr:rowOff>
        </xdr:to>
        <xdr:sp macro="" textlink="">
          <xdr:nvSpPr>
            <xdr:cNvPr id="1661" name="Button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2076</xdr:row>
          <xdr:rowOff>0</xdr:rowOff>
        </xdr:from>
        <xdr:to>
          <xdr:col>7</xdr:col>
          <xdr:colOff>0</xdr:colOff>
          <xdr:row>2077</xdr:row>
          <xdr:rowOff>0</xdr:rowOff>
        </xdr:to>
        <xdr:sp macro="" textlink="">
          <xdr:nvSpPr>
            <xdr:cNvPr id="1660" name="Button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2083</xdr:row>
          <xdr:rowOff>0</xdr:rowOff>
        </xdr:from>
        <xdr:to>
          <xdr:col>7</xdr:col>
          <xdr:colOff>0</xdr:colOff>
          <xdr:row>2083</xdr:row>
          <xdr:rowOff>38100</xdr:rowOff>
        </xdr:to>
        <xdr:sp macro="" textlink="">
          <xdr:nvSpPr>
            <xdr:cNvPr id="1659" name="Button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2084</xdr:row>
          <xdr:rowOff>0</xdr:rowOff>
        </xdr:from>
        <xdr:to>
          <xdr:col>7</xdr:col>
          <xdr:colOff>0</xdr:colOff>
          <xdr:row>2084</xdr:row>
          <xdr:rowOff>161925</xdr:rowOff>
        </xdr:to>
        <xdr:sp macro="" textlink="">
          <xdr:nvSpPr>
            <xdr:cNvPr id="1658" name="Button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7</xdr:col>
          <xdr:colOff>0</xdr:colOff>
          <xdr:row>2088</xdr:row>
          <xdr:rowOff>0</xdr:rowOff>
        </xdr:to>
        <xdr:sp macro="" textlink="">
          <xdr:nvSpPr>
            <xdr:cNvPr id="1657" name="Button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2094</xdr:row>
          <xdr:rowOff>0</xdr:rowOff>
        </xdr:from>
        <xdr:to>
          <xdr:col>7</xdr:col>
          <xdr:colOff>0</xdr:colOff>
          <xdr:row>2094</xdr:row>
          <xdr:rowOff>38100</xdr:rowOff>
        </xdr:to>
        <xdr:sp macro="" textlink="">
          <xdr:nvSpPr>
            <xdr:cNvPr id="1656" name="Button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2095</xdr:row>
          <xdr:rowOff>0</xdr:rowOff>
        </xdr:from>
        <xdr:to>
          <xdr:col>7</xdr:col>
          <xdr:colOff>0</xdr:colOff>
          <xdr:row>2095</xdr:row>
          <xdr:rowOff>161925</xdr:rowOff>
        </xdr:to>
        <xdr:sp macro="" textlink="">
          <xdr:nvSpPr>
            <xdr:cNvPr id="1655" name="Button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2098</xdr:row>
          <xdr:rowOff>0</xdr:rowOff>
        </xdr:from>
        <xdr:to>
          <xdr:col>7</xdr:col>
          <xdr:colOff>0</xdr:colOff>
          <xdr:row>2099</xdr:row>
          <xdr:rowOff>0</xdr:rowOff>
        </xdr:to>
        <xdr:sp macro="" textlink="">
          <xdr:nvSpPr>
            <xdr:cNvPr id="1654" name="Button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2105</xdr:row>
          <xdr:rowOff>0</xdr:rowOff>
        </xdr:from>
        <xdr:to>
          <xdr:col>7</xdr:col>
          <xdr:colOff>0</xdr:colOff>
          <xdr:row>2105</xdr:row>
          <xdr:rowOff>38100</xdr:rowOff>
        </xdr:to>
        <xdr:sp macro="" textlink="">
          <xdr:nvSpPr>
            <xdr:cNvPr id="1653" name="Button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2106</xdr:row>
          <xdr:rowOff>0</xdr:rowOff>
        </xdr:from>
        <xdr:to>
          <xdr:col>7</xdr:col>
          <xdr:colOff>0</xdr:colOff>
          <xdr:row>2106</xdr:row>
          <xdr:rowOff>161925</xdr:rowOff>
        </xdr:to>
        <xdr:sp macro="" textlink="">
          <xdr:nvSpPr>
            <xdr:cNvPr id="1652" name="Button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2109</xdr:row>
          <xdr:rowOff>0</xdr:rowOff>
        </xdr:from>
        <xdr:to>
          <xdr:col>7</xdr:col>
          <xdr:colOff>0</xdr:colOff>
          <xdr:row>2110</xdr:row>
          <xdr:rowOff>0</xdr:rowOff>
        </xdr:to>
        <xdr:sp macro="" textlink="">
          <xdr:nvSpPr>
            <xdr:cNvPr id="1651" name="Button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2116</xdr:row>
          <xdr:rowOff>0</xdr:rowOff>
        </xdr:from>
        <xdr:to>
          <xdr:col>7</xdr:col>
          <xdr:colOff>0</xdr:colOff>
          <xdr:row>2116</xdr:row>
          <xdr:rowOff>38100</xdr:rowOff>
        </xdr:to>
        <xdr:sp macro="" textlink="">
          <xdr:nvSpPr>
            <xdr:cNvPr id="1650" name="Button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2117</xdr:row>
          <xdr:rowOff>0</xdr:rowOff>
        </xdr:from>
        <xdr:to>
          <xdr:col>7</xdr:col>
          <xdr:colOff>0</xdr:colOff>
          <xdr:row>2117</xdr:row>
          <xdr:rowOff>161925</xdr:rowOff>
        </xdr:to>
        <xdr:sp macro="" textlink="">
          <xdr:nvSpPr>
            <xdr:cNvPr id="1649" name="Button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2120</xdr:row>
          <xdr:rowOff>0</xdr:rowOff>
        </xdr:from>
        <xdr:to>
          <xdr:col>7</xdr:col>
          <xdr:colOff>0</xdr:colOff>
          <xdr:row>2121</xdr:row>
          <xdr:rowOff>0</xdr:rowOff>
        </xdr:to>
        <xdr:sp macro="" textlink="">
          <xdr:nvSpPr>
            <xdr:cNvPr id="1648" name="Button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2127</xdr:row>
          <xdr:rowOff>0</xdr:rowOff>
        </xdr:from>
        <xdr:to>
          <xdr:col>7</xdr:col>
          <xdr:colOff>0</xdr:colOff>
          <xdr:row>2127</xdr:row>
          <xdr:rowOff>38100</xdr:rowOff>
        </xdr:to>
        <xdr:sp macro="" textlink="">
          <xdr:nvSpPr>
            <xdr:cNvPr id="1647" name="Button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2128</xdr:row>
          <xdr:rowOff>0</xdr:rowOff>
        </xdr:from>
        <xdr:to>
          <xdr:col>7</xdr:col>
          <xdr:colOff>0</xdr:colOff>
          <xdr:row>2128</xdr:row>
          <xdr:rowOff>161925</xdr:rowOff>
        </xdr:to>
        <xdr:sp macro="" textlink="">
          <xdr:nvSpPr>
            <xdr:cNvPr id="1646" name="Button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2131</xdr:row>
          <xdr:rowOff>0</xdr:rowOff>
        </xdr:from>
        <xdr:to>
          <xdr:col>7</xdr:col>
          <xdr:colOff>0</xdr:colOff>
          <xdr:row>2132</xdr:row>
          <xdr:rowOff>0</xdr:rowOff>
        </xdr:to>
        <xdr:sp macro="" textlink="">
          <xdr:nvSpPr>
            <xdr:cNvPr id="1645" name="Button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2138</xdr:row>
          <xdr:rowOff>0</xdr:rowOff>
        </xdr:from>
        <xdr:to>
          <xdr:col>7</xdr:col>
          <xdr:colOff>0</xdr:colOff>
          <xdr:row>2138</xdr:row>
          <xdr:rowOff>38100</xdr:rowOff>
        </xdr:to>
        <xdr:sp macro="" textlink="">
          <xdr:nvSpPr>
            <xdr:cNvPr id="1644" name="Button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2139</xdr:row>
          <xdr:rowOff>0</xdr:rowOff>
        </xdr:from>
        <xdr:to>
          <xdr:col>7</xdr:col>
          <xdr:colOff>0</xdr:colOff>
          <xdr:row>2139</xdr:row>
          <xdr:rowOff>161925</xdr:rowOff>
        </xdr:to>
        <xdr:sp macro="" textlink="">
          <xdr:nvSpPr>
            <xdr:cNvPr id="1643" name="Button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2142</xdr:row>
          <xdr:rowOff>0</xdr:rowOff>
        </xdr:from>
        <xdr:to>
          <xdr:col>7</xdr:col>
          <xdr:colOff>0</xdr:colOff>
          <xdr:row>2143</xdr:row>
          <xdr:rowOff>0</xdr:rowOff>
        </xdr:to>
        <xdr:sp macro="" textlink="">
          <xdr:nvSpPr>
            <xdr:cNvPr id="1642" name="Button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2149</xdr:row>
          <xdr:rowOff>0</xdr:rowOff>
        </xdr:from>
        <xdr:to>
          <xdr:col>7</xdr:col>
          <xdr:colOff>0</xdr:colOff>
          <xdr:row>2149</xdr:row>
          <xdr:rowOff>38100</xdr:rowOff>
        </xdr:to>
        <xdr:sp macro="" textlink="">
          <xdr:nvSpPr>
            <xdr:cNvPr id="1641" name="Button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2150</xdr:row>
          <xdr:rowOff>0</xdr:rowOff>
        </xdr:from>
        <xdr:to>
          <xdr:col>7</xdr:col>
          <xdr:colOff>0</xdr:colOff>
          <xdr:row>2150</xdr:row>
          <xdr:rowOff>161925</xdr:rowOff>
        </xdr:to>
        <xdr:sp macro="" textlink="">
          <xdr:nvSpPr>
            <xdr:cNvPr id="1640" name="Button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2151</xdr:row>
          <xdr:rowOff>0</xdr:rowOff>
        </xdr:from>
        <xdr:to>
          <xdr:col>7</xdr:col>
          <xdr:colOff>0</xdr:colOff>
          <xdr:row>2151</xdr:row>
          <xdr:rowOff>161925</xdr:rowOff>
        </xdr:to>
        <xdr:sp macro="" textlink="">
          <xdr:nvSpPr>
            <xdr:cNvPr id="1639" name="Button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2152</xdr:row>
          <xdr:rowOff>0</xdr:rowOff>
        </xdr:from>
        <xdr:to>
          <xdr:col>7</xdr:col>
          <xdr:colOff>0</xdr:colOff>
          <xdr:row>2152</xdr:row>
          <xdr:rowOff>161925</xdr:rowOff>
        </xdr:to>
        <xdr:sp macro="" textlink="">
          <xdr:nvSpPr>
            <xdr:cNvPr id="1638" name="Button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2153</xdr:row>
          <xdr:rowOff>0</xdr:rowOff>
        </xdr:from>
        <xdr:to>
          <xdr:col>7</xdr:col>
          <xdr:colOff>0</xdr:colOff>
          <xdr:row>2153</xdr:row>
          <xdr:rowOff>161925</xdr:rowOff>
        </xdr:to>
        <xdr:sp macro="" textlink="">
          <xdr:nvSpPr>
            <xdr:cNvPr id="1637" name="Button 613"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2154</xdr:row>
          <xdr:rowOff>0</xdr:rowOff>
        </xdr:from>
        <xdr:to>
          <xdr:col>7</xdr:col>
          <xdr:colOff>0</xdr:colOff>
          <xdr:row>2154</xdr:row>
          <xdr:rowOff>161925</xdr:rowOff>
        </xdr:to>
        <xdr:sp macro="" textlink="">
          <xdr:nvSpPr>
            <xdr:cNvPr id="1636" name="Button 612" hidden="1">
              <a:extLst>
                <a:ext uri="{63B3BB69-23CF-44E3-9099-C40C66FF867C}">
                  <a14:compatExt spid="_x0000_s1636"/>
                </a:ext>
                <a:ext uri="{FF2B5EF4-FFF2-40B4-BE49-F238E27FC236}">
                  <a16:creationId xmlns:a16="http://schemas.microsoft.com/office/drawing/2014/main" id="{00000000-0008-0000-0000-00006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2155</xdr:row>
          <xdr:rowOff>0</xdr:rowOff>
        </xdr:from>
        <xdr:to>
          <xdr:col>7</xdr:col>
          <xdr:colOff>0</xdr:colOff>
          <xdr:row>2155</xdr:row>
          <xdr:rowOff>161925</xdr:rowOff>
        </xdr:to>
        <xdr:sp macro="" textlink="">
          <xdr:nvSpPr>
            <xdr:cNvPr id="1635" name="Button 611"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2156</xdr:row>
          <xdr:rowOff>0</xdr:rowOff>
        </xdr:from>
        <xdr:to>
          <xdr:col>7</xdr:col>
          <xdr:colOff>0</xdr:colOff>
          <xdr:row>2156</xdr:row>
          <xdr:rowOff>161925</xdr:rowOff>
        </xdr:to>
        <xdr:sp macro="" textlink="">
          <xdr:nvSpPr>
            <xdr:cNvPr id="1634" name="Button 610" hidden="1">
              <a:extLst>
                <a:ext uri="{63B3BB69-23CF-44E3-9099-C40C66FF867C}">
                  <a14:compatExt spid="_x0000_s1634"/>
                </a:ext>
                <a:ext uri="{FF2B5EF4-FFF2-40B4-BE49-F238E27FC236}">
                  <a16:creationId xmlns:a16="http://schemas.microsoft.com/office/drawing/2014/main" id="{00000000-0008-0000-0000-00006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2157</xdr:row>
          <xdr:rowOff>0</xdr:rowOff>
        </xdr:from>
        <xdr:to>
          <xdr:col>7</xdr:col>
          <xdr:colOff>0</xdr:colOff>
          <xdr:row>2157</xdr:row>
          <xdr:rowOff>161925</xdr:rowOff>
        </xdr:to>
        <xdr:sp macro="" textlink="">
          <xdr:nvSpPr>
            <xdr:cNvPr id="1633" name="Button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2158</xdr:row>
          <xdr:rowOff>0</xdr:rowOff>
        </xdr:from>
        <xdr:to>
          <xdr:col>7</xdr:col>
          <xdr:colOff>0</xdr:colOff>
          <xdr:row>2158</xdr:row>
          <xdr:rowOff>161925</xdr:rowOff>
        </xdr:to>
        <xdr:sp macro="" textlink="">
          <xdr:nvSpPr>
            <xdr:cNvPr id="1632" name="Button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2159</xdr:row>
          <xdr:rowOff>0</xdr:rowOff>
        </xdr:from>
        <xdr:to>
          <xdr:col>7</xdr:col>
          <xdr:colOff>0</xdr:colOff>
          <xdr:row>2159</xdr:row>
          <xdr:rowOff>161925</xdr:rowOff>
        </xdr:to>
        <xdr:sp macro="" textlink="">
          <xdr:nvSpPr>
            <xdr:cNvPr id="1631" name="Button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2160</xdr:row>
          <xdr:rowOff>0</xdr:rowOff>
        </xdr:from>
        <xdr:to>
          <xdr:col>7</xdr:col>
          <xdr:colOff>0</xdr:colOff>
          <xdr:row>2160</xdr:row>
          <xdr:rowOff>161925</xdr:rowOff>
        </xdr:to>
        <xdr:sp macro="" textlink="">
          <xdr:nvSpPr>
            <xdr:cNvPr id="1630" name="Button 606" hidden="1">
              <a:extLst>
                <a:ext uri="{63B3BB69-23CF-44E3-9099-C40C66FF867C}">
                  <a14:compatExt spid="_x0000_s1630"/>
                </a:ext>
                <a:ext uri="{FF2B5EF4-FFF2-40B4-BE49-F238E27FC236}">
                  <a16:creationId xmlns:a16="http://schemas.microsoft.com/office/drawing/2014/main" id="{00000000-0008-0000-0000-00005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2161</xdr:row>
          <xdr:rowOff>0</xdr:rowOff>
        </xdr:from>
        <xdr:to>
          <xdr:col>7</xdr:col>
          <xdr:colOff>0</xdr:colOff>
          <xdr:row>2161</xdr:row>
          <xdr:rowOff>161925</xdr:rowOff>
        </xdr:to>
        <xdr:sp macro="" textlink="">
          <xdr:nvSpPr>
            <xdr:cNvPr id="1629" name="Button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2162</xdr:row>
          <xdr:rowOff>0</xdr:rowOff>
        </xdr:from>
        <xdr:to>
          <xdr:col>7</xdr:col>
          <xdr:colOff>0</xdr:colOff>
          <xdr:row>2162</xdr:row>
          <xdr:rowOff>161925</xdr:rowOff>
        </xdr:to>
        <xdr:sp macro="" textlink="">
          <xdr:nvSpPr>
            <xdr:cNvPr id="1628" name="Button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2163</xdr:row>
          <xdr:rowOff>0</xdr:rowOff>
        </xdr:from>
        <xdr:to>
          <xdr:col>7</xdr:col>
          <xdr:colOff>0</xdr:colOff>
          <xdr:row>2163</xdr:row>
          <xdr:rowOff>161925</xdr:rowOff>
        </xdr:to>
        <xdr:sp macro="" textlink="">
          <xdr:nvSpPr>
            <xdr:cNvPr id="1627" name="Button 603"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2164</xdr:row>
          <xdr:rowOff>0</xdr:rowOff>
        </xdr:from>
        <xdr:to>
          <xdr:col>7</xdr:col>
          <xdr:colOff>0</xdr:colOff>
          <xdr:row>2164</xdr:row>
          <xdr:rowOff>161925</xdr:rowOff>
        </xdr:to>
        <xdr:sp macro="" textlink="">
          <xdr:nvSpPr>
            <xdr:cNvPr id="1626" name="Button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2165</xdr:row>
          <xdr:rowOff>0</xdr:rowOff>
        </xdr:from>
        <xdr:to>
          <xdr:col>7</xdr:col>
          <xdr:colOff>0</xdr:colOff>
          <xdr:row>2165</xdr:row>
          <xdr:rowOff>161925</xdr:rowOff>
        </xdr:to>
        <xdr:sp macro="" textlink="">
          <xdr:nvSpPr>
            <xdr:cNvPr id="1625" name="Button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2166</xdr:row>
          <xdr:rowOff>0</xdr:rowOff>
        </xdr:from>
        <xdr:to>
          <xdr:col>7</xdr:col>
          <xdr:colOff>0</xdr:colOff>
          <xdr:row>2166</xdr:row>
          <xdr:rowOff>161925</xdr:rowOff>
        </xdr:to>
        <xdr:sp macro="" textlink="">
          <xdr:nvSpPr>
            <xdr:cNvPr id="1624" name="Button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2167</xdr:row>
          <xdr:rowOff>0</xdr:rowOff>
        </xdr:from>
        <xdr:to>
          <xdr:col>7</xdr:col>
          <xdr:colOff>0</xdr:colOff>
          <xdr:row>2167</xdr:row>
          <xdr:rowOff>161925</xdr:rowOff>
        </xdr:to>
        <xdr:sp macro="" textlink="">
          <xdr:nvSpPr>
            <xdr:cNvPr id="1623" name="Button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2168</xdr:row>
          <xdr:rowOff>0</xdr:rowOff>
        </xdr:from>
        <xdr:to>
          <xdr:col>7</xdr:col>
          <xdr:colOff>0</xdr:colOff>
          <xdr:row>2168</xdr:row>
          <xdr:rowOff>161925</xdr:rowOff>
        </xdr:to>
        <xdr:sp macro="" textlink="">
          <xdr:nvSpPr>
            <xdr:cNvPr id="1622" name="Button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2169</xdr:row>
          <xdr:rowOff>0</xdr:rowOff>
        </xdr:from>
        <xdr:to>
          <xdr:col>7</xdr:col>
          <xdr:colOff>0</xdr:colOff>
          <xdr:row>2169</xdr:row>
          <xdr:rowOff>161925</xdr:rowOff>
        </xdr:to>
        <xdr:sp macro="" textlink="">
          <xdr:nvSpPr>
            <xdr:cNvPr id="1621" name="Button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2170</xdr:row>
          <xdr:rowOff>0</xdr:rowOff>
        </xdr:from>
        <xdr:to>
          <xdr:col>7</xdr:col>
          <xdr:colOff>0</xdr:colOff>
          <xdr:row>2170</xdr:row>
          <xdr:rowOff>161925</xdr:rowOff>
        </xdr:to>
        <xdr:sp macro="" textlink="">
          <xdr:nvSpPr>
            <xdr:cNvPr id="1620" name="Button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2171</xdr:row>
          <xdr:rowOff>0</xdr:rowOff>
        </xdr:from>
        <xdr:to>
          <xdr:col>7</xdr:col>
          <xdr:colOff>0</xdr:colOff>
          <xdr:row>2171</xdr:row>
          <xdr:rowOff>161925</xdr:rowOff>
        </xdr:to>
        <xdr:sp macro="" textlink="">
          <xdr:nvSpPr>
            <xdr:cNvPr id="1619" name="Button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2172</xdr:row>
          <xdr:rowOff>0</xdr:rowOff>
        </xdr:from>
        <xdr:to>
          <xdr:col>7</xdr:col>
          <xdr:colOff>0</xdr:colOff>
          <xdr:row>2172</xdr:row>
          <xdr:rowOff>161925</xdr:rowOff>
        </xdr:to>
        <xdr:sp macro="" textlink="">
          <xdr:nvSpPr>
            <xdr:cNvPr id="1618" name="Button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2173</xdr:row>
          <xdr:rowOff>0</xdr:rowOff>
        </xdr:from>
        <xdr:to>
          <xdr:col>7</xdr:col>
          <xdr:colOff>0</xdr:colOff>
          <xdr:row>2173</xdr:row>
          <xdr:rowOff>161925</xdr:rowOff>
        </xdr:to>
        <xdr:sp macro="" textlink="">
          <xdr:nvSpPr>
            <xdr:cNvPr id="1617" name="Button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2174</xdr:row>
          <xdr:rowOff>0</xdr:rowOff>
        </xdr:from>
        <xdr:to>
          <xdr:col>7</xdr:col>
          <xdr:colOff>0</xdr:colOff>
          <xdr:row>2174</xdr:row>
          <xdr:rowOff>161925</xdr:rowOff>
        </xdr:to>
        <xdr:sp macro="" textlink="">
          <xdr:nvSpPr>
            <xdr:cNvPr id="1616" name="Button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2175</xdr:row>
          <xdr:rowOff>0</xdr:rowOff>
        </xdr:from>
        <xdr:to>
          <xdr:col>7</xdr:col>
          <xdr:colOff>0</xdr:colOff>
          <xdr:row>2175</xdr:row>
          <xdr:rowOff>161925</xdr:rowOff>
        </xdr:to>
        <xdr:sp macro="" textlink="">
          <xdr:nvSpPr>
            <xdr:cNvPr id="1615" name="Button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2176</xdr:row>
          <xdr:rowOff>0</xdr:rowOff>
        </xdr:from>
        <xdr:to>
          <xdr:col>7</xdr:col>
          <xdr:colOff>0</xdr:colOff>
          <xdr:row>2176</xdr:row>
          <xdr:rowOff>161925</xdr:rowOff>
        </xdr:to>
        <xdr:sp macro="" textlink="">
          <xdr:nvSpPr>
            <xdr:cNvPr id="1614" name="Button 590"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2177</xdr:row>
          <xdr:rowOff>0</xdr:rowOff>
        </xdr:from>
        <xdr:to>
          <xdr:col>7</xdr:col>
          <xdr:colOff>0</xdr:colOff>
          <xdr:row>2177</xdr:row>
          <xdr:rowOff>161925</xdr:rowOff>
        </xdr:to>
        <xdr:sp macro="" textlink="">
          <xdr:nvSpPr>
            <xdr:cNvPr id="1613" name="Button 589" hidden="1">
              <a:extLst>
                <a:ext uri="{63B3BB69-23CF-44E3-9099-C40C66FF867C}">
                  <a14:compatExt spid="_x0000_s1613"/>
                </a:ext>
                <a:ext uri="{FF2B5EF4-FFF2-40B4-BE49-F238E27FC236}">
                  <a16:creationId xmlns:a16="http://schemas.microsoft.com/office/drawing/2014/main" id="{00000000-0008-0000-0000-00004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2178</xdr:row>
          <xdr:rowOff>0</xdr:rowOff>
        </xdr:from>
        <xdr:to>
          <xdr:col>7</xdr:col>
          <xdr:colOff>0</xdr:colOff>
          <xdr:row>2178</xdr:row>
          <xdr:rowOff>161925</xdr:rowOff>
        </xdr:to>
        <xdr:sp macro="" textlink="">
          <xdr:nvSpPr>
            <xdr:cNvPr id="1612" name="Button 588" hidden="1">
              <a:extLst>
                <a:ext uri="{63B3BB69-23CF-44E3-9099-C40C66FF867C}">
                  <a14:compatExt spid="_x0000_s1612"/>
                </a:ext>
                <a:ext uri="{FF2B5EF4-FFF2-40B4-BE49-F238E27FC236}">
                  <a16:creationId xmlns:a16="http://schemas.microsoft.com/office/drawing/2014/main" id="{00000000-0008-0000-0000-00004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2179</xdr:row>
          <xdr:rowOff>0</xdr:rowOff>
        </xdr:from>
        <xdr:to>
          <xdr:col>7</xdr:col>
          <xdr:colOff>0</xdr:colOff>
          <xdr:row>2179</xdr:row>
          <xdr:rowOff>161925</xdr:rowOff>
        </xdr:to>
        <xdr:sp macro="" textlink="">
          <xdr:nvSpPr>
            <xdr:cNvPr id="1611" name="Button 587" hidden="1">
              <a:extLst>
                <a:ext uri="{63B3BB69-23CF-44E3-9099-C40C66FF867C}">
                  <a14:compatExt spid="_x0000_s1611"/>
                </a:ext>
                <a:ext uri="{FF2B5EF4-FFF2-40B4-BE49-F238E27FC236}">
                  <a16:creationId xmlns:a16="http://schemas.microsoft.com/office/drawing/2014/main" id="{00000000-0008-0000-0000-00004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2180</xdr:row>
          <xdr:rowOff>0</xdr:rowOff>
        </xdr:from>
        <xdr:to>
          <xdr:col>7</xdr:col>
          <xdr:colOff>0</xdr:colOff>
          <xdr:row>2180</xdr:row>
          <xdr:rowOff>161925</xdr:rowOff>
        </xdr:to>
        <xdr:sp macro="" textlink="">
          <xdr:nvSpPr>
            <xdr:cNvPr id="1610" name="Button 586"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2181</xdr:row>
          <xdr:rowOff>0</xdr:rowOff>
        </xdr:from>
        <xdr:to>
          <xdr:col>7</xdr:col>
          <xdr:colOff>0</xdr:colOff>
          <xdr:row>2181</xdr:row>
          <xdr:rowOff>161925</xdr:rowOff>
        </xdr:to>
        <xdr:sp macro="" textlink="">
          <xdr:nvSpPr>
            <xdr:cNvPr id="1609" name="Button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2182</xdr:row>
          <xdr:rowOff>0</xdr:rowOff>
        </xdr:from>
        <xdr:to>
          <xdr:col>7</xdr:col>
          <xdr:colOff>0</xdr:colOff>
          <xdr:row>2182</xdr:row>
          <xdr:rowOff>161925</xdr:rowOff>
        </xdr:to>
        <xdr:sp macro="" textlink="">
          <xdr:nvSpPr>
            <xdr:cNvPr id="1608" name="Button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2183</xdr:row>
          <xdr:rowOff>0</xdr:rowOff>
        </xdr:from>
        <xdr:to>
          <xdr:col>7</xdr:col>
          <xdr:colOff>0</xdr:colOff>
          <xdr:row>2183</xdr:row>
          <xdr:rowOff>161925</xdr:rowOff>
        </xdr:to>
        <xdr:sp macro="" textlink="">
          <xdr:nvSpPr>
            <xdr:cNvPr id="1607" name="Button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2184</xdr:row>
          <xdr:rowOff>0</xdr:rowOff>
        </xdr:from>
        <xdr:to>
          <xdr:col>7</xdr:col>
          <xdr:colOff>0</xdr:colOff>
          <xdr:row>2184</xdr:row>
          <xdr:rowOff>161925</xdr:rowOff>
        </xdr:to>
        <xdr:sp macro="" textlink="">
          <xdr:nvSpPr>
            <xdr:cNvPr id="1606" name="Button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2185</xdr:row>
          <xdr:rowOff>0</xdr:rowOff>
        </xdr:from>
        <xdr:to>
          <xdr:col>7</xdr:col>
          <xdr:colOff>0</xdr:colOff>
          <xdr:row>2185</xdr:row>
          <xdr:rowOff>161925</xdr:rowOff>
        </xdr:to>
        <xdr:sp macro="" textlink="">
          <xdr:nvSpPr>
            <xdr:cNvPr id="1605" name="Button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2186</xdr:row>
          <xdr:rowOff>0</xdr:rowOff>
        </xdr:from>
        <xdr:to>
          <xdr:col>7</xdr:col>
          <xdr:colOff>0</xdr:colOff>
          <xdr:row>2186</xdr:row>
          <xdr:rowOff>161925</xdr:rowOff>
        </xdr:to>
        <xdr:sp macro="" textlink="">
          <xdr:nvSpPr>
            <xdr:cNvPr id="1604" name="Button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2187</xdr:row>
          <xdr:rowOff>0</xdr:rowOff>
        </xdr:from>
        <xdr:to>
          <xdr:col>7</xdr:col>
          <xdr:colOff>0</xdr:colOff>
          <xdr:row>2187</xdr:row>
          <xdr:rowOff>161925</xdr:rowOff>
        </xdr:to>
        <xdr:sp macro="" textlink="">
          <xdr:nvSpPr>
            <xdr:cNvPr id="1603" name="Button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2188</xdr:row>
          <xdr:rowOff>0</xdr:rowOff>
        </xdr:from>
        <xdr:to>
          <xdr:col>7</xdr:col>
          <xdr:colOff>0</xdr:colOff>
          <xdr:row>2188</xdr:row>
          <xdr:rowOff>161925</xdr:rowOff>
        </xdr:to>
        <xdr:sp macro="" textlink="">
          <xdr:nvSpPr>
            <xdr:cNvPr id="1602" name="Button 578"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2189</xdr:row>
          <xdr:rowOff>0</xdr:rowOff>
        </xdr:from>
        <xdr:to>
          <xdr:col>7</xdr:col>
          <xdr:colOff>0</xdr:colOff>
          <xdr:row>2189</xdr:row>
          <xdr:rowOff>161925</xdr:rowOff>
        </xdr:to>
        <xdr:sp macro="" textlink="">
          <xdr:nvSpPr>
            <xdr:cNvPr id="1601" name="Button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2190</xdr:row>
          <xdr:rowOff>0</xdr:rowOff>
        </xdr:from>
        <xdr:to>
          <xdr:col>7</xdr:col>
          <xdr:colOff>0</xdr:colOff>
          <xdr:row>2190</xdr:row>
          <xdr:rowOff>161925</xdr:rowOff>
        </xdr:to>
        <xdr:sp macro="" textlink="">
          <xdr:nvSpPr>
            <xdr:cNvPr id="1600" name="Button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2193</xdr:row>
          <xdr:rowOff>0</xdr:rowOff>
        </xdr:from>
        <xdr:to>
          <xdr:col>7</xdr:col>
          <xdr:colOff>0</xdr:colOff>
          <xdr:row>2194</xdr:row>
          <xdr:rowOff>0</xdr:rowOff>
        </xdr:to>
        <xdr:sp macro="" textlink="">
          <xdr:nvSpPr>
            <xdr:cNvPr id="1599" name="Button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2200</xdr:row>
          <xdr:rowOff>0</xdr:rowOff>
        </xdr:from>
        <xdr:to>
          <xdr:col>7</xdr:col>
          <xdr:colOff>0</xdr:colOff>
          <xdr:row>2200</xdr:row>
          <xdr:rowOff>38100</xdr:rowOff>
        </xdr:to>
        <xdr:sp macro="" textlink="">
          <xdr:nvSpPr>
            <xdr:cNvPr id="1598" name="Button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2201</xdr:row>
          <xdr:rowOff>0</xdr:rowOff>
        </xdr:from>
        <xdr:to>
          <xdr:col>7</xdr:col>
          <xdr:colOff>0</xdr:colOff>
          <xdr:row>2201</xdr:row>
          <xdr:rowOff>161925</xdr:rowOff>
        </xdr:to>
        <xdr:sp macro="" textlink="">
          <xdr:nvSpPr>
            <xdr:cNvPr id="1597" name="Button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2204</xdr:row>
          <xdr:rowOff>0</xdr:rowOff>
        </xdr:from>
        <xdr:to>
          <xdr:col>7</xdr:col>
          <xdr:colOff>0</xdr:colOff>
          <xdr:row>2205</xdr:row>
          <xdr:rowOff>0</xdr:rowOff>
        </xdr:to>
        <xdr:sp macro="" textlink="">
          <xdr:nvSpPr>
            <xdr:cNvPr id="1596" name="Button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2211</xdr:row>
          <xdr:rowOff>0</xdr:rowOff>
        </xdr:from>
        <xdr:to>
          <xdr:col>7</xdr:col>
          <xdr:colOff>0</xdr:colOff>
          <xdr:row>2211</xdr:row>
          <xdr:rowOff>38100</xdr:rowOff>
        </xdr:to>
        <xdr:sp macro="" textlink="">
          <xdr:nvSpPr>
            <xdr:cNvPr id="1595" name="Button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2212</xdr:row>
          <xdr:rowOff>0</xdr:rowOff>
        </xdr:from>
        <xdr:to>
          <xdr:col>7</xdr:col>
          <xdr:colOff>0</xdr:colOff>
          <xdr:row>2212</xdr:row>
          <xdr:rowOff>161925</xdr:rowOff>
        </xdr:to>
        <xdr:sp macro="" textlink="">
          <xdr:nvSpPr>
            <xdr:cNvPr id="1594" name="Button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2215</xdr:row>
          <xdr:rowOff>0</xdr:rowOff>
        </xdr:from>
        <xdr:to>
          <xdr:col>7</xdr:col>
          <xdr:colOff>0</xdr:colOff>
          <xdr:row>2216</xdr:row>
          <xdr:rowOff>0</xdr:rowOff>
        </xdr:to>
        <xdr:sp macro="" textlink="">
          <xdr:nvSpPr>
            <xdr:cNvPr id="1593" name="Button 569" hidden="1">
              <a:extLst>
                <a:ext uri="{63B3BB69-23CF-44E3-9099-C40C66FF867C}">
                  <a14:compatExt spid="_x0000_s1593"/>
                </a:ext>
                <a:ext uri="{FF2B5EF4-FFF2-40B4-BE49-F238E27FC236}">
                  <a16:creationId xmlns:a16="http://schemas.microsoft.com/office/drawing/2014/main" id="{00000000-0008-0000-0000-00003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2222</xdr:row>
          <xdr:rowOff>0</xdr:rowOff>
        </xdr:from>
        <xdr:to>
          <xdr:col>7</xdr:col>
          <xdr:colOff>0</xdr:colOff>
          <xdr:row>2222</xdr:row>
          <xdr:rowOff>38100</xdr:rowOff>
        </xdr:to>
        <xdr:sp macro="" textlink="">
          <xdr:nvSpPr>
            <xdr:cNvPr id="1592" name="Button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2223</xdr:row>
          <xdr:rowOff>0</xdr:rowOff>
        </xdr:from>
        <xdr:to>
          <xdr:col>7</xdr:col>
          <xdr:colOff>0</xdr:colOff>
          <xdr:row>2223</xdr:row>
          <xdr:rowOff>161925</xdr:rowOff>
        </xdr:to>
        <xdr:sp macro="" textlink="">
          <xdr:nvSpPr>
            <xdr:cNvPr id="1591" name="Button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2226</xdr:row>
          <xdr:rowOff>0</xdr:rowOff>
        </xdr:from>
        <xdr:to>
          <xdr:col>7</xdr:col>
          <xdr:colOff>0</xdr:colOff>
          <xdr:row>2227</xdr:row>
          <xdr:rowOff>0</xdr:rowOff>
        </xdr:to>
        <xdr:sp macro="" textlink="">
          <xdr:nvSpPr>
            <xdr:cNvPr id="1590" name="Button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2233</xdr:row>
          <xdr:rowOff>0</xdr:rowOff>
        </xdr:from>
        <xdr:to>
          <xdr:col>7</xdr:col>
          <xdr:colOff>0</xdr:colOff>
          <xdr:row>2233</xdr:row>
          <xdr:rowOff>38100</xdr:rowOff>
        </xdr:to>
        <xdr:sp macro="" textlink="">
          <xdr:nvSpPr>
            <xdr:cNvPr id="1589" name="Button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2234</xdr:row>
          <xdr:rowOff>0</xdr:rowOff>
        </xdr:from>
        <xdr:to>
          <xdr:col>7</xdr:col>
          <xdr:colOff>0</xdr:colOff>
          <xdr:row>2234</xdr:row>
          <xdr:rowOff>161925</xdr:rowOff>
        </xdr:to>
        <xdr:sp macro="" textlink="">
          <xdr:nvSpPr>
            <xdr:cNvPr id="1588" name="Button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2235</xdr:row>
          <xdr:rowOff>0</xdr:rowOff>
        </xdr:from>
        <xdr:to>
          <xdr:col>7</xdr:col>
          <xdr:colOff>0</xdr:colOff>
          <xdr:row>2235</xdr:row>
          <xdr:rowOff>161925</xdr:rowOff>
        </xdr:to>
        <xdr:sp macro="" textlink="">
          <xdr:nvSpPr>
            <xdr:cNvPr id="1587" name="Button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2238</xdr:row>
          <xdr:rowOff>0</xdr:rowOff>
        </xdr:from>
        <xdr:to>
          <xdr:col>7</xdr:col>
          <xdr:colOff>0</xdr:colOff>
          <xdr:row>2239</xdr:row>
          <xdr:rowOff>0</xdr:rowOff>
        </xdr:to>
        <xdr:sp macro="" textlink="">
          <xdr:nvSpPr>
            <xdr:cNvPr id="1586" name="Button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2245</xdr:row>
          <xdr:rowOff>0</xdr:rowOff>
        </xdr:from>
        <xdr:to>
          <xdr:col>7</xdr:col>
          <xdr:colOff>0</xdr:colOff>
          <xdr:row>2245</xdr:row>
          <xdr:rowOff>38100</xdr:rowOff>
        </xdr:to>
        <xdr:sp macro="" textlink="">
          <xdr:nvSpPr>
            <xdr:cNvPr id="1585" name="Button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2246</xdr:row>
          <xdr:rowOff>0</xdr:rowOff>
        </xdr:from>
        <xdr:to>
          <xdr:col>7</xdr:col>
          <xdr:colOff>0</xdr:colOff>
          <xdr:row>2246</xdr:row>
          <xdr:rowOff>161925</xdr:rowOff>
        </xdr:to>
        <xdr:sp macro="" textlink="">
          <xdr:nvSpPr>
            <xdr:cNvPr id="1584" name="Button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2249</xdr:row>
          <xdr:rowOff>0</xdr:rowOff>
        </xdr:from>
        <xdr:to>
          <xdr:col>7</xdr:col>
          <xdr:colOff>0</xdr:colOff>
          <xdr:row>2250</xdr:row>
          <xdr:rowOff>0</xdr:rowOff>
        </xdr:to>
        <xdr:sp macro="" textlink="">
          <xdr:nvSpPr>
            <xdr:cNvPr id="1583" name="Button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2256</xdr:row>
          <xdr:rowOff>0</xdr:rowOff>
        </xdr:from>
        <xdr:to>
          <xdr:col>7</xdr:col>
          <xdr:colOff>0</xdr:colOff>
          <xdr:row>2256</xdr:row>
          <xdr:rowOff>38100</xdr:rowOff>
        </xdr:to>
        <xdr:sp macro="" textlink="">
          <xdr:nvSpPr>
            <xdr:cNvPr id="1582" name="Button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2257</xdr:row>
          <xdr:rowOff>0</xdr:rowOff>
        </xdr:from>
        <xdr:to>
          <xdr:col>7</xdr:col>
          <xdr:colOff>0</xdr:colOff>
          <xdr:row>2257</xdr:row>
          <xdr:rowOff>161925</xdr:rowOff>
        </xdr:to>
        <xdr:sp macro="" textlink="">
          <xdr:nvSpPr>
            <xdr:cNvPr id="1581" name="Button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2260</xdr:row>
          <xdr:rowOff>0</xdr:rowOff>
        </xdr:from>
        <xdr:to>
          <xdr:col>7</xdr:col>
          <xdr:colOff>0</xdr:colOff>
          <xdr:row>2261</xdr:row>
          <xdr:rowOff>0</xdr:rowOff>
        </xdr:to>
        <xdr:sp macro="" textlink="">
          <xdr:nvSpPr>
            <xdr:cNvPr id="1580" name="Button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2267</xdr:row>
          <xdr:rowOff>0</xdr:rowOff>
        </xdr:from>
        <xdr:to>
          <xdr:col>7</xdr:col>
          <xdr:colOff>0</xdr:colOff>
          <xdr:row>2267</xdr:row>
          <xdr:rowOff>38100</xdr:rowOff>
        </xdr:to>
        <xdr:sp macro="" textlink="">
          <xdr:nvSpPr>
            <xdr:cNvPr id="1579" name="Button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2268</xdr:row>
          <xdr:rowOff>0</xdr:rowOff>
        </xdr:from>
        <xdr:to>
          <xdr:col>7</xdr:col>
          <xdr:colOff>0</xdr:colOff>
          <xdr:row>2268</xdr:row>
          <xdr:rowOff>161925</xdr:rowOff>
        </xdr:to>
        <xdr:sp macro="" textlink="">
          <xdr:nvSpPr>
            <xdr:cNvPr id="1578" name="Button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2271</xdr:row>
          <xdr:rowOff>0</xdr:rowOff>
        </xdr:from>
        <xdr:to>
          <xdr:col>7</xdr:col>
          <xdr:colOff>0</xdr:colOff>
          <xdr:row>2272</xdr:row>
          <xdr:rowOff>0</xdr:rowOff>
        </xdr:to>
        <xdr:sp macro="" textlink="">
          <xdr:nvSpPr>
            <xdr:cNvPr id="1577" name="Button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2278</xdr:row>
          <xdr:rowOff>0</xdr:rowOff>
        </xdr:from>
        <xdr:to>
          <xdr:col>7</xdr:col>
          <xdr:colOff>0</xdr:colOff>
          <xdr:row>2278</xdr:row>
          <xdr:rowOff>38100</xdr:rowOff>
        </xdr:to>
        <xdr:sp macro="" textlink="">
          <xdr:nvSpPr>
            <xdr:cNvPr id="1576" name="Button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2279</xdr:row>
          <xdr:rowOff>0</xdr:rowOff>
        </xdr:from>
        <xdr:to>
          <xdr:col>7</xdr:col>
          <xdr:colOff>0</xdr:colOff>
          <xdr:row>2279</xdr:row>
          <xdr:rowOff>161925</xdr:rowOff>
        </xdr:to>
        <xdr:sp macro="" textlink="">
          <xdr:nvSpPr>
            <xdr:cNvPr id="1575" name="Button 551" hidden="1">
              <a:extLst>
                <a:ext uri="{63B3BB69-23CF-44E3-9099-C40C66FF867C}">
                  <a14:compatExt spid="_x0000_s1575"/>
                </a:ext>
                <a:ext uri="{FF2B5EF4-FFF2-40B4-BE49-F238E27FC236}">
                  <a16:creationId xmlns:a16="http://schemas.microsoft.com/office/drawing/2014/main" id="{00000000-0008-0000-0000-00002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2280</xdr:row>
          <xdr:rowOff>0</xdr:rowOff>
        </xdr:from>
        <xdr:to>
          <xdr:col>7</xdr:col>
          <xdr:colOff>0</xdr:colOff>
          <xdr:row>2280</xdr:row>
          <xdr:rowOff>161925</xdr:rowOff>
        </xdr:to>
        <xdr:sp macro="" textlink="">
          <xdr:nvSpPr>
            <xdr:cNvPr id="1574" name="Button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2281</xdr:row>
          <xdr:rowOff>0</xdr:rowOff>
        </xdr:from>
        <xdr:to>
          <xdr:col>7</xdr:col>
          <xdr:colOff>0</xdr:colOff>
          <xdr:row>2281</xdr:row>
          <xdr:rowOff>161925</xdr:rowOff>
        </xdr:to>
        <xdr:sp macro="" textlink="">
          <xdr:nvSpPr>
            <xdr:cNvPr id="1573" name="Button 549"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2282</xdr:row>
          <xdr:rowOff>0</xdr:rowOff>
        </xdr:from>
        <xdr:to>
          <xdr:col>7</xdr:col>
          <xdr:colOff>0</xdr:colOff>
          <xdr:row>2282</xdr:row>
          <xdr:rowOff>161925</xdr:rowOff>
        </xdr:to>
        <xdr:sp macro="" textlink="">
          <xdr:nvSpPr>
            <xdr:cNvPr id="1572" name="Button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2283</xdr:row>
          <xdr:rowOff>0</xdr:rowOff>
        </xdr:from>
        <xdr:to>
          <xdr:col>7</xdr:col>
          <xdr:colOff>0</xdr:colOff>
          <xdr:row>2283</xdr:row>
          <xdr:rowOff>161925</xdr:rowOff>
        </xdr:to>
        <xdr:sp macro="" textlink="">
          <xdr:nvSpPr>
            <xdr:cNvPr id="1571" name="Button 547"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2284</xdr:row>
          <xdr:rowOff>0</xdr:rowOff>
        </xdr:from>
        <xdr:to>
          <xdr:col>7</xdr:col>
          <xdr:colOff>0</xdr:colOff>
          <xdr:row>2284</xdr:row>
          <xdr:rowOff>161925</xdr:rowOff>
        </xdr:to>
        <xdr:sp macro="" textlink="">
          <xdr:nvSpPr>
            <xdr:cNvPr id="1570" name="Button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2285</xdr:row>
          <xdr:rowOff>0</xdr:rowOff>
        </xdr:from>
        <xdr:to>
          <xdr:col>7</xdr:col>
          <xdr:colOff>0</xdr:colOff>
          <xdr:row>2285</xdr:row>
          <xdr:rowOff>161925</xdr:rowOff>
        </xdr:to>
        <xdr:sp macro="" textlink="">
          <xdr:nvSpPr>
            <xdr:cNvPr id="1569" name="Button 545" hidden="1">
              <a:extLst>
                <a:ext uri="{63B3BB69-23CF-44E3-9099-C40C66FF867C}">
                  <a14:compatExt spid="_x0000_s1569"/>
                </a:ext>
                <a:ext uri="{FF2B5EF4-FFF2-40B4-BE49-F238E27FC236}">
                  <a16:creationId xmlns:a16="http://schemas.microsoft.com/office/drawing/2014/main" id="{00000000-0008-0000-0000-00002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2286</xdr:row>
          <xdr:rowOff>0</xdr:rowOff>
        </xdr:from>
        <xdr:to>
          <xdr:col>7</xdr:col>
          <xdr:colOff>0</xdr:colOff>
          <xdr:row>2286</xdr:row>
          <xdr:rowOff>161925</xdr:rowOff>
        </xdr:to>
        <xdr:sp macro="" textlink="">
          <xdr:nvSpPr>
            <xdr:cNvPr id="1568" name="Button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2287</xdr:row>
          <xdr:rowOff>0</xdr:rowOff>
        </xdr:from>
        <xdr:to>
          <xdr:col>7</xdr:col>
          <xdr:colOff>0</xdr:colOff>
          <xdr:row>2287</xdr:row>
          <xdr:rowOff>161925</xdr:rowOff>
        </xdr:to>
        <xdr:sp macro="" textlink="">
          <xdr:nvSpPr>
            <xdr:cNvPr id="1567" name="Button 543" hidden="1">
              <a:extLst>
                <a:ext uri="{63B3BB69-23CF-44E3-9099-C40C66FF867C}">
                  <a14:compatExt spid="_x0000_s1567"/>
                </a:ext>
                <a:ext uri="{FF2B5EF4-FFF2-40B4-BE49-F238E27FC236}">
                  <a16:creationId xmlns:a16="http://schemas.microsoft.com/office/drawing/2014/main" id="{00000000-0008-0000-0000-00001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2288</xdr:row>
          <xdr:rowOff>0</xdr:rowOff>
        </xdr:from>
        <xdr:to>
          <xdr:col>7</xdr:col>
          <xdr:colOff>0</xdr:colOff>
          <xdr:row>2288</xdr:row>
          <xdr:rowOff>161925</xdr:rowOff>
        </xdr:to>
        <xdr:sp macro="" textlink="">
          <xdr:nvSpPr>
            <xdr:cNvPr id="1566" name="Button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2289</xdr:row>
          <xdr:rowOff>0</xdr:rowOff>
        </xdr:from>
        <xdr:to>
          <xdr:col>7</xdr:col>
          <xdr:colOff>0</xdr:colOff>
          <xdr:row>2289</xdr:row>
          <xdr:rowOff>161925</xdr:rowOff>
        </xdr:to>
        <xdr:sp macro="" textlink="">
          <xdr:nvSpPr>
            <xdr:cNvPr id="1565" name="Button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2290</xdr:row>
          <xdr:rowOff>0</xdr:rowOff>
        </xdr:from>
        <xdr:to>
          <xdr:col>7</xdr:col>
          <xdr:colOff>0</xdr:colOff>
          <xdr:row>2290</xdr:row>
          <xdr:rowOff>161925</xdr:rowOff>
        </xdr:to>
        <xdr:sp macro="" textlink="">
          <xdr:nvSpPr>
            <xdr:cNvPr id="1564" name="Button 540" hidden="1">
              <a:extLst>
                <a:ext uri="{63B3BB69-23CF-44E3-9099-C40C66FF867C}">
                  <a14:compatExt spid="_x0000_s1564"/>
                </a:ext>
                <a:ext uri="{FF2B5EF4-FFF2-40B4-BE49-F238E27FC236}">
                  <a16:creationId xmlns:a16="http://schemas.microsoft.com/office/drawing/2014/main" id="{00000000-0008-0000-0000-00001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2291</xdr:row>
          <xdr:rowOff>0</xdr:rowOff>
        </xdr:from>
        <xdr:to>
          <xdr:col>7</xdr:col>
          <xdr:colOff>0</xdr:colOff>
          <xdr:row>2291</xdr:row>
          <xdr:rowOff>161925</xdr:rowOff>
        </xdr:to>
        <xdr:sp macro="" textlink="">
          <xdr:nvSpPr>
            <xdr:cNvPr id="1563" name="Button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2292</xdr:row>
          <xdr:rowOff>0</xdr:rowOff>
        </xdr:from>
        <xdr:to>
          <xdr:col>7</xdr:col>
          <xdr:colOff>0</xdr:colOff>
          <xdr:row>2292</xdr:row>
          <xdr:rowOff>161925</xdr:rowOff>
        </xdr:to>
        <xdr:sp macro="" textlink="">
          <xdr:nvSpPr>
            <xdr:cNvPr id="1562" name="Button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2293</xdr:row>
          <xdr:rowOff>0</xdr:rowOff>
        </xdr:from>
        <xdr:to>
          <xdr:col>7</xdr:col>
          <xdr:colOff>0</xdr:colOff>
          <xdr:row>2293</xdr:row>
          <xdr:rowOff>161925</xdr:rowOff>
        </xdr:to>
        <xdr:sp macro="" textlink="">
          <xdr:nvSpPr>
            <xdr:cNvPr id="1561" name="Button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2296</xdr:row>
          <xdr:rowOff>0</xdr:rowOff>
        </xdr:from>
        <xdr:to>
          <xdr:col>7</xdr:col>
          <xdr:colOff>0</xdr:colOff>
          <xdr:row>2297</xdr:row>
          <xdr:rowOff>0</xdr:rowOff>
        </xdr:to>
        <xdr:sp macro="" textlink="">
          <xdr:nvSpPr>
            <xdr:cNvPr id="1560" name="Button 536"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2303</xdr:row>
          <xdr:rowOff>0</xdr:rowOff>
        </xdr:from>
        <xdr:to>
          <xdr:col>7</xdr:col>
          <xdr:colOff>0</xdr:colOff>
          <xdr:row>2303</xdr:row>
          <xdr:rowOff>38100</xdr:rowOff>
        </xdr:to>
        <xdr:sp macro="" textlink="">
          <xdr:nvSpPr>
            <xdr:cNvPr id="1559" name="Button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2304</xdr:row>
          <xdr:rowOff>0</xdr:rowOff>
        </xdr:from>
        <xdr:to>
          <xdr:col>7</xdr:col>
          <xdr:colOff>0</xdr:colOff>
          <xdr:row>2304</xdr:row>
          <xdr:rowOff>161925</xdr:rowOff>
        </xdr:to>
        <xdr:sp macro="" textlink="">
          <xdr:nvSpPr>
            <xdr:cNvPr id="1558" name="Button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2305</xdr:row>
          <xdr:rowOff>0</xdr:rowOff>
        </xdr:from>
        <xdr:to>
          <xdr:col>7</xdr:col>
          <xdr:colOff>0</xdr:colOff>
          <xdr:row>2305</xdr:row>
          <xdr:rowOff>161925</xdr:rowOff>
        </xdr:to>
        <xdr:sp macro="" textlink="">
          <xdr:nvSpPr>
            <xdr:cNvPr id="1557" name="Button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2306</xdr:row>
          <xdr:rowOff>0</xdr:rowOff>
        </xdr:from>
        <xdr:to>
          <xdr:col>7</xdr:col>
          <xdr:colOff>0</xdr:colOff>
          <xdr:row>2306</xdr:row>
          <xdr:rowOff>161925</xdr:rowOff>
        </xdr:to>
        <xdr:sp macro="" textlink="">
          <xdr:nvSpPr>
            <xdr:cNvPr id="1556" name="Button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2307</xdr:row>
          <xdr:rowOff>0</xdr:rowOff>
        </xdr:from>
        <xdr:to>
          <xdr:col>7</xdr:col>
          <xdr:colOff>0</xdr:colOff>
          <xdr:row>2307</xdr:row>
          <xdr:rowOff>161925</xdr:rowOff>
        </xdr:to>
        <xdr:sp macro="" textlink="">
          <xdr:nvSpPr>
            <xdr:cNvPr id="1555" name="Button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2308</xdr:row>
          <xdr:rowOff>0</xdr:rowOff>
        </xdr:from>
        <xdr:to>
          <xdr:col>7</xdr:col>
          <xdr:colOff>0</xdr:colOff>
          <xdr:row>2308</xdr:row>
          <xdr:rowOff>161925</xdr:rowOff>
        </xdr:to>
        <xdr:sp macro="" textlink="">
          <xdr:nvSpPr>
            <xdr:cNvPr id="1554" name="Button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2309</xdr:row>
          <xdr:rowOff>0</xdr:rowOff>
        </xdr:from>
        <xdr:to>
          <xdr:col>7</xdr:col>
          <xdr:colOff>0</xdr:colOff>
          <xdr:row>2309</xdr:row>
          <xdr:rowOff>161925</xdr:rowOff>
        </xdr:to>
        <xdr:sp macro="" textlink="">
          <xdr:nvSpPr>
            <xdr:cNvPr id="1553" name="Button 529" hidden="1">
              <a:extLst>
                <a:ext uri="{63B3BB69-23CF-44E3-9099-C40C66FF867C}">
                  <a14:compatExt spid="_x0000_s1553"/>
                </a:ext>
                <a:ext uri="{FF2B5EF4-FFF2-40B4-BE49-F238E27FC236}">
                  <a16:creationId xmlns:a16="http://schemas.microsoft.com/office/drawing/2014/main" id="{00000000-0008-0000-0000-00001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2310</xdr:row>
          <xdr:rowOff>0</xdr:rowOff>
        </xdr:from>
        <xdr:to>
          <xdr:col>7</xdr:col>
          <xdr:colOff>0</xdr:colOff>
          <xdr:row>2310</xdr:row>
          <xdr:rowOff>161925</xdr:rowOff>
        </xdr:to>
        <xdr:sp macro="" textlink="">
          <xdr:nvSpPr>
            <xdr:cNvPr id="1552" name="Button 528"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2311</xdr:row>
          <xdr:rowOff>0</xdr:rowOff>
        </xdr:from>
        <xdr:to>
          <xdr:col>7</xdr:col>
          <xdr:colOff>0</xdr:colOff>
          <xdr:row>2311</xdr:row>
          <xdr:rowOff>161925</xdr:rowOff>
        </xdr:to>
        <xdr:sp macro="" textlink="">
          <xdr:nvSpPr>
            <xdr:cNvPr id="1551" name="Button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2312</xdr:row>
          <xdr:rowOff>0</xdr:rowOff>
        </xdr:from>
        <xdr:to>
          <xdr:col>7</xdr:col>
          <xdr:colOff>0</xdr:colOff>
          <xdr:row>2312</xdr:row>
          <xdr:rowOff>161925</xdr:rowOff>
        </xdr:to>
        <xdr:sp macro="" textlink="">
          <xdr:nvSpPr>
            <xdr:cNvPr id="1550" name="Button 526"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2313</xdr:row>
          <xdr:rowOff>0</xdr:rowOff>
        </xdr:from>
        <xdr:to>
          <xdr:col>7</xdr:col>
          <xdr:colOff>0</xdr:colOff>
          <xdr:row>2313</xdr:row>
          <xdr:rowOff>161925</xdr:rowOff>
        </xdr:to>
        <xdr:sp macro="" textlink="">
          <xdr:nvSpPr>
            <xdr:cNvPr id="1549" name="Button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2314</xdr:row>
          <xdr:rowOff>0</xdr:rowOff>
        </xdr:from>
        <xdr:to>
          <xdr:col>7</xdr:col>
          <xdr:colOff>0</xdr:colOff>
          <xdr:row>2314</xdr:row>
          <xdr:rowOff>161925</xdr:rowOff>
        </xdr:to>
        <xdr:sp macro="" textlink="">
          <xdr:nvSpPr>
            <xdr:cNvPr id="1548" name="Button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2317</xdr:row>
          <xdr:rowOff>0</xdr:rowOff>
        </xdr:from>
        <xdr:to>
          <xdr:col>7</xdr:col>
          <xdr:colOff>0</xdr:colOff>
          <xdr:row>2318</xdr:row>
          <xdr:rowOff>0</xdr:rowOff>
        </xdr:to>
        <xdr:sp macro="" textlink="">
          <xdr:nvSpPr>
            <xdr:cNvPr id="1547" name="Button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2324</xdr:row>
          <xdr:rowOff>0</xdr:rowOff>
        </xdr:from>
        <xdr:to>
          <xdr:col>7</xdr:col>
          <xdr:colOff>0</xdr:colOff>
          <xdr:row>2324</xdr:row>
          <xdr:rowOff>38100</xdr:rowOff>
        </xdr:to>
        <xdr:sp macro="" textlink="">
          <xdr:nvSpPr>
            <xdr:cNvPr id="1546" name="Button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2325</xdr:row>
          <xdr:rowOff>0</xdr:rowOff>
        </xdr:from>
        <xdr:to>
          <xdr:col>7</xdr:col>
          <xdr:colOff>0</xdr:colOff>
          <xdr:row>2325</xdr:row>
          <xdr:rowOff>161925</xdr:rowOff>
        </xdr:to>
        <xdr:sp macro="" textlink="">
          <xdr:nvSpPr>
            <xdr:cNvPr id="1545" name="Button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2326</xdr:row>
          <xdr:rowOff>0</xdr:rowOff>
        </xdr:from>
        <xdr:to>
          <xdr:col>7</xdr:col>
          <xdr:colOff>0</xdr:colOff>
          <xdr:row>2326</xdr:row>
          <xdr:rowOff>161925</xdr:rowOff>
        </xdr:to>
        <xdr:sp macro="" textlink="">
          <xdr:nvSpPr>
            <xdr:cNvPr id="1544" name="Button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2329</xdr:row>
          <xdr:rowOff>0</xdr:rowOff>
        </xdr:from>
        <xdr:to>
          <xdr:col>7</xdr:col>
          <xdr:colOff>0</xdr:colOff>
          <xdr:row>2330</xdr:row>
          <xdr:rowOff>0</xdr:rowOff>
        </xdr:to>
        <xdr:sp macro="" textlink="">
          <xdr:nvSpPr>
            <xdr:cNvPr id="1543" name="Button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2336</xdr:row>
          <xdr:rowOff>0</xdr:rowOff>
        </xdr:from>
        <xdr:to>
          <xdr:col>7</xdr:col>
          <xdr:colOff>0</xdr:colOff>
          <xdr:row>2336</xdr:row>
          <xdr:rowOff>38100</xdr:rowOff>
        </xdr:to>
        <xdr:sp macro="" textlink="">
          <xdr:nvSpPr>
            <xdr:cNvPr id="1542" name="Button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2337</xdr:row>
          <xdr:rowOff>0</xdr:rowOff>
        </xdr:from>
        <xdr:to>
          <xdr:col>7</xdr:col>
          <xdr:colOff>0</xdr:colOff>
          <xdr:row>2337</xdr:row>
          <xdr:rowOff>161925</xdr:rowOff>
        </xdr:to>
        <xdr:sp macro="" textlink="">
          <xdr:nvSpPr>
            <xdr:cNvPr id="1541" name="Button 517"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2340</xdr:row>
          <xdr:rowOff>0</xdr:rowOff>
        </xdr:from>
        <xdr:to>
          <xdr:col>7</xdr:col>
          <xdr:colOff>0</xdr:colOff>
          <xdr:row>2341</xdr:row>
          <xdr:rowOff>0</xdr:rowOff>
        </xdr:to>
        <xdr:sp macro="" textlink="">
          <xdr:nvSpPr>
            <xdr:cNvPr id="1540" name="Button 516"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2347</xdr:row>
          <xdr:rowOff>0</xdr:rowOff>
        </xdr:from>
        <xdr:to>
          <xdr:col>7</xdr:col>
          <xdr:colOff>0</xdr:colOff>
          <xdr:row>2347</xdr:row>
          <xdr:rowOff>38100</xdr:rowOff>
        </xdr:to>
        <xdr:sp macro="" textlink="">
          <xdr:nvSpPr>
            <xdr:cNvPr id="1539" name="Button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2348</xdr:row>
          <xdr:rowOff>0</xdr:rowOff>
        </xdr:from>
        <xdr:to>
          <xdr:col>7</xdr:col>
          <xdr:colOff>0</xdr:colOff>
          <xdr:row>2348</xdr:row>
          <xdr:rowOff>161925</xdr:rowOff>
        </xdr:to>
        <xdr:sp macro="" textlink="">
          <xdr:nvSpPr>
            <xdr:cNvPr id="1538" name="Button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2351</xdr:row>
          <xdr:rowOff>0</xdr:rowOff>
        </xdr:from>
        <xdr:to>
          <xdr:col>7</xdr:col>
          <xdr:colOff>0</xdr:colOff>
          <xdr:row>2352</xdr:row>
          <xdr:rowOff>0</xdr:rowOff>
        </xdr:to>
        <xdr:sp macro="" textlink="">
          <xdr:nvSpPr>
            <xdr:cNvPr id="1537" name="Button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2358</xdr:row>
          <xdr:rowOff>0</xdr:rowOff>
        </xdr:from>
        <xdr:to>
          <xdr:col>7</xdr:col>
          <xdr:colOff>0</xdr:colOff>
          <xdr:row>2358</xdr:row>
          <xdr:rowOff>38100</xdr:rowOff>
        </xdr:to>
        <xdr:sp macro="" textlink="">
          <xdr:nvSpPr>
            <xdr:cNvPr id="1536" name="Button 512" hidden="1">
              <a:extLst>
                <a:ext uri="{63B3BB69-23CF-44E3-9099-C40C66FF867C}">
                  <a14:compatExt spid="_x0000_s1536"/>
                </a:ext>
                <a:ext uri="{FF2B5EF4-FFF2-40B4-BE49-F238E27FC236}">
                  <a16:creationId xmlns:a16="http://schemas.microsoft.com/office/drawing/2014/main" id="{00000000-0008-0000-0000-00000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2359</xdr:row>
          <xdr:rowOff>0</xdr:rowOff>
        </xdr:from>
        <xdr:to>
          <xdr:col>7</xdr:col>
          <xdr:colOff>0</xdr:colOff>
          <xdr:row>2359</xdr:row>
          <xdr:rowOff>161925</xdr:rowOff>
        </xdr:to>
        <xdr:sp macro="" textlink="">
          <xdr:nvSpPr>
            <xdr:cNvPr id="1535" name="Button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2360</xdr:row>
          <xdr:rowOff>0</xdr:rowOff>
        </xdr:from>
        <xdr:to>
          <xdr:col>7</xdr:col>
          <xdr:colOff>0</xdr:colOff>
          <xdr:row>2360</xdr:row>
          <xdr:rowOff>161925</xdr:rowOff>
        </xdr:to>
        <xdr:sp macro="" textlink="">
          <xdr:nvSpPr>
            <xdr:cNvPr id="1534" name="Button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2361</xdr:row>
          <xdr:rowOff>0</xdr:rowOff>
        </xdr:from>
        <xdr:to>
          <xdr:col>7</xdr:col>
          <xdr:colOff>0</xdr:colOff>
          <xdr:row>2361</xdr:row>
          <xdr:rowOff>161925</xdr:rowOff>
        </xdr:to>
        <xdr:sp macro="" textlink="">
          <xdr:nvSpPr>
            <xdr:cNvPr id="1533" name="Button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2362</xdr:row>
          <xdr:rowOff>0</xdr:rowOff>
        </xdr:from>
        <xdr:to>
          <xdr:col>7</xdr:col>
          <xdr:colOff>0</xdr:colOff>
          <xdr:row>2362</xdr:row>
          <xdr:rowOff>161925</xdr:rowOff>
        </xdr:to>
        <xdr:sp macro="" textlink="">
          <xdr:nvSpPr>
            <xdr:cNvPr id="1532" name="Button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2363</xdr:row>
          <xdr:rowOff>0</xdr:rowOff>
        </xdr:from>
        <xdr:to>
          <xdr:col>7</xdr:col>
          <xdr:colOff>0</xdr:colOff>
          <xdr:row>2363</xdr:row>
          <xdr:rowOff>161925</xdr:rowOff>
        </xdr:to>
        <xdr:sp macro="" textlink="">
          <xdr:nvSpPr>
            <xdr:cNvPr id="1531" name="Button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2364</xdr:row>
          <xdr:rowOff>0</xdr:rowOff>
        </xdr:from>
        <xdr:to>
          <xdr:col>7</xdr:col>
          <xdr:colOff>0</xdr:colOff>
          <xdr:row>2364</xdr:row>
          <xdr:rowOff>161925</xdr:rowOff>
        </xdr:to>
        <xdr:sp macro="" textlink="">
          <xdr:nvSpPr>
            <xdr:cNvPr id="1530" name="Button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2365</xdr:row>
          <xdr:rowOff>0</xdr:rowOff>
        </xdr:from>
        <xdr:to>
          <xdr:col>7</xdr:col>
          <xdr:colOff>0</xdr:colOff>
          <xdr:row>2365</xdr:row>
          <xdr:rowOff>161925</xdr:rowOff>
        </xdr:to>
        <xdr:sp macro="" textlink="">
          <xdr:nvSpPr>
            <xdr:cNvPr id="1529" name="Button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2366</xdr:row>
          <xdr:rowOff>0</xdr:rowOff>
        </xdr:from>
        <xdr:to>
          <xdr:col>7</xdr:col>
          <xdr:colOff>0</xdr:colOff>
          <xdr:row>2366</xdr:row>
          <xdr:rowOff>161925</xdr:rowOff>
        </xdr:to>
        <xdr:sp macro="" textlink="">
          <xdr:nvSpPr>
            <xdr:cNvPr id="1528" name="Button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2367</xdr:row>
          <xdr:rowOff>0</xdr:rowOff>
        </xdr:from>
        <xdr:to>
          <xdr:col>7</xdr:col>
          <xdr:colOff>0</xdr:colOff>
          <xdr:row>2367</xdr:row>
          <xdr:rowOff>161925</xdr:rowOff>
        </xdr:to>
        <xdr:sp macro="" textlink="">
          <xdr:nvSpPr>
            <xdr:cNvPr id="1527" name="Button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2370</xdr:row>
          <xdr:rowOff>0</xdr:rowOff>
        </xdr:from>
        <xdr:to>
          <xdr:col>7</xdr:col>
          <xdr:colOff>0</xdr:colOff>
          <xdr:row>2371</xdr:row>
          <xdr:rowOff>0</xdr:rowOff>
        </xdr:to>
        <xdr:sp macro="" textlink="">
          <xdr:nvSpPr>
            <xdr:cNvPr id="1526" name="Button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2377</xdr:row>
          <xdr:rowOff>0</xdr:rowOff>
        </xdr:from>
        <xdr:to>
          <xdr:col>7</xdr:col>
          <xdr:colOff>0</xdr:colOff>
          <xdr:row>2377</xdr:row>
          <xdr:rowOff>38100</xdr:rowOff>
        </xdr:to>
        <xdr:sp macro="" textlink="">
          <xdr:nvSpPr>
            <xdr:cNvPr id="1525" name="Button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2378</xdr:row>
          <xdr:rowOff>0</xdr:rowOff>
        </xdr:from>
        <xdr:to>
          <xdr:col>7</xdr:col>
          <xdr:colOff>0</xdr:colOff>
          <xdr:row>2378</xdr:row>
          <xdr:rowOff>161925</xdr:rowOff>
        </xdr:to>
        <xdr:sp macro="" textlink="">
          <xdr:nvSpPr>
            <xdr:cNvPr id="1524" name="Button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2381</xdr:row>
          <xdr:rowOff>0</xdr:rowOff>
        </xdr:from>
        <xdr:to>
          <xdr:col>7</xdr:col>
          <xdr:colOff>0</xdr:colOff>
          <xdr:row>2382</xdr:row>
          <xdr:rowOff>0</xdr:rowOff>
        </xdr:to>
        <xdr:sp macro="" textlink="">
          <xdr:nvSpPr>
            <xdr:cNvPr id="1523" name="Button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2388</xdr:row>
          <xdr:rowOff>0</xdr:rowOff>
        </xdr:from>
        <xdr:to>
          <xdr:col>7</xdr:col>
          <xdr:colOff>0</xdr:colOff>
          <xdr:row>2388</xdr:row>
          <xdr:rowOff>38100</xdr:rowOff>
        </xdr:to>
        <xdr:sp macro="" textlink="">
          <xdr:nvSpPr>
            <xdr:cNvPr id="1522" name="Button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2389</xdr:row>
          <xdr:rowOff>0</xdr:rowOff>
        </xdr:from>
        <xdr:to>
          <xdr:col>7</xdr:col>
          <xdr:colOff>0</xdr:colOff>
          <xdr:row>2389</xdr:row>
          <xdr:rowOff>161925</xdr:rowOff>
        </xdr:to>
        <xdr:sp macro="" textlink="">
          <xdr:nvSpPr>
            <xdr:cNvPr id="1521" name="Button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2392</xdr:row>
          <xdr:rowOff>0</xdr:rowOff>
        </xdr:from>
        <xdr:to>
          <xdr:col>7</xdr:col>
          <xdr:colOff>0</xdr:colOff>
          <xdr:row>2393</xdr:row>
          <xdr:rowOff>0</xdr:rowOff>
        </xdr:to>
        <xdr:sp macro="" textlink="">
          <xdr:nvSpPr>
            <xdr:cNvPr id="1520" name="Button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2399</xdr:row>
          <xdr:rowOff>0</xdr:rowOff>
        </xdr:from>
        <xdr:to>
          <xdr:col>7</xdr:col>
          <xdr:colOff>0</xdr:colOff>
          <xdr:row>2399</xdr:row>
          <xdr:rowOff>38100</xdr:rowOff>
        </xdr:to>
        <xdr:sp macro="" textlink="">
          <xdr:nvSpPr>
            <xdr:cNvPr id="1519" name="Button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2400</xdr:row>
          <xdr:rowOff>0</xdr:rowOff>
        </xdr:from>
        <xdr:to>
          <xdr:col>7</xdr:col>
          <xdr:colOff>0</xdr:colOff>
          <xdr:row>2400</xdr:row>
          <xdr:rowOff>161925</xdr:rowOff>
        </xdr:to>
        <xdr:sp macro="" textlink="">
          <xdr:nvSpPr>
            <xdr:cNvPr id="1518" name="Button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2401</xdr:row>
          <xdr:rowOff>0</xdr:rowOff>
        </xdr:from>
        <xdr:to>
          <xdr:col>7</xdr:col>
          <xdr:colOff>0</xdr:colOff>
          <xdr:row>2401</xdr:row>
          <xdr:rowOff>161925</xdr:rowOff>
        </xdr:to>
        <xdr:sp macro="" textlink="">
          <xdr:nvSpPr>
            <xdr:cNvPr id="1517" name="Button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2402</xdr:row>
          <xdr:rowOff>0</xdr:rowOff>
        </xdr:from>
        <xdr:to>
          <xdr:col>7</xdr:col>
          <xdr:colOff>0</xdr:colOff>
          <xdr:row>2402</xdr:row>
          <xdr:rowOff>161925</xdr:rowOff>
        </xdr:to>
        <xdr:sp macro="" textlink="">
          <xdr:nvSpPr>
            <xdr:cNvPr id="1516" name="Button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2403</xdr:row>
          <xdr:rowOff>0</xdr:rowOff>
        </xdr:from>
        <xdr:to>
          <xdr:col>7</xdr:col>
          <xdr:colOff>0</xdr:colOff>
          <xdr:row>2403</xdr:row>
          <xdr:rowOff>161925</xdr:rowOff>
        </xdr:to>
        <xdr:sp macro="" textlink="">
          <xdr:nvSpPr>
            <xdr:cNvPr id="1515" name="Button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2406</xdr:row>
          <xdr:rowOff>0</xdr:rowOff>
        </xdr:from>
        <xdr:to>
          <xdr:col>7</xdr:col>
          <xdr:colOff>0</xdr:colOff>
          <xdr:row>2407</xdr:row>
          <xdr:rowOff>0</xdr:rowOff>
        </xdr:to>
        <xdr:sp macro="" textlink="">
          <xdr:nvSpPr>
            <xdr:cNvPr id="1514" name="Button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2413</xdr:row>
          <xdr:rowOff>0</xdr:rowOff>
        </xdr:from>
        <xdr:to>
          <xdr:col>7</xdr:col>
          <xdr:colOff>0</xdr:colOff>
          <xdr:row>2413</xdr:row>
          <xdr:rowOff>38100</xdr:rowOff>
        </xdr:to>
        <xdr:sp macro="" textlink="">
          <xdr:nvSpPr>
            <xdr:cNvPr id="1513" name="Button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2414</xdr:row>
          <xdr:rowOff>0</xdr:rowOff>
        </xdr:from>
        <xdr:to>
          <xdr:col>7</xdr:col>
          <xdr:colOff>0</xdr:colOff>
          <xdr:row>2414</xdr:row>
          <xdr:rowOff>161925</xdr:rowOff>
        </xdr:to>
        <xdr:sp macro="" textlink="">
          <xdr:nvSpPr>
            <xdr:cNvPr id="1512" name="Button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2417</xdr:row>
          <xdr:rowOff>0</xdr:rowOff>
        </xdr:from>
        <xdr:to>
          <xdr:col>7</xdr:col>
          <xdr:colOff>0</xdr:colOff>
          <xdr:row>2418</xdr:row>
          <xdr:rowOff>0</xdr:rowOff>
        </xdr:to>
        <xdr:sp macro="" textlink="">
          <xdr:nvSpPr>
            <xdr:cNvPr id="1511" name="Button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2424</xdr:row>
          <xdr:rowOff>0</xdr:rowOff>
        </xdr:from>
        <xdr:to>
          <xdr:col>7</xdr:col>
          <xdr:colOff>0</xdr:colOff>
          <xdr:row>2424</xdr:row>
          <xdr:rowOff>38100</xdr:rowOff>
        </xdr:to>
        <xdr:sp macro="" textlink="">
          <xdr:nvSpPr>
            <xdr:cNvPr id="1510" name="Button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2425</xdr:row>
          <xdr:rowOff>0</xdr:rowOff>
        </xdr:from>
        <xdr:to>
          <xdr:col>7</xdr:col>
          <xdr:colOff>0</xdr:colOff>
          <xdr:row>2425</xdr:row>
          <xdr:rowOff>161925</xdr:rowOff>
        </xdr:to>
        <xdr:sp macro="" textlink="">
          <xdr:nvSpPr>
            <xdr:cNvPr id="1509" name="Button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2426</xdr:row>
          <xdr:rowOff>0</xdr:rowOff>
        </xdr:from>
        <xdr:to>
          <xdr:col>7</xdr:col>
          <xdr:colOff>0</xdr:colOff>
          <xdr:row>2426</xdr:row>
          <xdr:rowOff>161925</xdr:rowOff>
        </xdr:to>
        <xdr:sp macro="" textlink="">
          <xdr:nvSpPr>
            <xdr:cNvPr id="1508" name="Button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2427</xdr:row>
          <xdr:rowOff>0</xdr:rowOff>
        </xdr:from>
        <xdr:to>
          <xdr:col>7</xdr:col>
          <xdr:colOff>0</xdr:colOff>
          <xdr:row>2427</xdr:row>
          <xdr:rowOff>161925</xdr:rowOff>
        </xdr:to>
        <xdr:sp macro="" textlink="">
          <xdr:nvSpPr>
            <xdr:cNvPr id="1507" name="Button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2428</xdr:row>
          <xdr:rowOff>0</xdr:rowOff>
        </xdr:from>
        <xdr:to>
          <xdr:col>7</xdr:col>
          <xdr:colOff>0</xdr:colOff>
          <xdr:row>2428</xdr:row>
          <xdr:rowOff>161925</xdr:rowOff>
        </xdr:to>
        <xdr:sp macro="" textlink="">
          <xdr:nvSpPr>
            <xdr:cNvPr id="1506" name="Button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2429</xdr:row>
          <xdr:rowOff>0</xdr:rowOff>
        </xdr:from>
        <xdr:to>
          <xdr:col>7</xdr:col>
          <xdr:colOff>0</xdr:colOff>
          <xdr:row>2429</xdr:row>
          <xdr:rowOff>161925</xdr:rowOff>
        </xdr:to>
        <xdr:sp macro="" textlink="">
          <xdr:nvSpPr>
            <xdr:cNvPr id="1505" name="Button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2430</xdr:row>
          <xdr:rowOff>0</xdr:rowOff>
        </xdr:from>
        <xdr:to>
          <xdr:col>7</xdr:col>
          <xdr:colOff>0</xdr:colOff>
          <xdr:row>2430</xdr:row>
          <xdr:rowOff>161925</xdr:rowOff>
        </xdr:to>
        <xdr:sp macro="" textlink="">
          <xdr:nvSpPr>
            <xdr:cNvPr id="1504" name="Button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2431</xdr:row>
          <xdr:rowOff>0</xdr:rowOff>
        </xdr:from>
        <xdr:to>
          <xdr:col>7</xdr:col>
          <xdr:colOff>0</xdr:colOff>
          <xdr:row>2431</xdr:row>
          <xdr:rowOff>161925</xdr:rowOff>
        </xdr:to>
        <xdr:sp macro="" textlink="">
          <xdr:nvSpPr>
            <xdr:cNvPr id="1503" name="Button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2432</xdr:row>
          <xdr:rowOff>0</xdr:rowOff>
        </xdr:from>
        <xdr:to>
          <xdr:col>7</xdr:col>
          <xdr:colOff>0</xdr:colOff>
          <xdr:row>2432</xdr:row>
          <xdr:rowOff>161925</xdr:rowOff>
        </xdr:to>
        <xdr:sp macro="" textlink="">
          <xdr:nvSpPr>
            <xdr:cNvPr id="1502" name="Button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2433</xdr:row>
          <xdr:rowOff>0</xdr:rowOff>
        </xdr:from>
        <xdr:to>
          <xdr:col>7</xdr:col>
          <xdr:colOff>0</xdr:colOff>
          <xdr:row>2433</xdr:row>
          <xdr:rowOff>161925</xdr:rowOff>
        </xdr:to>
        <xdr:sp macro="" textlink="">
          <xdr:nvSpPr>
            <xdr:cNvPr id="1501" name="Button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2434</xdr:row>
          <xdr:rowOff>0</xdr:rowOff>
        </xdr:from>
        <xdr:to>
          <xdr:col>7</xdr:col>
          <xdr:colOff>0</xdr:colOff>
          <xdr:row>2434</xdr:row>
          <xdr:rowOff>161925</xdr:rowOff>
        </xdr:to>
        <xdr:sp macro="" textlink="">
          <xdr:nvSpPr>
            <xdr:cNvPr id="1500" name="Button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2435</xdr:row>
          <xdr:rowOff>0</xdr:rowOff>
        </xdr:from>
        <xdr:to>
          <xdr:col>7</xdr:col>
          <xdr:colOff>0</xdr:colOff>
          <xdr:row>2435</xdr:row>
          <xdr:rowOff>161925</xdr:rowOff>
        </xdr:to>
        <xdr:sp macro="" textlink="">
          <xdr:nvSpPr>
            <xdr:cNvPr id="1499" name="Button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2436</xdr:row>
          <xdr:rowOff>0</xdr:rowOff>
        </xdr:from>
        <xdr:to>
          <xdr:col>7</xdr:col>
          <xdr:colOff>0</xdr:colOff>
          <xdr:row>2436</xdr:row>
          <xdr:rowOff>161925</xdr:rowOff>
        </xdr:to>
        <xdr:sp macro="" textlink="">
          <xdr:nvSpPr>
            <xdr:cNvPr id="1498" name="Button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2437</xdr:row>
          <xdr:rowOff>0</xdr:rowOff>
        </xdr:from>
        <xdr:to>
          <xdr:col>7</xdr:col>
          <xdr:colOff>0</xdr:colOff>
          <xdr:row>2437</xdr:row>
          <xdr:rowOff>161925</xdr:rowOff>
        </xdr:to>
        <xdr:sp macro="" textlink="">
          <xdr:nvSpPr>
            <xdr:cNvPr id="1497" name="Button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2438</xdr:row>
          <xdr:rowOff>0</xdr:rowOff>
        </xdr:from>
        <xdr:to>
          <xdr:col>7</xdr:col>
          <xdr:colOff>0</xdr:colOff>
          <xdr:row>2438</xdr:row>
          <xdr:rowOff>161925</xdr:rowOff>
        </xdr:to>
        <xdr:sp macro="" textlink="">
          <xdr:nvSpPr>
            <xdr:cNvPr id="1496" name="Button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2439</xdr:row>
          <xdr:rowOff>0</xdr:rowOff>
        </xdr:from>
        <xdr:to>
          <xdr:col>7</xdr:col>
          <xdr:colOff>0</xdr:colOff>
          <xdr:row>2439</xdr:row>
          <xdr:rowOff>161925</xdr:rowOff>
        </xdr:to>
        <xdr:sp macro="" textlink="">
          <xdr:nvSpPr>
            <xdr:cNvPr id="1495" name="Button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2440</xdr:row>
          <xdr:rowOff>0</xdr:rowOff>
        </xdr:from>
        <xdr:to>
          <xdr:col>7</xdr:col>
          <xdr:colOff>0</xdr:colOff>
          <xdr:row>2440</xdr:row>
          <xdr:rowOff>161925</xdr:rowOff>
        </xdr:to>
        <xdr:sp macro="" textlink="">
          <xdr:nvSpPr>
            <xdr:cNvPr id="1494" name="Button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2441</xdr:row>
          <xdr:rowOff>0</xdr:rowOff>
        </xdr:from>
        <xdr:to>
          <xdr:col>7</xdr:col>
          <xdr:colOff>0</xdr:colOff>
          <xdr:row>2441</xdr:row>
          <xdr:rowOff>161925</xdr:rowOff>
        </xdr:to>
        <xdr:sp macro="" textlink="">
          <xdr:nvSpPr>
            <xdr:cNvPr id="1493" name="Button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2442</xdr:row>
          <xdr:rowOff>0</xdr:rowOff>
        </xdr:from>
        <xdr:to>
          <xdr:col>7</xdr:col>
          <xdr:colOff>0</xdr:colOff>
          <xdr:row>2442</xdr:row>
          <xdr:rowOff>161925</xdr:rowOff>
        </xdr:to>
        <xdr:sp macro="" textlink="">
          <xdr:nvSpPr>
            <xdr:cNvPr id="1492" name="Button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2443</xdr:row>
          <xdr:rowOff>0</xdr:rowOff>
        </xdr:from>
        <xdr:to>
          <xdr:col>7</xdr:col>
          <xdr:colOff>0</xdr:colOff>
          <xdr:row>2443</xdr:row>
          <xdr:rowOff>161925</xdr:rowOff>
        </xdr:to>
        <xdr:sp macro="" textlink="">
          <xdr:nvSpPr>
            <xdr:cNvPr id="1491" name="Button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2444</xdr:row>
          <xdr:rowOff>0</xdr:rowOff>
        </xdr:from>
        <xdr:to>
          <xdr:col>7</xdr:col>
          <xdr:colOff>0</xdr:colOff>
          <xdr:row>2444</xdr:row>
          <xdr:rowOff>161925</xdr:rowOff>
        </xdr:to>
        <xdr:sp macro="" textlink="">
          <xdr:nvSpPr>
            <xdr:cNvPr id="1490" name="Button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2445</xdr:row>
          <xdr:rowOff>0</xdr:rowOff>
        </xdr:from>
        <xdr:to>
          <xdr:col>7</xdr:col>
          <xdr:colOff>0</xdr:colOff>
          <xdr:row>2445</xdr:row>
          <xdr:rowOff>161925</xdr:rowOff>
        </xdr:to>
        <xdr:sp macro="" textlink="">
          <xdr:nvSpPr>
            <xdr:cNvPr id="1489" name="Button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2446</xdr:row>
          <xdr:rowOff>0</xdr:rowOff>
        </xdr:from>
        <xdr:to>
          <xdr:col>7</xdr:col>
          <xdr:colOff>0</xdr:colOff>
          <xdr:row>2446</xdr:row>
          <xdr:rowOff>161925</xdr:rowOff>
        </xdr:to>
        <xdr:sp macro="" textlink="">
          <xdr:nvSpPr>
            <xdr:cNvPr id="1488" name="Button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2447</xdr:row>
          <xdr:rowOff>0</xdr:rowOff>
        </xdr:from>
        <xdr:to>
          <xdr:col>7</xdr:col>
          <xdr:colOff>0</xdr:colOff>
          <xdr:row>2447</xdr:row>
          <xdr:rowOff>161925</xdr:rowOff>
        </xdr:to>
        <xdr:sp macro="" textlink="">
          <xdr:nvSpPr>
            <xdr:cNvPr id="1487" name="Button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2448</xdr:row>
          <xdr:rowOff>0</xdr:rowOff>
        </xdr:from>
        <xdr:to>
          <xdr:col>7</xdr:col>
          <xdr:colOff>0</xdr:colOff>
          <xdr:row>2448</xdr:row>
          <xdr:rowOff>161925</xdr:rowOff>
        </xdr:to>
        <xdr:sp macro="" textlink="">
          <xdr:nvSpPr>
            <xdr:cNvPr id="1486" name="Button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2451</xdr:row>
          <xdr:rowOff>0</xdr:rowOff>
        </xdr:from>
        <xdr:to>
          <xdr:col>7</xdr:col>
          <xdr:colOff>0</xdr:colOff>
          <xdr:row>2452</xdr:row>
          <xdr:rowOff>0</xdr:rowOff>
        </xdr:to>
        <xdr:sp macro="" textlink="">
          <xdr:nvSpPr>
            <xdr:cNvPr id="1485" name="Button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2458</xdr:row>
          <xdr:rowOff>0</xdr:rowOff>
        </xdr:from>
        <xdr:to>
          <xdr:col>7</xdr:col>
          <xdr:colOff>0</xdr:colOff>
          <xdr:row>2458</xdr:row>
          <xdr:rowOff>38100</xdr:rowOff>
        </xdr:to>
        <xdr:sp macro="" textlink="">
          <xdr:nvSpPr>
            <xdr:cNvPr id="1484" name="Button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2459</xdr:row>
          <xdr:rowOff>0</xdr:rowOff>
        </xdr:from>
        <xdr:to>
          <xdr:col>7</xdr:col>
          <xdr:colOff>0</xdr:colOff>
          <xdr:row>2459</xdr:row>
          <xdr:rowOff>161925</xdr:rowOff>
        </xdr:to>
        <xdr:sp macro="" textlink="">
          <xdr:nvSpPr>
            <xdr:cNvPr id="1483" name="Button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2462</xdr:row>
          <xdr:rowOff>0</xdr:rowOff>
        </xdr:from>
        <xdr:to>
          <xdr:col>7</xdr:col>
          <xdr:colOff>0</xdr:colOff>
          <xdr:row>2463</xdr:row>
          <xdr:rowOff>0</xdr:rowOff>
        </xdr:to>
        <xdr:sp macro="" textlink="">
          <xdr:nvSpPr>
            <xdr:cNvPr id="1482" name="Button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2469</xdr:row>
          <xdr:rowOff>0</xdr:rowOff>
        </xdr:from>
        <xdr:to>
          <xdr:col>7</xdr:col>
          <xdr:colOff>0</xdr:colOff>
          <xdr:row>2469</xdr:row>
          <xdr:rowOff>38100</xdr:rowOff>
        </xdr:to>
        <xdr:sp macro="" textlink="">
          <xdr:nvSpPr>
            <xdr:cNvPr id="1481" name="Button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2470</xdr:row>
          <xdr:rowOff>0</xdr:rowOff>
        </xdr:from>
        <xdr:to>
          <xdr:col>7</xdr:col>
          <xdr:colOff>0</xdr:colOff>
          <xdr:row>2470</xdr:row>
          <xdr:rowOff>161925</xdr:rowOff>
        </xdr:to>
        <xdr:sp macro="" textlink="">
          <xdr:nvSpPr>
            <xdr:cNvPr id="1480" name="Button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2473</xdr:row>
          <xdr:rowOff>0</xdr:rowOff>
        </xdr:from>
        <xdr:to>
          <xdr:col>7</xdr:col>
          <xdr:colOff>0</xdr:colOff>
          <xdr:row>2474</xdr:row>
          <xdr:rowOff>0</xdr:rowOff>
        </xdr:to>
        <xdr:sp macro="" textlink="">
          <xdr:nvSpPr>
            <xdr:cNvPr id="1479" name="Button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2480</xdr:row>
          <xdr:rowOff>0</xdr:rowOff>
        </xdr:from>
        <xdr:to>
          <xdr:col>7</xdr:col>
          <xdr:colOff>0</xdr:colOff>
          <xdr:row>2480</xdr:row>
          <xdr:rowOff>38100</xdr:rowOff>
        </xdr:to>
        <xdr:sp macro="" textlink="">
          <xdr:nvSpPr>
            <xdr:cNvPr id="1478" name="Button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2481</xdr:row>
          <xdr:rowOff>0</xdr:rowOff>
        </xdr:from>
        <xdr:to>
          <xdr:col>7</xdr:col>
          <xdr:colOff>0</xdr:colOff>
          <xdr:row>2481</xdr:row>
          <xdr:rowOff>161925</xdr:rowOff>
        </xdr:to>
        <xdr:sp macro="" textlink="">
          <xdr:nvSpPr>
            <xdr:cNvPr id="1477" name="Button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2484</xdr:row>
          <xdr:rowOff>0</xdr:rowOff>
        </xdr:from>
        <xdr:to>
          <xdr:col>7</xdr:col>
          <xdr:colOff>0</xdr:colOff>
          <xdr:row>2485</xdr:row>
          <xdr:rowOff>0</xdr:rowOff>
        </xdr:to>
        <xdr:sp macro="" textlink="">
          <xdr:nvSpPr>
            <xdr:cNvPr id="1476" name="Button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2491</xdr:row>
          <xdr:rowOff>0</xdr:rowOff>
        </xdr:from>
        <xdr:to>
          <xdr:col>7</xdr:col>
          <xdr:colOff>0</xdr:colOff>
          <xdr:row>2491</xdr:row>
          <xdr:rowOff>38100</xdr:rowOff>
        </xdr:to>
        <xdr:sp macro="" textlink="">
          <xdr:nvSpPr>
            <xdr:cNvPr id="1475" name="Button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2492</xdr:row>
          <xdr:rowOff>0</xdr:rowOff>
        </xdr:from>
        <xdr:to>
          <xdr:col>7</xdr:col>
          <xdr:colOff>0</xdr:colOff>
          <xdr:row>2492</xdr:row>
          <xdr:rowOff>161925</xdr:rowOff>
        </xdr:to>
        <xdr:sp macro="" textlink="">
          <xdr:nvSpPr>
            <xdr:cNvPr id="1474" name="Button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2493</xdr:row>
          <xdr:rowOff>0</xdr:rowOff>
        </xdr:from>
        <xdr:to>
          <xdr:col>7</xdr:col>
          <xdr:colOff>0</xdr:colOff>
          <xdr:row>2493</xdr:row>
          <xdr:rowOff>161925</xdr:rowOff>
        </xdr:to>
        <xdr:sp macro="" textlink="">
          <xdr:nvSpPr>
            <xdr:cNvPr id="1473" name="Button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2494</xdr:row>
          <xdr:rowOff>0</xdr:rowOff>
        </xdr:from>
        <xdr:to>
          <xdr:col>7</xdr:col>
          <xdr:colOff>0</xdr:colOff>
          <xdr:row>2494</xdr:row>
          <xdr:rowOff>161925</xdr:rowOff>
        </xdr:to>
        <xdr:sp macro="" textlink="">
          <xdr:nvSpPr>
            <xdr:cNvPr id="1472" name="Button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2495</xdr:row>
          <xdr:rowOff>0</xdr:rowOff>
        </xdr:from>
        <xdr:to>
          <xdr:col>7</xdr:col>
          <xdr:colOff>0</xdr:colOff>
          <xdr:row>2495</xdr:row>
          <xdr:rowOff>161925</xdr:rowOff>
        </xdr:to>
        <xdr:sp macro="" textlink="">
          <xdr:nvSpPr>
            <xdr:cNvPr id="1471" name="Button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2496</xdr:row>
          <xdr:rowOff>0</xdr:rowOff>
        </xdr:from>
        <xdr:to>
          <xdr:col>7</xdr:col>
          <xdr:colOff>0</xdr:colOff>
          <xdr:row>2496</xdr:row>
          <xdr:rowOff>161925</xdr:rowOff>
        </xdr:to>
        <xdr:sp macro="" textlink="">
          <xdr:nvSpPr>
            <xdr:cNvPr id="1470" name="Button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2497</xdr:row>
          <xdr:rowOff>0</xdr:rowOff>
        </xdr:from>
        <xdr:to>
          <xdr:col>7</xdr:col>
          <xdr:colOff>0</xdr:colOff>
          <xdr:row>2497</xdr:row>
          <xdr:rowOff>161925</xdr:rowOff>
        </xdr:to>
        <xdr:sp macro="" textlink="">
          <xdr:nvSpPr>
            <xdr:cNvPr id="1469" name="Button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2498</xdr:row>
          <xdr:rowOff>0</xdr:rowOff>
        </xdr:from>
        <xdr:to>
          <xdr:col>7</xdr:col>
          <xdr:colOff>0</xdr:colOff>
          <xdr:row>2498</xdr:row>
          <xdr:rowOff>161925</xdr:rowOff>
        </xdr:to>
        <xdr:sp macro="" textlink="">
          <xdr:nvSpPr>
            <xdr:cNvPr id="1468" name="Button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2499</xdr:row>
          <xdr:rowOff>0</xdr:rowOff>
        </xdr:from>
        <xdr:to>
          <xdr:col>7</xdr:col>
          <xdr:colOff>0</xdr:colOff>
          <xdr:row>2499</xdr:row>
          <xdr:rowOff>161925</xdr:rowOff>
        </xdr:to>
        <xdr:sp macro="" textlink="">
          <xdr:nvSpPr>
            <xdr:cNvPr id="1467" name="Button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2500</xdr:row>
          <xdr:rowOff>0</xdr:rowOff>
        </xdr:from>
        <xdr:to>
          <xdr:col>7</xdr:col>
          <xdr:colOff>0</xdr:colOff>
          <xdr:row>2500</xdr:row>
          <xdr:rowOff>161925</xdr:rowOff>
        </xdr:to>
        <xdr:sp macro="" textlink="">
          <xdr:nvSpPr>
            <xdr:cNvPr id="1466" name="Button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2501</xdr:row>
          <xdr:rowOff>0</xdr:rowOff>
        </xdr:from>
        <xdr:to>
          <xdr:col>7</xdr:col>
          <xdr:colOff>0</xdr:colOff>
          <xdr:row>2501</xdr:row>
          <xdr:rowOff>161925</xdr:rowOff>
        </xdr:to>
        <xdr:sp macro="" textlink="">
          <xdr:nvSpPr>
            <xdr:cNvPr id="1465" name="Button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2502</xdr:row>
          <xdr:rowOff>0</xdr:rowOff>
        </xdr:from>
        <xdr:to>
          <xdr:col>7</xdr:col>
          <xdr:colOff>0</xdr:colOff>
          <xdr:row>2502</xdr:row>
          <xdr:rowOff>161925</xdr:rowOff>
        </xdr:to>
        <xdr:sp macro="" textlink="">
          <xdr:nvSpPr>
            <xdr:cNvPr id="1464" name="Button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2503</xdr:row>
          <xdr:rowOff>0</xdr:rowOff>
        </xdr:from>
        <xdr:to>
          <xdr:col>7</xdr:col>
          <xdr:colOff>0</xdr:colOff>
          <xdr:row>2503</xdr:row>
          <xdr:rowOff>161925</xdr:rowOff>
        </xdr:to>
        <xdr:sp macro="" textlink="">
          <xdr:nvSpPr>
            <xdr:cNvPr id="1463" name="Button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2504</xdr:row>
          <xdr:rowOff>0</xdr:rowOff>
        </xdr:from>
        <xdr:to>
          <xdr:col>7</xdr:col>
          <xdr:colOff>0</xdr:colOff>
          <xdr:row>2504</xdr:row>
          <xdr:rowOff>161925</xdr:rowOff>
        </xdr:to>
        <xdr:sp macro="" textlink="">
          <xdr:nvSpPr>
            <xdr:cNvPr id="1462" name="Button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2507</xdr:row>
          <xdr:rowOff>0</xdr:rowOff>
        </xdr:from>
        <xdr:to>
          <xdr:col>7</xdr:col>
          <xdr:colOff>0</xdr:colOff>
          <xdr:row>2508</xdr:row>
          <xdr:rowOff>0</xdr:rowOff>
        </xdr:to>
        <xdr:sp macro="" textlink="">
          <xdr:nvSpPr>
            <xdr:cNvPr id="1461" name="Button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2514</xdr:row>
          <xdr:rowOff>0</xdr:rowOff>
        </xdr:from>
        <xdr:to>
          <xdr:col>7</xdr:col>
          <xdr:colOff>0</xdr:colOff>
          <xdr:row>2514</xdr:row>
          <xdr:rowOff>38100</xdr:rowOff>
        </xdr:to>
        <xdr:sp macro="" textlink="">
          <xdr:nvSpPr>
            <xdr:cNvPr id="1460" name="Button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2515</xdr:row>
          <xdr:rowOff>0</xdr:rowOff>
        </xdr:from>
        <xdr:to>
          <xdr:col>7</xdr:col>
          <xdr:colOff>0</xdr:colOff>
          <xdr:row>2515</xdr:row>
          <xdr:rowOff>161925</xdr:rowOff>
        </xdr:to>
        <xdr:sp macro="" textlink="">
          <xdr:nvSpPr>
            <xdr:cNvPr id="1459" name="Button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2516</xdr:row>
          <xdr:rowOff>0</xdr:rowOff>
        </xdr:from>
        <xdr:to>
          <xdr:col>7</xdr:col>
          <xdr:colOff>0</xdr:colOff>
          <xdr:row>2516</xdr:row>
          <xdr:rowOff>161925</xdr:rowOff>
        </xdr:to>
        <xdr:sp macro="" textlink="">
          <xdr:nvSpPr>
            <xdr:cNvPr id="1458" name="Button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2517</xdr:row>
          <xdr:rowOff>0</xdr:rowOff>
        </xdr:from>
        <xdr:to>
          <xdr:col>7</xdr:col>
          <xdr:colOff>0</xdr:colOff>
          <xdr:row>2517</xdr:row>
          <xdr:rowOff>161925</xdr:rowOff>
        </xdr:to>
        <xdr:sp macro="" textlink="">
          <xdr:nvSpPr>
            <xdr:cNvPr id="1457" name="Button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2520</xdr:row>
          <xdr:rowOff>0</xdr:rowOff>
        </xdr:from>
        <xdr:to>
          <xdr:col>7</xdr:col>
          <xdr:colOff>0</xdr:colOff>
          <xdr:row>2521</xdr:row>
          <xdr:rowOff>0</xdr:rowOff>
        </xdr:to>
        <xdr:sp macro="" textlink="">
          <xdr:nvSpPr>
            <xdr:cNvPr id="1456" name="Button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2527</xdr:row>
          <xdr:rowOff>0</xdr:rowOff>
        </xdr:from>
        <xdr:to>
          <xdr:col>7</xdr:col>
          <xdr:colOff>0</xdr:colOff>
          <xdr:row>2527</xdr:row>
          <xdr:rowOff>38100</xdr:rowOff>
        </xdr:to>
        <xdr:sp macro="" textlink="">
          <xdr:nvSpPr>
            <xdr:cNvPr id="1455" name="Button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2528</xdr:row>
          <xdr:rowOff>0</xdr:rowOff>
        </xdr:from>
        <xdr:to>
          <xdr:col>7</xdr:col>
          <xdr:colOff>0</xdr:colOff>
          <xdr:row>2528</xdr:row>
          <xdr:rowOff>161925</xdr:rowOff>
        </xdr:to>
        <xdr:sp macro="" textlink="">
          <xdr:nvSpPr>
            <xdr:cNvPr id="1454" name="Button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2531</xdr:row>
          <xdr:rowOff>0</xdr:rowOff>
        </xdr:from>
        <xdr:to>
          <xdr:col>7</xdr:col>
          <xdr:colOff>0</xdr:colOff>
          <xdr:row>2532</xdr:row>
          <xdr:rowOff>0</xdr:rowOff>
        </xdr:to>
        <xdr:sp macro="" textlink="">
          <xdr:nvSpPr>
            <xdr:cNvPr id="1453" name="Button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2538</xdr:row>
          <xdr:rowOff>0</xdr:rowOff>
        </xdr:from>
        <xdr:to>
          <xdr:col>7</xdr:col>
          <xdr:colOff>0</xdr:colOff>
          <xdr:row>2538</xdr:row>
          <xdr:rowOff>38100</xdr:rowOff>
        </xdr:to>
        <xdr:sp macro="" textlink="">
          <xdr:nvSpPr>
            <xdr:cNvPr id="1452" name="Button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2539</xdr:row>
          <xdr:rowOff>0</xdr:rowOff>
        </xdr:from>
        <xdr:to>
          <xdr:col>7</xdr:col>
          <xdr:colOff>0</xdr:colOff>
          <xdr:row>2539</xdr:row>
          <xdr:rowOff>161925</xdr:rowOff>
        </xdr:to>
        <xdr:sp macro="" textlink="">
          <xdr:nvSpPr>
            <xdr:cNvPr id="1451" name="Button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2542</xdr:row>
          <xdr:rowOff>0</xdr:rowOff>
        </xdr:from>
        <xdr:to>
          <xdr:col>7</xdr:col>
          <xdr:colOff>0</xdr:colOff>
          <xdr:row>2543</xdr:row>
          <xdr:rowOff>0</xdr:rowOff>
        </xdr:to>
        <xdr:sp macro="" textlink="">
          <xdr:nvSpPr>
            <xdr:cNvPr id="1450" name="Button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2549</xdr:row>
          <xdr:rowOff>0</xdr:rowOff>
        </xdr:from>
        <xdr:to>
          <xdr:col>7</xdr:col>
          <xdr:colOff>0</xdr:colOff>
          <xdr:row>2549</xdr:row>
          <xdr:rowOff>38100</xdr:rowOff>
        </xdr:to>
        <xdr:sp macro="" textlink="">
          <xdr:nvSpPr>
            <xdr:cNvPr id="1449" name="Button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2550</xdr:row>
          <xdr:rowOff>0</xdr:rowOff>
        </xdr:from>
        <xdr:to>
          <xdr:col>7</xdr:col>
          <xdr:colOff>0</xdr:colOff>
          <xdr:row>2550</xdr:row>
          <xdr:rowOff>161925</xdr:rowOff>
        </xdr:to>
        <xdr:sp macro="" textlink="">
          <xdr:nvSpPr>
            <xdr:cNvPr id="1448" name="Button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2553</xdr:row>
          <xdr:rowOff>0</xdr:rowOff>
        </xdr:from>
        <xdr:to>
          <xdr:col>7</xdr:col>
          <xdr:colOff>0</xdr:colOff>
          <xdr:row>2554</xdr:row>
          <xdr:rowOff>0</xdr:rowOff>
        </xdr:to>
        <xdr:sp macro="" textlink="">
          <xdr:nvSpPr>
            <xdr:cNvPr id="1447" name="Button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2560</xdr:row>
          <xdr:rowOff>0</xdr:rowOff>
        </xdr:from>
        <xdr:to>
          <xdr:col>7</xdr:col>
          <xdr:colOff>0</xdr:colOff>
          <xdr:row>2560</xdr:row>
          <xdr:rowOff>38100</xdr:rowOff>
        </xdr:to>
        <xdr:sp macro="" textlink="">
          <xdr:nvSpPr>
            <xdr:cNvPr id="1446" name="Button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2561</xdr:row>
          <xdr:rowOff>0</xdr:rowOff>
        </xdr:from>
        <xdr:to>
          <xdr:col>7</xdr:col>
          <xdr:colOff>0</xdr:colOff>
          <xdr:row>2561</xdr:row>
          <xdr:rowOff>161925</xdr:rowOff>
        </xdr:to>
        <xdr:sp macro="" textlink="">
          <xdr:nvSpPr>
            <xdr:cNvPr id="1445" name="Button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2562</xdr:row>
          <xdr:rowOff>0</xdr:rowOff>
        </xdr:from>
        <xdr:to>
          <xdr:col>7</xdr:col>
          <xdr:colOff>0</xdr:colOff>
          <xdr:row>2562</xdr:row>
          <xdr:rowOff>161925</xdr:rowOff>
        </xdr:to>
        <xdr:sp macro="" textlink="">
          <xdr:nvSpPr>
            <xdr:cNvPr id="1444" name="Button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2563</xdr:row>
          <xdr:rowOff>0</xdr:rowOff>
        </xdr:from>
        <xdr:to>
          <xdr:col>7</xdr:col>
          <xdr:colOff>0</xdr:colOff>
          <xdr:row>2563</xdr:row>
          <xdr:rowOff>161925</xdr:rowOff>
        </xdr:to>
        <xdr:sp macro="" textlink="">
          <xdr:nvSpPr>
            <xdr:cNvPr id="1443" name="Button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2566</xdr:row>
          <xdr:rowOff>0</xdr:rowOff>
        </xdr:from>
        <xdr:to>
          <xdr:col>7</xdr:col>
          <xdr:colOff>0</xdr:colOff>
          <xdr:row>2567</xdr:row>
          <xdr:rowOff>0</xdr:rowOff>
        </xdr:to>
        <xdr:sp macro="" textlink="">
          <xdr:nvSpPr>
            <xdr:cNvPr id="1442" name="Button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2573</xdr:row>
          <xdr:rowOff>0</xdr:rowOff>
        </xdr:from>
        <xdr:to>
          <xdr:col>7</xdr:col>
          <xdr:colOff>0</xdr:colOff>
          <xdr:row>2573</xdr:row>
          <xdr:rowOff>38100</xdr:rowOff>
        </xdr:to>
        <xdr:sp macro="" textlink="">
          <xdr:nvSpPr>
            <xdr:cNvPr id="1441" name="Button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2574</xdr:row>
          <xdr:rowOff>0</xdr:rowOff>
        </xdr:from>
        <xdr:to>
          <xdr:col>7</xdr:col>
          <xdr:colOff>0</xdr:colOff>
          <xdr:row>2574</xdr:row>
          <xdr:rowOff>161925</xdr:rowOff>
        </xdr:to>
        <xdr:sp macro="" textlink="">
          <xdr:nvSpPr>
            <xdr:cNvPr id="1440" name="Button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2577</xdr:row>
          <xdr:rowOff>0</xdr:rowOff>
        </xdr:from>
        <xdr:to>
          <xdr:col>7</xdr:col>
          <xdr:colOff>0</xdr:colOff>
          <xdr:row>2578</xdr:row>
          <xdr:rowOff>0</xdr:rowOff>
        </xdr:to>
        <xdr:sp macro="" textlink="">
          <xdr:nvSpPr>
            <xdr:cNvPr id="1439" name="Button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2584</xdr:row>
          <xdr:rowOff>0</xdr:rowOff>
        </xdr:from>
        <xdr:to>
          <xdr:col>7</xdr:col>
          <xdr:colOff>0</xdr:colOff>
          <xdr:row>2584</xdr:row>
          <xdr:rowOff>38100</xdr:rowOff>
        </xdr:to>
        <xdr:sp macro="" textlink="">
          <xdr:nvSpPr>
            <xdr:cNvPr id="1438" name="Button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2585</xdr:row>
          <xdr:rowOff>0</xdr:rowOff>
        </xdr:from>
        <xdr:to>
          <xdr:col>7</xdr:col>
          <xdr:colOff>0</xdr:colOff>
          <xdr:row>2585</xdr:row>
          <xdr:rowOff>161925</xdr:rowOff>
        </xdr:to>
        <xdr:sp macro="" textlink="">
          <xdr:nvSpPr>
            <xdr:cNvPr id="1437" name="Button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2586</xdr:row>
          <xdr:rowOff>0</xdr:rowOff>
        </xdr:from>
        <xdr:to>
          <xdr:col>7</xdr:col>
          <xdr:colOff>0</xdr:colOff>
          <xdr:row>2586</xdr:row>
          <xdr:rowOff>161925</xdr:rowOff>
        </xdr:to>
        <xdr:sp macro="" textlink="">
          <xdr:nvSpPr>
            <xdr:cNvPr id="1436" name="Button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2589</xdr:row>
          <xdr:rowOff>0</xdr:rowOff>
        </xdr:from>
        <xdr:to>
          <xdr:col>7</xdr:col>
          <xdr:colOff>0</xdr:colOff>
          <xdr:row>2590</xdr:row>
          <xdr:rowOff>0</xdr:rowOff>
        </xdr:to>
        <xdr:sp macro="" textlink="">
          <xdr:nvSpPr>
            <xdr:cNvPr id="1435" name="Button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2596</xdr:row>
          <xdr:rowOff>0</xdr:rowOff>
        </xdr:from>
        <xdr:to>
          <xdr:col>7</xdr:col>
          <xdr:colOff>0</xdr:colOff>
          <xdr:row>2596</xdr:row>
          <xdr:rowOff>38100</xdr:rowOff>
        </xdr:to>
        <xdr:sp macro="" textlink="">
          <xdr:nvSpPr>
            <xdr:cNvPr id="1434" name="Button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2597</xdr:row>
          <xdr:rowOff>0</xdr:rowOff>
        </xdr:from>
        <xdr:to>
          <xdr:col>7</xdr:col>
          <xdr:colOff>0</xdr:colOff>
          <xdr:row>2597</xdr:row>
          <xdr:rowOff>161925</xdr:rowOff>
        </xdr:to>
        <xdr:sp macro="" textlink="">
          <xdr:nvSpPr>
            <xdr:cNvPr id="1433" name="Button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2598</xdr:row>
          <xdr:rowOff>0</xdr:rowOff>
        </xdr:from>
        <xdr:to>
          <xdr:col>7</xdr:col>
          <xdr:colOff>0</xdr:colOff>
          <xdr:row>2598</xdr:row>
          <xdr:rowOff>161925</xdr:rowOff>
        </xdr:to>
        <xdr:sp macro="" textlink="">
          <xdr:nvSpPr>
            <xdr:cNvPr id="1432" name="Button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2599</xdr:row>
          <xdr:rowOff>0</xdr:rowOff>
        </xdr:from>
        <xdr:to>
          <xdr:col>7</xdr:col>
          <xdr:colOff>0</xdr:colOff>
          <xdr:row>2599</xdr:row>
          <xdr:rowOff>161925</xdr:rowOff>
        </xdr:to>
        <xdr:sp macro="" textlink="">
          <xdr:nvSpPr>
            <xdr:cNvPr id="1431" name="Button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2600</xdr:row>
          <xdr:rowOff>0</xdr:rowOff>
        </xdr:from>
        <xdr:to>
          <xdr:col>7</xdr:col>
          <xdr:colOff>0</xdr:colOff>
          <xdr:row>2600</xdr:row>
          <xdr:rowOff>161925</xdr:rowOff>
        </xdr:to>
        <xdr:sp macro="" textlink="">
          <xdr:nvSpPr>
            <xdr:cNvPr id="1430" name="Button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2601</xdr:row>
          <xdr:rowOff>0</xdr:rowOff>
        </xdr:from>
        <xdr:to>
          <xdr:col>7</xdr:col>
          <xdr:colOff>0</xdr:colOff>
          <xdr:row>2601</xdr:row>
          <xdr:rowOff>161925</xdr:rowOff>
        </xdr:to>
        <xdr:sp macro="" textlink="">
          <xdr:nvSpPr>
            <xdr:cNvPr id="1429" name="Button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2602</xdr:row>
          <xdr:rowOff>0</xdr:rowOff>
        </xdr:from>
        <xdr:to>
          <xdr:col>7</xdr:col>
          <xdr:colOff>0</xdr:colOff>
          <xdr:row>2602</xdr:row>
          <xdr:rowOff>161925</xdr:rowOff>
        </xdr:to>
        <xdr:sp macro="" textlink="">
          <xdr:nvSpPr>
            <xdr:cNvPr id="1428" name="Button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2603</xdr:row>
          <xdr:rowOff>0</xdr:rowOff>
        </xdr:from>
        <xdr:to>
          <xdr:col>7</xdr:col>
          <xdr:colOff>0</xdr:colOff>
          <xdr:row>2603</xdr:row>
          <xdr:rowOff>161925</xdr:rowOff>
        </xdr:to>
        <xdr:sp macro="" textlink="">
          <xdr:nvSpPr>
            <xdr:cNvPr id="1427" name="Button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2604</xdr:row>
          <xdr:rowOff>0</xdr:rowOff>
        </xdr:from>
        <xdr:to>
          <xdr:col>7</xdr:col>
          <xdr:colOff>0</xdr:colOff>
          <xdr:row>2604</xdr:row>
          <xdr:rowOff>161925</xdr:rowOff>
        </xdr:to>
        <xdr:sp macro="" textlink="">
          <xdr:nvSpPr>
            <xdr:cNvPr id="1426" name="Button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2605</xdr:row>
          <xdr:rowOff>0</xdr:rowOff>
        </xdr:from>
        <xdr:to>
          <xdr:col>7</xdr:col>
          <xdr:colOff>0</xdr:colOff>
          <xdr:row>2605</xdr:row>
          <xdr:rowOff>161925</xdr:rowOff>
        </xdr:to>
        <xdr:sp macro="" textlink="">
          <xdr:nvSpPr>
            <xdr:cNvPr id="1425" name="Button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2606</xdr:row>
          <xdr:rowOff>0</xdr:rowOff>
        </xdr:from>
        <xdr:to>
          <xdr:col>7</xdr:col>
          <xdr:colOff>0</xdr:colOff>
          <xdr:row>2606</xdr:row>
          <xdr:rowOff>161925</xdr:rowOff>
        </xdr:to>
        <xdr:sp macro="" textlink="">
          <xdr:nvSpPr>
            <xdr:cNvPr id="1424" name="Button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2609</xdr:row>
          <xdr:rowOff>0</xdr:rowOff>
        </xdr:from>
        <xdr:to>
          <xdr:col>7</xdr:col>
          <xdr:colOff>0</xdr:colOff>
          <xdr:row>2610</xdr:row>
          <xdr:rowOff>0</xdr:rowOff>
        </xdr:to>
        <xdr:sp macro="" textlink="">
          <xdr:nvSpPr>
            <xdr:cNvPr id="1423" name="Button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2616</xdr:row>
          <xdr:rowOff>0</xdr:rowOff>
        </xdr:from>
        <xdr:to>
          <xdr:col>7</xdr:col>
          <xdr:colOff>0</xdr:colOff>
          <xdr:row>2616</xdr:row>
          <xdr:rowOff>38100</xdr:rowOff>
        </xdr:to>
        <xdr:sp macro="" textlink="">
          <xdr:nvSpPr>
            <xdr:cNvPr id="1422" name="Button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2617</xdr:row>
          <xdr:rowOff>0</xdr:rowOff>
        </xdr:from>
        <xdr:to>
          <xdr:col>7</xdr:col>
          <xdr:colOff>0</xdr:colOff>
          <xdr:row>2617</xdr:row>
          <xdr:rowOff>161925</xdr:rowOff>
        </xdr:to>
        <xdr:sp macro="" textlink="">
          <xdr:nvSpPr>
            <xdr:cNvPr id="1421" name="Button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2618</xdr:row>
          <xdr:rowOff>0</xdr:rowOff>
        </xdr:from>
        <xdr:to>
          <xdr:col>7</xdr:col>
          <xdr:colOff>0</xdr:colOff>
          <xdr:row>2618</xdr:row>
          <xdr:rowOff>161925</xdr:rowOff>
        </xdr:to>
        <xdr:sp macro="" textlink="">
          <xdr:nvSpPr>
            <xdr:cNvPr id="1420" name="Button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2619</xdr:row>
          <xdr:rowOff>0</xdr:rowOff>
        </xdr:from>
        <xdr:to>
          <xdr:col>7</xdr:col>
          <xdr:colOff>0</xdr:colOff>
          <xdr:row>2619</xdr:row>
          <xdr:rowOff>161925</xdr:rowOff>
        </xdr:to>
        <xdr:sp macro="" textlink="">
          <xdr:nvSpPr>
            <xdr:cNvPr id="1419" name="Button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2620</xdr:row>
          <xdr:rowOff>0</xdr:rowOff>
        </xdr:from>
        <xdr:to>
          <xdr:col>7</xdr:col>
          <xdr:colOff>0</xdr:colOff>
          <xdr:row>2620</xdr:row>
          <xdr:rowOff>161925</xdr:rowOff>
        </xdr:to>
        <xdr:sp macro="" textlink="">
          <xdr:nvSpPr>
            <xdr:cNvPr id="1418" name="Button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2621</xdr:row>
          <xdr:rowOff>0</xdr:rowOff>
        </xdr:from>
        <xdr:to>
          <xdr:col>7</xdr:col>
          <xdr:colOff>0</xdr:colOff>
          <xdr:row>2621</xdr:row>
          <xdr:rowOff>161925</xdr:rowOff>
        </xdr:to>
        <xdr:sp macro="" textlink="">
          <xdr:nvSpPr>
            <xdr:cNvPr id="1417" name="Button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2622</xdr:row>
          <xdr:rowOff>0</xdr:rowOff>
        </xdr:from>
        <xdr:to>
          <xdr:col>7</xdr:col>
          <xdr:colOff>0</xdr:colOff>
          <xdr:row>2622</xdr:row>
          <xdr:rowOff>161925</xdr:rowOff>
        </xdr:to>
        <xdr:sp macro="" textlink="">
          <xdr:nvSpPr>
            <xdr:cNvPr id="1416" name="Button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2623</xdr:row>
          <xdr:rowOff>0</xdr:rowOff>
        </xdr:from>
        <xdr:to>
          <xdr:col>7</xdr:col>
          <xdr:colOff>0</xdr:colOff>
          <xdr:row>2623</xdr:row>
          <xdr:rowOff>161925</xdr:rowOff>
        </xdr:to>
        <xdr:sp macro="" textlink="">
          <xdr:nvSpPr>
            <xdr:cNvPr id="1415" name="Button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2624</xdr:row>
          <xdr:rowOff>0</xdr:rowOff>
        </xdr:from>
        <xdr:to>
          <xdr:col>7</xdr:col>
          <xdr:colOff>0</xdr:colOff>
          <xdr:row>2624</xdr:row>
          <xdr:rowOff>161925</xdr:rowOff>
        </xdr:to>
        <xdr:sp macro="" textlink="">
          <xdr:nvSpPr>
            <xdr:cNvPr id="1414" name="Button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2625</xdr:row>
          <xdr:rowOff>0</xdr:rowOff>
        </xdr:from>
        <xdr:to>
          <xdr:col>7</xdr:col>
          <xdr:colOff>0</xdr:colOff>
          <xdr:row>2625</xdr:row>
          <xdr:rowOff>161925</xdr:rowOff>
        </xdr:to>
        <xdr:sp macro="" textlink="">
          <xdr:nvSpPr>
            <xdr:cNvPr id="1413" name="Button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2626</xdr:row>
          <xdr:rowOff>0</xdr:rowOff>
        </xdr:from>
        <xdr:to>
          <xdr:col>7</xdr:col>
          <xdr:colOff>0</xdr:colOff>
          <xdr:row>2626</xdr:row>
          <xdr:rowOff>161925</xdr:rowOff>
        </xdr:to>
        <xdr:sp macro="" textlink="">
          <xdr:nvSpPr>
            <xdr:cNvPr id="1412" name="Button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2627</xdr:row>
          <xdr:rowOff>0</xdr:rowOff>
        </xdr:from>
        <xdr:to>
          <xdr:col>7</xdr:col>
          <xdr:colOff>0</xdr:colOff>
          <xdr:row>2627</xdr:row>
          <xdr:rowOff>161925</xdr:rowOff>
        </xdr:to>
        <xdr:sp macro="" textlink="">
          <xdr:nvSpPr>
            <xdr:cNvPr id="1411" name="Button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2628</xdr:row>
          <xdr:rowOff>0</xdr:rowOff>
        </xdr:from>
        <xdr:to>
          <xdr:col>7</xdr:col>
          <xdr:colOff>0</xdr:colOff>
          <xdr:row>2628</xdr:row>
          <xdr:rowOff>161925</xdr:rowOff>
        </xdr:to>
        <xdr:sp macro="" textlink="">
          <xdr:nvSpPr>
            <xdr:cNvPr id="1410" name="Button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2629</xdr:row>
          <xdr:rowOff>0</xdr:rowOff>
        </xdr:from>
        <xdr:to>
          <xdr:col>7</xdr:col>
          <xdr:colOff>0</xdr:colOff>
          <xdr:row>2629</xdr:row>
          <xdr:rowOff>161925</xdr:rowOff>
        </xdr:to>
        <xdr:sp macro="" textlink="">
          <xdr:nvSpPr>
            <xdr:cNvPr id="1409" name="Button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2630</xdr:row>
          <xdr:rowOff>0</xdr:rowOff>
        </xdr:from>
        <xdr:to>
          <xdr:col>7</xdr:col>
          <xdr:colOff>0</xdr:colOff>
          <xdr:row>2630</xdr:row>
          <xdr:rowOff>161925</xdr:rowOff>
        </xdr:to>
        <xdr:sp macro="" textlink="">
          <xdr:nvSpPr>
            <xdr:cNvPr id="1408" name="Button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2631</xdr:row>
          <xdr:rowOff>0</xdr:rowOff>
        </xdr:from>
        <xdr:to>
          <xdr:col>7</xdr:col>
          <xdr:colOff>0</xdr:colOff>
          <xdr:row>2631</xdr:row>
          <xdr:rowOff>161925</xdr:rowOff>
        </xdr:to>
        <xdr:sp macro="" textlink="">
          <xdr:nvSpPr>
            <xdr:cNvPr id="1407" name="Button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2632</xdr:row>
          <xdr:rowOff>0</xdr:rowOff>
        </xdr:from>
        <xdr:to>
          <xdr:col>7</xdr:col>
          <xdr:colOff>0</xdr:colOff>
          <xdr:row>2632</xdr:row>
          <xdr:rowOff>161925</xdr:rowOff>
        </xdr:to>
        <xdr:sp macro="" textlink="">
          <xdr:nvSpPr>
            <xdr:cNvPr id="1406" name="Button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2633</xdr:row>
          <xdr:rowOff>0</xdr:rowOff>
        </xdr:from>
        <xdr:to>
          <xdr:col>7</xdr:col>
          <xdr:colOff>0</xdr:colOff>
          <xdr:row>2633</xdr:row>
          <xdr:rowOff>161925</xdr:rowOff>
        </xdr:to>
        <xdr:sp macro="" textlink="">
          <xdr:nvSpPr>
            <xdr:cNvPr id="1405" name="Button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2634</xdr:row>
          <xdr:rowOff>0</xdr:rowOff>
        </xdr:from>
        <xdr:to>
          <xdr:col>7</xdr:col>
          <xdr:colOff>0</xdr:colOff>
          <xdr:row>2634</xdr:row>
          <xdr:rowOff>161925</xdr:rowOff>
        </xdr:to>
        <xdr:sp macro="" textlink="">
          <xdr:nvSpPr>
            <xdr:cNvPr id="1404" name="Button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2635</xdr:row>
          <xdr:rowOff>0</xdr:rowOff>
        </xdr:from>
        <xdr:to>
          <xdr:col>7</xdr:col>
          <xdr:colOff>0</xdr:colOff>
          <xdr:row>2635</xdr:row>
          <xdr:rowOff>161925</xdr:rowOff>
        </xdr:to>
        <xdr:sp macro="" textlink="">
          <xdr:nvSpPr>
            <xdr:cNvPr id="1403" name="Button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2636</xdr:row>
          <xdr:rowOff>0</xdr:rowOff>
        </xdr:from>
        <xdr:to>
          <xdr:col>7</xdr:col>
          <xdr:colOff>0</xdr:colOff>
          <xdr:row>2636</xdr:row>
          <xdr:rowOff>161925</xdr:rowOff>
        </xdr:to>
        <xdr:sp macro="" textlink="">
          <xdr:nvSpPr>
            <xdr:cNvPr id="1402" name="Button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2637</xdr:row>
          <xdr:rowOff>0</xdr:rowOff>
        </xdr:from>
        <xdr:to>
          <xdr:col>7</xdr:col>
          <xdr:colOff>0</xdr:colOff>
          <xdr:row>2637</xdr:row>
          <xdr:rowOff>161925</xdr:rowOff>
        </xdr:to>
        <xdr:sp macro="" textlink="">
          <xdr:nvSpPr>
            <xdr:cNvPr id="1401" name="Button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2638</xdr:row>
          <xdr:rowOff>0</xdr:rowOff>
        </xdr:from>
        <xdr:to>
          <xdr:col>7</xdr:col>
          <xdr:colOff>0</xdr:colOff>
          <xdr:row>2638</xdr:row>
          <xdr:rowOff>161925</xdr:rowOff>
        </xdr:to>
        <xdr:sp macro="" textlink="">
          <xdr:nvSpPr>
            <xdr:cNvPr id="1400" name="Button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2639</xdr:row>
          <xdr:rowOff>0</xdr:rowOff>
        </xdr:from>
        <xdr:to>
          <xdr:col>7</xdr:col>
          <xdr:colOff>0</xdr:colOff>
          <xdr:row>2639</xdr:row>
          <xdr:rowOff>161925</xdr:rowOff>
        </xdr:to>
        <xdr:sp macro="" textlink="">
          <xdr:nvSpPr>
            <xdr:cNvPr id="1399" name="Button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2640</xdr:row>
          <xdr:rowOff>0</xdr:rowOff>
        </xdr:from>
        <xdr:to>
          <xdr:col>7</xdr:col>
          <xdr:colOff>0</xdr:colOff>
          <xdr:row>2640</xdr:row>
          <xdr:rowOff>161925</xdr:rowOff>
        </xdr:to>
        <xdr:sp macro="" textlink="">
          <xdr:nvSpPr>
            <xdr:cNvPr id="1398" name="Button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2641</xdr:row>
          <xdr:rowOff>0</xdr:rowOff>
        </xdr:from>
        <xdr:to>
          <xdr:col>7</xdr:col>
          <xdr:colOff>0</xdr:colOff>
          <xdr:row>2641</xdr:row>
          <xdr:rowOff>161925</xdr:rowOff>
        </xdr:to>
        <xdr:sp macro="" textlink="">
          <xdr:nvSpPr>
            <xdr:cNvPr id="1397" name="Button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2642</xdr:row>
          <xdr:rowOff>0</xdr:rowOff>
        </xdr:from>
        <xdr:to>
          <xdr:col>7</xdr:col>
          <xdr:colOff>0</xdr:colOff>
          <xdr:row>2642</xdr:row>
          <xdr:rowOff>161925</xdr:rowOff>
        </xdr:to>
        <xdr:sp macro="" textlink="">
          <xdr:nvSpPr>
            <xdr:cNvPr id="1396" name="Button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2643</xdr:row>
          <xdr:rowOff>0</xdr:rowOff>
        </xdr:from>
        <xdr:to>
          <xdr:col>7</xdr:col>
          <xdr:colOff>0</xdr:colOff>
          <xdr:row>2643</xdr:row>
          <xdr:rowOff>161925</xdr:rowOff>
        </xdr:to>
        <xdr:sp macro="" textlink="">
          <xdr:nvSpPr>
            <xdr:cNvPr id="1395" name="Button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2644</xdr:row>
          <xdr:rowOff>0</xdr:rowOff>
        </xdr:from>
        <xdr:to>
          <xdr:col>7</xdr:col>
          <xdr:colOff>0</xdr:colOff>
          <xdr:row>2644</xdr:row>
          <xdr:rowOff>161925</xdr:rowOff>
        </xdr:to>
        <xdr:sp macro="" textlink="">
          <xdr:nvSpPr>
            <xdr:cNvPr id="1394" name="Button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2645</xdr:row>
          <xdr:rowOff>0</xdr:rowOff>
        </xdr:from>
        <xdr:to>
          <xdr:col>7</xdr:col>
          <xdr:colOff>0</xdr:colOff>
          <xdr:row>2645</xdr:row>
          <xdr:rowOff>161925</xdr:rowOff>
        </xdr:to>
        <xdr:sp macro="" textlink="">
          <xdr:nvSpPr>
            <xdr:cNvPr id="1393" name="Button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2646</xdr:row>
          <xdr:rowOff>0</xdr:rowOff>
        </xdr:from>
        <xdr:to>
          <xdr:col>7</xdr:col>
          <xdr:colOff>0</xdr:colOff>
          <xdr:row>2646</xdr:row>
          <xdr:rowOff>161925</xdr:rowOff>
        </xdr:to>
        <xdr:sp macro="" textlink="">
          <xdr:nvSpPr>
            <xdr:cNvPr id="1392" name="Button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2647</xdr:row>
          <xdr:rowOff>0</xdr:rowOff>
        </xdr:from>
        <xdr:to>
          <xdr:col>7</xdr:col>
          <xdr:colOff>0</xdr:colOff>
          <xdr:row>2647</xdr:row>
          <xdr:rowOff>161925</xdr:rowOff>
        </xdr:to>
        <xdr:sp macro="" textlink="">
          <xdr:nvSpPr>
            <xdr:cNvPr id="1391" name="Button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2648</xdr:row>
          <xdr:rowOff>0</xdr:rowOff>
        </xdr:from>
        <xdr:to>
          <xdr:col>7</xdr:col>
          <xdr:colOff>0</xdr:colOff>
          <xdr:row>2648</xdr:row>
          <xdr:rowOff>161925</xdr:rowOff>
        </xdr:to>
        <xdr:sp macro="" textlink="">
          <xdr:nvSpPr>
            <xdr:cNvPr id="1390" name="Button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2649</xdr:row>
          <xdr:rowOff>0</xdr:rowOff>
        </xdr:from>
        <xdr:to>
          <xdr:col>7</xdr:col>
          <xdr:colOff>0</xdr:colOff>
          <xdr:row>2649</xdr:row>
          <xdr:rowOff>161925</xdr:rowOff>
        </xdr:to>
        <xdr:sp macro="" textlink="">
          <xdr:nvSpPr>
            <xdr:cNvPr id="1389" name="Button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2650</xdr:row>
          <xdr:rowOff>0</xdr:rowOff>
        </xdr:from>
        <xdr:to>
          <xdr:col>7</xdr:col>
          <xdr:colOff>0</xdr:colOff>
          <xdr:row>2650</xdr:row>
          <xdr:rowOff>161925</xdr:rowOff>
        </xdr:to>
        <xdr:sp macro="" textlink="">
          <xdr:nvSpPr>
            <xdr:cNvPr id="1388" name="Button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2651</xdr:row>
          <xdr:rowOff>0</xdr:rowOff>
        </xdr:from>
        <xdr:to>
          <xdr:col>7</xdr:col>
          <xdr:colOff>0</xdr:colOff>
          <xdr:row>2651</xdr:row>
          <xdr:rowOff>161925</xdr:rowOff>
        </xdr:to>
        <xdr:sp macro="" textlink="">
          <xdr:nvSpPr>
            <xdr:cNvPr id="1387" name="Button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2652</xdr:row>
          <xdr:rowOff>0</xdr:rowOff>
        </xdr:from>
        <xdr:to>
          <xdr:col>7</xdr:col>
          <xdr:colOff>0</xdr:colOff>
          <xdr:row>2652</xdr:row>
          <xdr:rowOff>161925</xdr:rowOff>
        </xdr:to>
        <xdr:sp macro="" textlink="">
          <xdr:nvSpPr>
            <xdr:cNvPr id="1386" name="Button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2653</xdr:row>
          <xdr:rowOff>0</xdr:rowOff>
        </xdr:from>
        <xdr:to>
          <xdr:col>7</xdr:col>
          <xdr:colOff>0</xdr:colOff>
          <xdr:row>2653</xdr:row>
          <xdr:rowOff>161925</xdr:rowOff>
        </xdr:to>
        <xdr:sp macro="" textlink="">
          <xdr:nvSpPr>
            <xdr:cNvPr id="1385" name="Button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2654</xdr:row>
          <xdr:rowOff>0</xdr:rowOff>
        </xdr:from>
        <xdr:to>
          <xdr:col>7</xdr:col>
          <xdr:colOff>0</xdr:colOff>
          <xdr:row>2654</xdr:row>
          <xdr:rowOff>161925</xdr:rowOff>
        </xdr:to>
        <xdr:sp macro="" textlink="">
          <xdr:nvSpPr>
            <xdr:cNvPr id="1384" name="Button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2655</xdr:row>
          <xdr:rowOff>0</xdr:rowOff>
        </xdr:from>
        <xdr:to>
          <xdr:col>7</xdr:col>
          <xdr:colOff>0</xdr:colOff>
          <xdr:row>2655</xdr:row>
          <xdr:rowOff>161925</xdr:rowOff>
        </xdr:to>
        <xdr:sp macro="" textlink="">
          <xdr:nvSpPr>
            <xdr:cNvPr id="1383" name="Button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2656</xdr:row>
          <xdr:rowOff>0</xdr:rowOff>
        </xdr:from>
        <xdr:to>
          <xdr:col>7</xdr:col>
          <xdr:colOff>0</xdr:colOff>
          <xdr:row>2656</xdr:row>
          <xdr:rowOff>161925</xdr:rowOff>
        </xdr:to>
        <xdr:sp macro="" textlink="">
          <xdr:nvSpPr>
            <xdr:cNvPr id="1382" name="Button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2657</xdr:row>
          <xdr:rowOff>0</xdr:rowOff>
        </xdr:from>
        <xdr:to>
          <xdr:col>7</xdr:col>
          <xdr:colOff>0</xdr:colOff>
          <xdr:row>2657</xdr:row>
          <xdr:rowOff>161925</xdr:rowOff>
        </xdr:to>
        <xdr:sp macro="" textlink="">
          <xdr:nvSpPr>
            <xdr:cNvPr id="1381" name="Button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2658</xdr:row>
          <xdr:rowOff>0</xdr:rowOff>
        </xdr:from>
        <xdr:to>
          <xdr:col>7</xdr:col>
          <xdr:colOff>0</xdr:colOff>
          <xdr:row>2658</xdr:row>
          <xdr:rowOff>161925</xdr:rowOff>
        </xdr:to>
        <xdr:sp macro="" textlink="">
          <xdr:nvSpPr>
            <xdr:cNvPr id="1380" name="Button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2659</xdr:row>
          <xdr:rowOff>0</xdr:rowOff>
        </xdr:from>
        <xdr:to>
          <xdr:col>7</xdr:col>
          <xdr:colOff>0</xdr:colOff>
          <xdr:row>2659</xdr:row>
          <xdr:rowOff>161925</xdr:rowOff>
        </xdr:to>
        <xdr:sp macro="" textlink="">
          <xdr:nvSpPr>
            <xdr:cNvPr id="1379" name="Button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2660</xdr:row>
          <xdr:rowOff>0</xdr:rowOff>
        </xdr:from>
        <xdr:to>
          <xdr:col>7</xdr:col>
          <xdr:colOff>0</xdr:colOff>
          <xdr:row>2660</xdr:row>
          <xdr:rowOff>161925</xdr:rowOff>
        </xdr:to>
        <xdr:sp macro="" textlink="">
          <xdr:nvSpPr>
            <xdr:cNvPr id="1378" name="Button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2661</xdr:row>
          <xdr:rowOff>0</xdr:rowOff>
        </xdr:from>
        <xdr:to>
          <xdr:col>7</xdr:col>
          <xdr:colOff>0</xdr:colOff>
          <xdr:row>2661</xdr:row>
          <xdr:rowOff>161925</xdr:rowOff>
        </xdr:to>
        <xdr:sp macro="" textlink="">
          <xdr:nvSpPr>
            <xdr:cNvPr id="1377" name="Button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2662</xdr:row>
          <xdr:rowOff>0</xdr:rowOff>
        </xdr:from>
        <xdr:to>
          <xdr:col>7</xdr:col>
          <xdr:colOff>0</xdr:colOff>
          <xdr:row>2662</xdr:row>
          <xdr:rowOff>161925</xdr:rowOff>
        </xdr:to>
        <xdr:sp macro="" textlink="">
          <xdr:nvSpPr>
            <xdr:cNvPr id="1376" name="Button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2663</xdr:row>
          <xdr:rowOff>0</xdr:rowOff>
        </xdr:from>
        <xdr:to>
          <xdr:col>7</xdr:col>
          <xdr:colOff>0</xdr:colOff>
          <xdr:row>2663</xdr:row>
          <xdr:rowOff>161925</xdr:rowOff>
        </xdr:to>
        <xdr:sp macro="" textlink="">
          <xdr:nvSpPr>
            <xdr:cNvPr id="1375" name="Button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2664</xdr:row>
          <xdr:rowOff>0</xdr:rowOff>
        </xdr:from>
        <xdr:to>
          <xdr:col>7</xdr:col>
          <xdr:colOff>0</xdr:colOff>
          <xdr:row>2664</xdr:row>
          <xdr:rowOff>161925</xdr:rowOff>
        </xdr:to>
        <xdr:sp macro="" textlink="">
          <xdr:nvSpPr>
            <xdr:cNvPr id="1374" name="Button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2665</xdr:row>
          <xdr:rowOff>0</xdr:rowOff>
        </xdr:from>
        <xdr:to>
          <xdr:col>7</xdr:col>
          <xdr:colOff>0</xdr:colOff>
          <xdr:row>2665</xdr:row>
          <xdr:rowOff>161925</xdr:rowOff>
        </xdr:to>
        <xdr:sp macro="" textlink="">
          <xdr:nvSpPr>
            <xdr:cNvPr id="1373" name="Button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2666</xdr:row>
          <xdr:rowOff>0</xdr:rowOff>
        </xdr:from>
        <xdr:to>
          <xdr:col>7</xdr:col>
          <xdr:colOff>0</xdr:colOff>
          <xdr:row>2666</xdr:row>
          <xdr:rowOff>161925</xdr:rowOff>
        </xdr:to>
        <xdr:sp macro="" textlink="">
          <xdr:nvSpPr>
            <xdr:cNvPr id="1372" name="Button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2667</xdr:row>
          <xdr:rowOff>0</xdr:rowOff>
        </xdr:from>
        <xdr:to>
          <xdr:col>7</xdr:col>
          <xdr:colOff>0</xdr:colOff>
          <xdr:row>2667</xdr:row>
          <xdr:rowOff>161925</xdr:rowOff>
        </xdr:to>
        <xdr:sp macro="" textlink="">
          <xdr:nvSpPr>
            <xdr:cNvPr id="1371" name="Button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2668</xdr:row>
          <xdr:rowOff>0</xdr:rowOff>
        </xdr:from>
        <xdr:to>
          <xdr:col>7</xdr:col>
          <xdr:colOff>0</xdr:colOff>
          <xdr:row>2668</xdr:row>
          <xdr:rowOff>161925</xdr:rowOff>
        </xdr:to>
        <xdr:sp macro="" textlink="">
          <xdr:nvSpPr>
            <xdr:cNvPr id="1370" name="Button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2669</xdr:row>
          <xdr:rowOff>0</xdr:rowOff>
        </xdr:from>
        <xdr:to>
          <xdr:col>7</xdr:col>
          <xdr:colOff>0</xdr:colOff>
          <xdr:row>2669</xdr:row>
          <xdr:rowOff>161925</xdr:rowOff>
        </xdr:to>
        <xdr:sp macro="" textlink="">
          <xdr:nvSpPr>
            <xdr:cNvPr id="1369" name="Button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2670</xdr:row>
          <xdr:rowOff>0</xdr:rowOff>
        </xdr:from>
        <xdr:to>
          <xdr:col>7</xdr:col>
          <xdr:colOff>0</xdr:colOff>
          <xdr:row>2670</xdr:row>
          <xdr:rowOff>161925</xdr:rowOff>
        </xdr:to>
        <xdr:sp macro="" textlink="">
          <xdr:nvSpPr>
            <xdr:cNvPr id="1368" name="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2671</xdr:row>
          <xdr:rowOff>0</xdr:rowOff>
        </xdr:from>
        <xdr:to>
          <xdr:col>7</xdr:col>
          <xdr:colOff>0</xdr:colOff>
          <xdr:row>2671</xdr:row>
          <xdr:rowOff>161925</xdr:rowOff>
        </xdr:to>
        <xdr:sp macro="" textlink="">
          <xdr:nvSpPr>
            <xdr:cNvPr id="1367" name="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2672</xdr:row>
          <xdr:rowOff>0</xdr:rowOff>
        </xdr:from>
        <xdr:to>
          <xdr:col>7</xdr:col>
          <xdr:colOff>0</xdr:colOff>
          <xdr:row>2672</xdr:row>
          <xdr:rowOff>161925</xdr:rowOff>
        </xdr:to>
        <xdr:sp macro="" textlink="">
          <xdr:nvSpPr>
            <xdr:cNvPr id="1366" name="Button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2673</xdr:row>
          <xdr:rowOff>0</xdr:rowOff>
        </xdr:from>
        <xdr:to>
          <xdr:col>7</xdr:col>
          <xdr:colOff>0</xdr:colOff>
          <xdr:row>2673</xdr:row>
          <xdr:rowOff>161925</xdr:rowOff>
        </xdr:to>
        <xdr:sp macro="" textlink="">
          <xdr:nvSpPr>
            <xdr:cNvPr id="1365" name="Button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2674</xdr:row>
          <xdr:rowOff>0</xdr:rowOff>
        </xdr:from>
        <xdr:to>
          <xdr:col>7</xdr:col>
          <xdr:colOff>0</xdr:colOff>
          <xdr:row>2674</xdr:row>
          <xdr:rowOff>161925</xdr:rowOff>
        </xdr:to>
        <xdr:sp macro="" textlink="">
          <xdr:nvSpPr>
            <xdr:cNvPr id="1364" name="Button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2675</xdr:row>
          <xdr:rowOff>0</xdr:rowOff>
        </xdr:from>
        <xdr:to>
          <xdr:col>7</xdr:col>
          <xdr:colOff>0</xdr:colOff>
          <xdr:row>2675</xdr:row>
          <xdr:rowOff>161925</xdr:rowOff>
        </xdr:to>
        <xdr:sp macro="" textlink="">
          <xdr:nvSpPr>
            <xdr:cNvPr id="1363" name="Button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2676</xdr:row>
          <xdr:rowOff>0</xdr:rowOff>
        </xdr:from>
        <xdr:to>
          <xdr:col>7</xdr:col>
          <xdr:colOff>0</xdr:colOff>
          <xdr:row>2676</xdr:row>
          <xdr:rowOff>161925</xdr:rowOff>
        </xdr:to>
        <xdr:sp macro="" textlink="">
          <xdr:nvSpPr>
            <xdr:cNvPr id="1362" name="Button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2677</xdr:row>
          <xdr:rowOff>0</xdr:rowOff>
        </xdr:from>
        <xdr:to>
          <xdr:col>7</xdr:col>
          <xdr:colOff>0</xdr:colOff>
          <xdr:row>2677</xdr:row>
          <xdr:rowOff>161925</xdr:rowOff>
        </xdr:to>
        <xdr:sp macro="" textlink="">
          <xdr:nvSpPr>
            <xdr:cNvPr id="1361" name="Button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2678</xdr:row>
          <xdr:rowOff>0</xdr:rowOff>
        </xdr:from>
        <xdr:to>
          <xdr:col>7</xdr:col>
          <xdr:colOff>0</xdr:colOff>
          <xdr:row>2678</xdr:row>
          <xdr:rowOff>161925</xdr:rowOff>
        </xdr:to>
        <xdr:sp macro="" textlink="">
          <xdr:nvSpPr>
            <xdr:cNvPr id="1360" name="Button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2679</xdr:row>
          <xdr:rowOff>0</xdr:rowOff>
        </xdr:from>
        <xdr:to>
          <xdr:col>7</xdr:col>
          <xdr:colOff>0</xdr:colOff>
          <xdr:row>2679</xdr:row>
          <xdr:rowOff>161925</xdr:rowOff>
        </xdr:to>
        <xdr:sp macro="" textlink="">
          <xdr:nvSpPr>
            <xdr:cNvPr id="1359" name="Button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2680</xdr:row>
          <xdr:rowOff>0</xdr:rowOff>
        </xdr:from>
        <xdr:to>
          <xdr:col>7</xdr:col>
          <xdr:colOff>0</xdr:colOff>
          <xdr:row>2680</xdr:row>
          <xdr:rowOff>161925</xdr:rowOff>
        </xdr:to>
        <xdr:sp macro="" textlink="">
          <xdr:nvSpPr>
            <xdr:cNvPr id="1358" name="Button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2681</xdr:row>
          <xdr:rowOff>0</xdr:rowOff>
        </xdr:from>
        <xdr:to>
          <xdr:col>7</xdr:col>
          <xdr:colOff>0</xdr:colOff>
          <xdr:row>2681</xdr:row>
          <xdr:rowOff>161925</xdr:rowOff>
        </xdr:to>
        <xdr:sp macro="" textlink="">
          <xdr:nvSpPr>
            <xdr:cNvPr id="1357" name="Button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2682</xdr:row>
          <xdr:rowOff>0</xdr:rowOff>
        </xdr:from>
        <xdr:to>
          <xdr:col>7</xdr:col>
          <xdr:colOff>0</xdr:colOff>
          <xdr:row>2682</xdr:row>
          <xdr:rowOff>161925</xdr:rowOff>
        </xdr:to>
        <xdr:sp macro="" textlink="">
          <xdr:nvSpPr>
            <xdr:cNvPr id="1356" name="Button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2683</xdr:row>
          <xdr:rowOff>0</xdr:rowOff>
        </xdr:from>
        <xdr:to>
          <xdr:col>7</xdr:col>
          <xdr:colOff>0</xdr:colOff>
          <xdr:row>2683</xdr:row>
          <xdr:rowOff>161925</xdr:rowOff>
        </xdr:to>
        <xdr:sp macro="" textlink="">
          <xdr:nvSpPr>
            <xdr:cNvPr id="1355" name="Button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2684</xdr:row>
          <xdr:rowOff>0</xdr:rowOff>
        </xdr:from>
        <xdr:to>
          <xdr:col>7</xdr:col>
          <xdr:colOff>0</xdr:colOff>
          <xdr:row>2684</xdr:row>
          <xdr:rowOff>161925</xdr:rowOff>
        </xdr:to>
        <xdr:sp macro="" textlink="">
          <xdr:nvSpPr>
            <xdr:cNvPr id="1354" name="Button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2685</xdr:row>
          <xdr:rowOff>0</xdr:rowOff>
        </xdr:from>
        <xdr:to>
          <xdr:col>7</xdr:col>
          <xdr:colOff>0</xdr:colOff>
          <xdr:row>2685</xdr:row>
          <xdr:rowOff>161925</xdr:rowOff>
        </xdr:to>
        <xdr:sp macro="" textlink="">
          <xdr:nvSpPr>
            <xdr:cNvPr id="1353" name="Button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2686</xdr:row>
          <xdr:rowOff>0</xdr:rowOff>
        </xdr:from>
        <xdr:to>
          <xdr:col>7</xdr:col>
          <xdr:colOff>0</xdr:colOff>
          <xdr:row>2686</xdr:row>
          <xdr:rowOff>161925</xdr:rowOff>
        </xdr:to>
        <xdr:sp macro="" textlink="">
          <xdr:nvSpPr>
            <xdr:cNvPr id="1352" name="Butto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2687</xdr:row>
          <xdr:rowOff>0</xdr:rowOff>
        </xdr:from>
        <xdr:to>
          <xdr:col>7</xdr:col>
          <xdr:colOff>0</xdr:colOff>
          <xdr:row>2687</xdr:row>
          <xdr:rowOff>161925</xdr:rowOff>
        </xdr:to>
        <xdr:sp macro="" textlink="">
          <xdr:nvSpPr>
            <xdr:cNvPr id="1351" name="Button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2688</xdr:row>
          <xdr:rowOff>0</xdr:rowOff>
        </xdr:from>
        <xdr:to>
          <xdr:col>7</xdr:col>
          <xdr:colOff>0</xdr:colOff>
          <xdr:row>2688</xdr:row>
          <xdr:rowOff>161925</xdr:rowOff>
        </xdr:to>
        <xdr:sp macro="" textlink="">
          <xdr:nvSpPr>
            <xdr:cNvPr id="1350" name="Button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2691</xdr:row>
          <xdr:rowOff>0</xdr:rowOff>
        </xdr:from>
        <xdr:to>
          <xdr:col>7</xdr:col>
          <xdr:colOff>0</xdr:colOff>
          <xdr:row>2692</xdr:row>
          <xdr:rowOff>0</xdr:rowOff>
        </xdr:to>
        <xdr:sp macro="" textlink="">
          <xdr:nvSpPr>
            <xdr:cNvPr id="1349" name="Button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2698</xdr:row>
          <xdr:rowOff>0</xdr:rowOff>
        </xdr:from>
        <xdr:to>
          <xdr:col>7</xdr:col>
          <xdr:colOff>0</xdr:colOff>
          <xdr:row>2698</xdr:row>
          <xdr:rowOff>38100</xdr:rowOff>
        </xdr:to>
        <xdr:sp macro="" textlink="">
          <xdr:nvSpPr>
            <xdr:cNvPr id="1348" name="Button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2699</xdr:row>
          <xdr:rowOff>0</xdr:rowOff>
        </xdr:from>
        <xdr:to>
          <xdr:col>7</xdr:col>
          <xdr:colOff>0</xdr:colOff>
          <xdr:row>2699</xdr:row>
          <xdr:rowOff>161925</xdr:rowOff>
        </xdr:to>
        <xdr:sp macro="" textlink="">
          <xdr:nvSpPr>
            <xdr:cNvPr id="1347" name="Button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2700</xdr:row>
          <xdr:rowOff>0</xdr:rowOff>
        </xdr:from>
        <xdr:to>
          <xdr:col>7</xdr:col>
          <xdr:colOff>0</xdr:colOff>
          <xdr:row>2700</xdr:row>
          <xdr:rowOff>161925</xdr:rowOff>
        </xdr:to>
        <xdr:sp macro="" textlink="">
          <xdr:nvSpPr>
            <xdr:cNvPr id="1346" name="Button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2701</xdr:row>
          <xdr:rowOff>0</xdr:rowOff>
        </xdr:from>
        <xdr:to>
          <xdr:col>7</xdr:col>
          <xdr:colOff>0</xdr:colOff>
          <xdr:row>2701</xdr:row>
          <xdr:rowOff>161925</xdr:rowOff>
        </xdr:to>
        <xdr:sp macro="" textlink="">
          <xdr:nvSpPr>
            <xdr:cNvPr id="1345" name="Button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2704</xdr:row>
          <xdr:rowOff>0</xdr:rowOff>
        </xdr:from>
        <xdr:to>
          <xdr:col>7</xdr:col>
          <xdr:colOff>0</xdr:colOff>
          <xdr:row>2705</xdr:row>
          <xdr:rowOff>0</xdr:rowOff>
        </xdr:to>
        <xdr:sp macro="" textlink="">
          <xdr:nvSpPr>
            <xdr:cNvPr id="1344" name="Button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2711</xdr:row>
          <xdr:rowOff>0</xdr:rowOff>
        </xdr:from>
        <xdr:to>
          <xdr:col>7</xdr:col>
          <xdr:colOff>0</xdr:colOff>
          <xdr:row>2711</xdr:row>
          <xdr:rowOff>38100</xdr:rowOff>
        </xdr:to>
        <xdr:sp macro="" textlink="">
          <xdr:nvSpPr>
            <xdr:cNvPr id="1343" name="Button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2712</xdr:row>
          <xdr:rowOff>0</xdr:rowOff>
        </xdr:from>
        <xdr:to>
          <xdr:col>7</xdr:col>
          <xdr:colOff>0</xdr:colOff>
          <xdr:row>2712</xdr:row>
          <xdr:rowOff>161925</xdr:rowOff>
        </xdr:to>
        <xdr:sp macro="" textlink="">
          <xdr:nvSpPr>
            <xdr:cNvPr id="1342" name="Butto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2713</xdr:row>
          <xdr:rowOff>0</xdr:rowOff>
        </xdr:from>
        <xdr:to>
          <xdr:col>7</xdr:col>
          <xdr:colOff>0</xdr:colOff>
          <xdr:row>2713</xdr:row>
          <xdr:rowOff>161925</xdr:rowOff>
        </xdr:to>
        <xdr:sp macro="" textlink="">
          <xdr:nvSpPr>
            <xdr:cNvPr id="1341" name="Button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2714</xdr:row>
          <xdr:rowOff>0</xdr:rowOff>
        </xdr:from>
        <xdr:to>
          <xdr:col>7</xdr:col>
          <xdr:colOff>0</xdr:colOff>
          <xdr:row>2714</xdr:row>
          <xdr:rowOff>161925</xdr:rowOff>
        </xdr:to>
        <xdr:sp macro="" textlink="">
          <xdr:nvSpPr>
            <xdr:cNvPr id="1340" name="Button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2717</xdr:row>
          <xdr:rowOff>0</xdr:rowOff>
        </xdr:from>
        <xdr:to>
          <xdr:col>7</xdr:col>
          <xdr:colOff>0</xdr:colOff>
          <xdr:row>2718</xdr:row>
          <xdr:rowOff>0</xdr:rowOff>
        </xdr:to>
        <xdr:sp macro="" textlink="">
          <xdr:nvSpPr>
            <xdr:cNvPr id="1339" name="Button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2724</xdr:row>
          <xdr:rowOff>0</xdr:rowOff>
        </xdr:from>
        <xdr:to>
          <xdr:col>7</xdr:col>
          <xdr:colOff>0</xdr:colOff>
          <xdr:row>2724</xdr:row>
          <xdr:rowOff>38100</xdr:rowOff>
        </xdr:to>
        <xdr:sp macro="" textlink="">
          <xdr:nvSpPr>
            <xdr:cNvPr id="1338" name="Button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2725</xdr:row>
          <xdr:rowOff>0</xdr:rowOff>
        </xdr:from>
        <xdr:to>
          <xdr:col>7</xdr:col>
          <xdr:colOff>0</xdr:colOff>
          <xdr:row>2725</xdr:row>
          <xdr:rowOff>161925</xdr:rowOff>
        </xdr:to>
        <xdr:sp macro="" textlink="">
          <xdr:nvSpPr>
            <xdr:cNvPr id="1337" name="Button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2728</xdr:row>
          <xdr:rowOff>0</xdr:rowOff>
        </xdr:from>
        <xdr:to>
          <xdr:col>7</xdr:col>
          <xdr:colOff>0</xdr:colOff>
          <xdr:row>2729</xdr:row>
          <xdr:rowOff>0</xdr:rowOff>
        </xdr:to>
        <xdr:sp macro="" textlink="">
          <xdr:nvSpPr>
            <xdr:cNvPr id="1336" name="Button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2735</xdr:row>
          <xdr:rowOff>0</xdr:rowOff>
        </xdr:from>
        <xdr:to>
          <xdr:col>7</xdr:col>
          <xdr:colOff>0</xdr:colOff>
          <xdr:row>2735</xdr:row>
          <xdr:rowOff>38100</xdr:rowOff>
        </xdr:to>
        <xdr:sp macro="" textlink="">
          <xdr:nvSpPr>
            <xdr:cNvPr id="1335" name="Button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2736</xdr:row>
          <xdr:rowOff>0</xdr:rowOff>
        </xdr:from>
        <xdr:to>
          <xdr:col>7</xdr:col>
          <xdr:colOff>0</xdr:colOff>
          <xdr:row>2736</xdr:row>
          <xdr:rowOff>161925</xdr:rowOff>
        </xdr:to>
        <xdr:sp macro="" textlink="">
          <xdr:nvSpPr>
            <xdr:cNvPr id="1334" name="Button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2739</xdr:row>
          <xdr:rowOff>0</xdr:rowOff>
        </xdr:from>
        <xdr:to>
          <xdr:col>7</xdr:col>
          <xdr:colOff>0</xdr:colOff>
          <xdr:row>2740</xdr:row>
          <xdr:rowOff>0</xdr:rowOff>
        </xdr:to>
        <xdr:sp macro="" textlink="">
          <xdr:nvSpPr>
            <xdr:cNvPr id="1333" name="Button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2746</xdr:row>
          <xdr:rowOff>0</xdr:rowOff>
        </xdr:from>
        <xdr:to>
          <xdr:col>7</xdr:col>
          <xdr:colOff>0</xdr:colOff>
          <xdr:row>2746</xdr:row>
          <xdr:rowOff>38100</xdr:rowOff>
        </xdr:to>
        <xdr:sp macro="" textlink="">
          <xdr:nvSpPr>
            <xdr:cNvPr id="1332" name="Button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2747</xdr:row>
          <xdr:rowOff>0</xdr:rowOff>
        </xdr:from>
        <xdr:to>
          <xdr:col>7</xdr:col>
          <xdr:colOff>0</xdr:colOff>
          <xdr:row>2747</xdr:row>
          <xdr:rowOff>161925</xdr:rowOff>
        </xdr:to>
        <xdr:sp macro="" textlink="">
          <xdr:nvSpPr>
            <xdr:cNvPr id="1331" name="Button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2748</xdr:row>
          <xdr:rowOff>0</xdr:rowOff>
        </xdr:from>
        <xdr:to>
          <xdr:col>7</xdr:col>
          <xdr:colOff>0</xdr:colOff>
          <xdr:row>2748</xdr:row>
          <xdr:rowOff>161925</xdr:rowOff>
        </xdr:to>
        <xdr:sp macro="" textlink="">
          <xdr:nvSpPr>
            <xdr:cNvPr id="1330" name="Button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2749</xdr:row>
          <xdr:rowOff>0</xdr:rowOff>
        </xdr:from>
        <xdr:to>
          <xdr:col>7</xdr:col>
          <xdr:colOff>0</xdr:colOff>
          <xdr:row>2749</xdr:row>
          <xdr:rowOff>161925</xdr:rowOff>
        </xdr:to>
        <xdr:sp macro="" textlink="">
          <xdr:nvSpPr>
            <xdr:cNvPr id="1329" name="Button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2750</xdr:row>
          <xdr:rowOff>0</xdr:rowOff>
        </xdr:from>
        <xdr:to>
          <xdr:col>7</xdr:col>
          <xdr:colOff>0</xdr:colOff>
          <xdr:row>2750</xdr:row>
          <xdr:rowOff>161925</xdr:rowOff>
        </xdr:to>
        <xdr:sp macro="" textlink="">
          <xdr:nvSpPr>
            <xdr:cNvPr id="1328" name="Button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2751</xdr:row>
          <xdr:rowOff>0</xdr:rowOff>
        </xdr:from>
        <xdr:to>
          <xdr:col>7</xdr:col>
          <xdr:colOff>0</xdr:colOff>
          <xdr:row>2751</xdr:row>
          <xdr:rowOff>161925</xdr:rowOff>
        </xdr:to>
        <xdr:sp macro="" textlink="">
          <xdr:nvSpPr>
            <xdr:cNvPr id="1327" name="Button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2752</xdr:row>
          <xdr:rowOff>0</xdr:rowOff>
        </xdr:from>
        <xdr:to>
          <xdr:col>7</xdr:col>
          <xdr:colOff>0</xdr:colOff>
          <xdr:row>2752</xdr:row>
          <xdr:rowOff>161925</xdr:rowOff>
        </xdr:to>
        <xdr:sp macro="" textlink="">
          <xdr:nvSpPr>
            <xdr:cNvPr id="1326" name="Button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2753</xdr:row>
          <xdr:rowOff>0</xdr:rowOff>
        </xdr:from>
        <xdr:to>
          <xdr:col>7</xdr:col>
          <xdr:colOff>0</xdr:colOff>
          <xdr:row>2753</xdr:row>
          <xdr:rowOff>161925</xdr:rowOff>
        </xdr:to>
        <xdr:sp macro="" textlink="">
          <xdr:nvSpPr>
            <xdr:cNvPr id="1325" name="Button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2754</xdr:row>
          <xdr:rowOff>0</xdr:rowOff>
        </xdr:from>
        <xdr:to>
          <xdr:col>7</xdr:col>
          <xdr:colOff>0</xdr:colOff>
          <xdr:row>2754</xdr:row>
          <xdr:rowOff>161925</xdr:rowOff>
        </xdr:to>
        <xdr:sp macro="" textlink="">
          <xdr:nvSpPr>
            <xdr:cNvPr id="1324" name="Button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2755</xdr:row>
          <xdr:rowOff>0</xdr:rowOff>
        </xdr:from>
        <xdr:to>
          <xdr:col>7</xdr:col>
          <xdr:colOff>0</xdr:colOff>
          <xdr:row>2755</xdr:row>
          <xdr:rowOff>161925</xdr:rowOff>
        </xdr:to>
        <xdr:sp macro="" textlink="">
          <xdr:nvSpPr>
            <xdr:cNvPr id="1323" name="Button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2756</xdr:row>
          <xdr:rowOff>0</xdr:rowOff>
        </xdr:from>
        <xdr:to>
          <xdr:col>7</xdr:col>
          <xdr:colOff>0</xdr:colOff>
          <xdr:row>2756</xdr:row>
          <xdr:rowOff>161925</xdr:rowOff>
        </xdr:to>
        <xdr:sp macro="" textlink="">
          <xdr:nvSpPr>
            <xdr:cNvPr id="1322" name="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2757</xdr:row>
          <xdr:rowOff>0</xdr:rowOff>
        </xdr:from>
        <xdr:to>
          <xdr:col>7</xdr:col>
          <xdr:colOff>0</xdr:colOff>
          <xdr:row>2757</xdr:row>
          <xdr:rowOff>161925</xdr:rowOff>
        </xdr:to>
        <xdr:sp macro="" textlink="">
          <xdr:nvSpPr>
            <xdr:cNvPr id="1321" name="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2758</xdr:row>
          <xdr:rowOff>0</xdr:rowOff>
        </xdr:from>
        <xdr:to>
          <xdr:col>7</xdr:col>
          <xdr:colOff>0</xdr:colOff>
          <xdr:row>2758</xdr:row>
          <xdr:rowOff>161925</xdr:rowOff>
        </xdr:to>
        <xdr:sp macro="" textlink="">
          <xdr:nvSpPr>
            <xdr:cNvPr id="1320" name="Button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2759</xdr:row>
          <xdr:rowOff>0</xdr:rowOff>
        </xdr:from>
        <xdr:to>
          <xdr:col>7</xdr:col>
          <xdr:colOff>0</xdr:colOff>
          <xdr:row>2759</xdr:row>
          <xdr:rowOff>161925</xdr:rowOff>
        </xdr:to>
        <xdr:sp macro="" textlink="">
          <xdr:nvSpPr>
            <xdr:cNvPr id="1319" name="Button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2760</xdr:row>
          <xdr:rowOff>0</xdr:rowOff>
        </xdr:from>
        <xdr:to>
          <xdr:col>7</xdr:col>
          <xdr:colOff>0</xdr:colOff>
          <xdr:row>2760</xdr:row>
          <xdr:rowOff>161925</xdr:rowOff>
        </xdr:to>
        <xdr:sp macro="" textlink="">
          <xdr:nvSpPr>
            <xdr:cNvPr id="1318" name="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2761</xdr:row>
          <xdr:rowOff>0</xdr:rowOff>
        </xdr:from>
        <xdr:to>
          <xdr:col>7</xdr:col>
          <xdr:colOff>0</xdr:colOff>
          <xdr:row>2761</xdr:row>
          <xdr:rowOff>161925</xdr:rowOff>
        </xdr:to>
        <xdr:sp macro="" textlink="">
          <xdr:nvSpPr>
            <xdr:cNvPr id="1317" name="Butto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2762</xdr:row>
          <xdr:rowOff>0</xdr:rowOff>
        </xdr:from>
        <xdr:to>
          <xdr:col>7</xdr:col>
          <xdr:colOff>0</xdr:colOff>
          <xdr:row>2762</xdr:row>
          <xdr:rowOff>161925</xdr:rowOff>
        </xdr:to>
        <xdr:sp macro="" textlink="">
          <xdr:nvSpPr>
            <xdr:cNvPr id="1316" name="Button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2763</xdr:row>
          <xdr:rowOff>0</xdr:rowOff>
        </xdr:from>
        <xdr:to>
          <xdr:col>7</xdr:col>
          <xdr:colOff>0</xdr:colOff>
          <xdr:row>2763</xdr:row>
          <xdr:rowOff>161925</xdr:rowOff>
        </xdr:to>
        <xdr:sp macro="" textlink="">
          <xdr:nvSpPr>
            <xdr:cNvPr id="1315" name="Button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2764</xdr:row>
          <xdr:rowOff>0</xdr:rowOff>
        </xdr:from>
        <xdr:to>
          <xdr:col>7</xdr:col>
          <xdr:colOff>0</xdr:colOff>
          <xdr:row>2764</xdr:row>
          <xdr:rowOff>161925</xdr:rowOff>
        </xdr:to>
        <xdr:sp macro="" textlink="">
          <xdr:nvSpPr>
            <xdr:cNvPr id="1314" name="Button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2765</xdr:row>
          <xdr:rowOff>0</xdr:rowOff>
        </xdr:from>
        <xdr:to>
          <xdr:col>7</xdr:col>
          <xdr:colOff>0</xdr:colOff>
          <xdr:row>2765</xdr:row>
          <xdr:rowOff>161925</xdr:rowOff>
        </xdr:to>
        <xdr:sp macro="" textlink="">
          <xdr:nvSpPr>
            <xdr:cNvPr id="1313" name="Button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2766</xdr:row>
          <xdr:rowOff>0</xdr:rowOff>
        </xdr:from>
        <xdr:to>
          <xdr:col>7</xdr:col>
          <xdr:colOff>0</xdr:colOff>
          <xdr:row>2766</xdr:row>
          <xdr:rowOff>161925</xdr:rowOff>
        </xdr:to>
        <xdr:sp macro="" textlink="">
          <xdr:nvSpPr>
            <xdr:cNvPr id="1312" name="Button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2767</xdr:row>
          <xdr:rowOff>0</xdr:rowOff>
        </xdr:from>
        <xdr:to>
          <xdr:col>7</xdr:col>
          <xdr:colOff>0</xdr:colOff>
          <xdr:row>2767</xdr:row>
          <xdr:rowOff>161925</xdr:rowOff>
        </xdr:to>
        <xdr:sp macro="" textlink="">
          <xdr:nvSpPr>
            <xdr:cNvPr id="1311" name="Button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2768</xdr:row>
          <xdr:rowOff>0</xdr:rowOff>
        </xdr:from>
        <xdr:to>
          <xdr:col>7</xdr:col>
          <xdr:colOff>0</xdr:colOff>
          <xdr:row>2768</xdr:row>
          <xdr:rowOff>161925</xdr:rowOff>
        </xdr:to>
        <xdr:sp macro="" textlink="">
          <xdr:nvSpPr>
            <xdr:cNvPr id="1310" name="Button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2769</xdr:row>
          <xdr:rowOff>0</xdr:rowOff>
        </xdr:from>
        <xdr:to>
          <xdr:col>7</xdr:col>
          <xdr:colOff>0</xdr:colOff>
          <xdr:row>2769</xdr:row>
          <xdr:rowOff>161925</xdr:rowOff>
        </xdr:to>
        <xdr:sp macro="" textlink="">
          <xdr:nvSpPr>
            <xdr:cNvPr id="1309" name="Butto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2770</xdr:row>
          <xdr:rowOff>0</xdr:rowOff>
        </xdr:from>
        <xdr:to>
          <xdr:col>7</xdr:col>
          <xdr:colOff>0</xdr:colOff>
          <xdr:row>2770</xdr:row>
          <xdr:rowOff>161925</xdr:rowOff>
        </xdr:to>
        <xdr:sp macro="" textlink="">
          <xdr:nvSpPr>
            <xdr:cNvPr id="1308" name="Button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2773</xdr:row>
          <xdr:rowOff>0</xdr:rowOff>
        </xdr:from>
        <xdr:to>
          <xdr:col>7</xdr:col>
          <xdr:colOff>0</xdr:colOff>
          <xdr:row>2774</xdr:row>
          <xdr:rowOff>0</xdr:rowOff>
        </xdr:to>
        <xdr:sp macro="" textlink="">
          <xdr:nvSpPr>
            <xdr:cNvPr id="1307" name="Button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2780</xdr:row>
          <xdr:rowOff>0</xdr:rowOff>
        </xdr:from>
        <xdr:to>
          <xdr:col>7</xdr:col>
          <xdr:colOff>0</xdr:colOff>
          <xdr:row>2780</xdr:row>
          <xdr:rowOff>38100</xdr:rowOff>
        </xdr:to>
        <xdr:sp macro="" textlink="">
          <xdr:nvSpPr>
            <xdr:cNvPr id="1306" name="Button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2781</xdr:row>
          <xdr:rowOff>0</xdr:rowOff>
        </xdr:from>
        <xdr:to>
          <xdr:col>7</xdr:col>
          <xdr:colOff>0</xdr:colOff>
          <xdr:row>2781</xdr:row>
          <xdr:rowOff>161925</xdr:rowOff>
        </xdr:to>
        <xdr:sp macro="" textlink="">
          <xdr:nvSpPr>
            <xdr:cNvPr id="1305" name="Button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2784</xdr:row>
          <xdr:rowOff>0</xdr:rowOff>
        </xdr:from>
        <xdr:to>
          <xdr:col>7</xdr:col>
          <xdr:colOff>0</xdr:colOff>
          <xdr:row>2785</xdr:row>
          <xdr:rowOff>0</xdr:rowOff>
        </xdr:to>
        <xdr:sp macro="" textlink="">
          <xdr:nvSpPr>
            <xdr:cNvPr id="1304" name="Button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2791</xdr:row>
          <xdr:rowOff>0</xdr:rowOff>
        </xdr:from>
        <xdr:to>
          <xdr:col>7</xdr:col>
          <xdr:colOff>0</xdr:colOff>
          <xdr:row>2791</xdr:row>
          <xdr:rowOff>38100</xdr:rowOff>
        </xdr:to>
        <xdr:sp macro="" textlink="">
          <xdr:nvSpPr>
            <xdr:cNvPr id="1303" name="Button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2792</xdr:row>
          <xdr:rowOff>0</xdr:rowOff>
        </xdr:from>
        <xdr:to>
          <xdr:col>7</xdr:col>
          <xdr:colOff>0</xdr:colOff>
          <xdr:row>2792</xdr:row>
          <xdr:rowOff>161925</xdr:rowOff>
        </xdr:to>
        <xdr:sp macro="" textlink="">
          <xdr:nvSpPr>
            <xdr:cNvPr id="1302" name="Button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2795</xdr:row>
          <xdr:rowOff>0</xdr:rowOff>
        </xdr:from>
        <xdr:to>
          <xdr:col>7</xdr:col>
          <xdr:colOff>0</xdr:colOff>
          <xdr:row>2796</xdr:row>
          <xdr:rowOff>0</xdr:rowOff>
        </xdr:to>
        <xdr:sp macro="" textlink="">
          <xdr:nvSpPr>
            <xdr:cNvPr id="1301" name="Button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2802</xdr:row>
          <xdr:rowOff>0</xdr:rowOff>
        </xdr:from>
        <xdr:to>
          <xdr:col>7</xdr:col>
          <xdr:colOff>0</xdr:colOff>
          <xdr:row>2802</xdr:row>
          <xdr:rowOff>38100</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2803</xdr:row>
          <xdr:rowOff>0</xdr:rowOff>
        </xdr:from>
        <xdr:to>
          <xdr:col>7</xdr:col>
          <xdr:colOff>0</xdr:colOff>
          <xdr:row>2803</xdr:row>
          <xdr:rowOff>161925</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2804</xdr:row>
          <xdr:rowOff>0</xdr:rowOff>
        </xdr:from>
        <xdr:to>
          <xdr:col>7</xdr:col>
          <xdr:colOff>0</xdr:colOff>
          <xdr:row>2804</xdr:row>
          <xdr:rowOff>161925</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2807</xdr:row>
          <xdr:rowOff>0</xdr:rowOff>
        </xdr:from>
        <xdr:to>
          <xdr:col>7</xdr:col>
          <xdr:colOff>0</xdr:colOff>
          <xdr:row>2808</xdr:row>
          <xdr:rowOff>0</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2814</xdr:row>
          <xdr:rowOff>0</xdr:rowOff>
        </xdr:from>
        <xdr:to>
          <xdr:col>7</xdr:col>
          <xdr:colOff>0</xdr:colOff>
          <xdr:row>2814</xdr:row>
          <xdr:rowOff>38100</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2815</xdr:row>
          <xdr:rowOff>0</xdr:rowOff>
        </xdr:from>
        <xdr:to>
          <xdr:col>7</xdr:col>
          <xdr:colOff>0</xdr:colOff>
          <xdr:row>2815</xdr:row>
          <xdr:rowOff>161925</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2816</xdr:row>
          <xdr:rowOff>0</xdr:rowOff>
        </xdr:from>
        <xdr:to>
          <xdr:col>7</xdr:col>
          <xdr:colOff>0</xdr:colOff>
          <xdr:row>2816</xdr:row>
          <xdr:rowOff>161925</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2817</xdr:row>
          <xdr:rowOff>0</xdr:rowOff>
        </xdr:from>
        <xdr:to>
          <xdr:col>7</xdr:col>
          <xdr:colOff>0</xdr:colOff>
          <xdr:row>2817</xdr:row>
          <xdr:rowOff>161925</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2818</xdr:row>
          <xdr:rowOff>0</xdr:rowOff>
        </xdr:from>
        <xdr:to>
          <xdr:col>7</xdr:col>
          <xdr:colOff>0</xdr:colOff>
          <xdr:row>2818</xdr:row>
          <xdr:rowOff>161925</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2819</xdr:row>
          <xdr:rowOff>0</xdr:rowOff>
        </xdr:from>
        <xdr:to>
          <xdr:col>7</xdr:col>
          <xdr:colOff>0</xdr:colOff>
          <xdr:row>2819</xdr:row>
          <xdr:rowOff>161925</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2820</xdr:row>
          <xdr:rowOff>0</xdr:rowOff>
        </xdr:from>
        <xdr:to>
          <xdr:col>7</xdr:col>
          <xdr:colOff>0</xdr:colOff>
          <xdr:row>2820</xdr:row>
          <xdr:rowOff>161925</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2823</xdr:row>
          <xdr:rowOff>0</xdr:rowOff>
        </xdr:from>
        <xdr:to>
          <xdr:col>7</xdr:col>
          <xdr:colOff>0</xdr:colOff>
          <xdr:row>2824</xdr:row>
          <xdr:rowOff>0</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2830</xdr:row>
          <xdr:rowOff>0</xdr:rowOff>
        </xdr:from>
        <xdr:to>
          <xdr:col>7</xdr:col>
          <xdr:colOff>0</xdr:colOff>
          <xdr:row>2830</xdr:row>
          <xdr:rowOff>38100</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2831</xdr:row>
          <xdr:rowOff>0</xdr:rowOff>
        </xdr:from>
        <xdr:to>
          <xdr:col>7</xdr:col>
          <xdr:colOff>0</xdr:colOff>
          <xdr:row>2831</xdr:row>
          <xdr:rowOff>161925</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2834</xdr:row>
          <xdr:rowOff>0</xdr:rowOff>
        </xdr:from>
        <xdr:to>
          <xdr:col>7</xdr:col>
          <xdr:colOff>0</xdr:colOff>
          <xdr:row>2835</xdr:row>
          <xdr:rowOff>0</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2841</xdr:row>
          <xdr:rowOff>0</xdr:rowOff>
        </xdr:from>
        <xdr:to>
          <xdr:col>7</xdr:col>
          <xdr:colOff>0</xdr:colOff>
          <xdr:row>2841</xdr:row>
          <xdr:rowOff>38100</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2842</xdr:row>
          <xdr:rowOff>0</xdr:rowOff>
        </xdr:from>
        <xdr:to>
          <xdr:col>7</xdr:col>
          <xdr:colOff>0</xdr:colOff>
          <xdr:row>2842</xdr:row>
          <xdr:rowOff>161925</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2843</xdr:row>
          <xdr:rowOff>0</xdr:rowOff>
        </xdr:from>
        <xdr:to>
          <xdr:col>7</xdr:col>
          <xdr:colOff>0</xdr:colOff>
          <xdr:row>2843</xdr:row>
          <xdr:rowOff>161925</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2844</xdr:row>
          <xdr:rowOff>0</xdr:rowOff>
        </xdr:from>
        <xdr:to>
          <xdr:col>7</xdr:col>
          <xdr:colOff>0</xdr:colOff>
          <xdr:row>2844</xdr:row>
          <xdr:rowOff>161925</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2847</xdr:row>
          <xdr:rowOff>0</xdr:rowOff>
        </xdr:from>
        <xdr:to>
          <xdr:col>7</xdr:col>
          <xdr:colOff>0</xdr:colOff>
          <xdr:row>2848</xdr:row>
          <xdr:rowOff>0</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2854</xdr:row>
          <xdr:rowOff>0</xdr:rowOff>
        </xdr:from>
        <xdr:to>
          <xdr:col>7</xdr:col>
          <xdr:colOff>0</xdr:colOff>
          <xdr:row>2854</xdr:row>
          <xdr:rowOff>38100</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2855</xdr:row>
          <xdr:rowOff>0</xdr:rowOff>
        </xdr:from>
        <xdr:to>
          <xdr:col>7</xdr:col>
          <xdr:colOff>0</xdr:colOff>
          <xdr:row>2855</xdr:row>
          <xdr:rowOff>161925</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2856</xdr:row>
          <xdr:rowOff>0</xdr:rowOff>
        </xdr:from>
        <xdr:to>
          <xdr:col>7</xdr:col>
          <xdr:colOff>0</xdr:colOff>
          <xdr:row>2856</xdr:row>
          <xdr:rowOff>161925</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2857</xdr:row>
          <xdr:rowOff>0</xdr:rowOff>
        </xdr:from>
        <xdr:to>
          <xdr:col>7</xdr:col>
          <xdr:colOff>0</xdr:colOff>
          <xdr:row>2857</xdr:row>
          <xdr:rowOff>161925</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2858</xdr:row>
          <xdr:rowOff>0</xdr:rowOff>
        </xdr:from>
        <xdr:to>
          <xdr:col>7</xdr:col>
          <xdr:colOff>0</xdr:colOff>
          <xdr:row>2858</xdr:row>
          <xdr:rowOff>161925</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2859</xdr:row>
          <xdr:rowOff>0</xdr:rowOff>
        </xdr:from>
        <xdr:to>
          <xdr:col>7</xdr:col>
          <xdr:colOff>0</xdr:colOff>
          <xdr:row>2859</xdr:row>
          <xdr:rowOff>161925</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2860</xdr:row>
          <xdr:rowOff>0</xdr:rowOff>
        </xdr:from>
        <xdr:to>
          <xdr:col>7</xdr:col>
          <xdr:colOff>0</xdr:colOff>
          <xdr:row>2860</xdr:row>
          <xdr:rowOff>161925</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2861</xdr:row>
          <xdr:rowOff>0</xdr:rowOff>
        </xdr:from>
        <xdr:to>
          <xdr:col>7</xdr:col>
          <xdr:colOff>0</xdr:colOff>
          <xdr:row>2861</xdr:row>
          <xdr:rowOff>161925</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2862</xdr:row>
          <xdr:rowOff>0</xdr:rowOff>
        </xdr:from>
        <xdr:to>
          <xdr:col>7</xdr:col>
          <xdr:colOff>0</xdr:colOff>
          <xdr:row>2862</xdr:row>
          <xdr:rowOff>161925</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2863</xdr:row>
          <xdr:rowOff>0</xdr:rowOff>
        </xdr:from>
        <xdr:to>
          <xdr:col>7</xdr:col>
          <xdr:colOff>0</xdr:colOff>
          <xdr:row>2863</xdr:row>
          <xdr:rowOff>161925</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2864</xdr:row>
          <xdr:rowOff>0</xdr:rowOff>
        </xdr:from>
        <xdr:to>
          <xdr:col>7</xdr:col>
          <xdr:colOff>0</xdr:colOff>
          <xdr:row>2864</xdr:row>
          <xdr:rowOff>161925</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2865</xdr:row>
          <xdr:rowOff>0</xdr:rowOff>
        </xdr:from>
        <xdr:to>
          <xdr:col>7</xdr:col>
          <xdr:colOff>0</xdr:colOff>
          <xdr:row>2865</xdr:row>
          <xdr:rowOff>161925</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2866</xdr:row>
          <xdr:rowOff>0</xdr:rowOff>
        </xdr:from>
        <xdr:to>
          <xdr:col>7</xdr:col>
          <xdr:colOff>0</xdr:colOff>
          <xdr:row>2866</xdr:row>
          <xdr:rowOff>161925</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2867</xdr:row>
          <xdr:rowOff>0</xdr:rowOff>
        </xdr:from>
        <xdr:to>
          <xdr:col>7</xdr:col>
          <xdr:colOff>0</xdr:colOff>
          <xdr:row>2867</xdr:row>
          <xdr:rowOff>161925</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2868</xdr:row>
          <xdr:rowOff>0</xdr:rowOff>
        </xdr:from>
        <xdr:to>
          <xdr:col>7</xdr:col>
          <xdr:colOff>0</xdr:colOff>
          <xdr:row>2868</xdr:row>
          <xdr:rowOff>161925</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2869</xdr:row>
          <xdr:rowOff>0</xdr:rowOff>
        </xdr:from>
        <xdr:to>
          <xdr:col>7</xdr:col>
          <xdr:colOff>0</xdr:colOff>
          <xdr:row>2869</xdr:row>
          <xdr:rowOff>161925</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2870</xdr:row>
          <xdr:rowOff>0</xdr:rowOff>
        </xdr:from>
        <xdr:to>
          <xdr:col>7</xdr:col>
          <xdr:colOff>0</xdr:colOff>
          <xdr:row>2870</xdr:row>
          <xdr:rowOff>161925</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2871</xdr:row>
          <xdr:rowOff>0</xdr:rowOff>
        </xdr:from>
        <xdr:to>
          <xdr:col>7</xdr:col>
          <xdr:colOff>0</xdr:colOff>
          <xdr:row>2871</xdr:row>
          <xdr:rowOff>161925</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2872</xdr:row>
          <xdr:rowOff>0</xdr:rowOff>
        </xdr:from>
        <xdr:to>
          <xdr:col>7</xdr:col>
          <xdr:colOff>0</xdr:colOff>
          <xdr:row>2872</xdr:row>
          <xdr:rowOff>161925</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2873</xdr:row>
          <xdr:rowOff>0</xdr:rowOff>
        </xdr:from>
        <xdr:to>
          <xdr:col>7</xdr:col>
          <xdr:colOff>0</xdr:colOff>
          <xdr:row>2873</xdr:row>
          <xdr:rowOff>161925</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2874</xdr:row>
          <xdr:rowOff>0</xdr:rowOff>
        </xdr:from>
        <xdr:to>
          <xdr:col>7</xdr:col>
          <xdr:colOff>0</xdr:colOff>
          <xdr:row>2874</xdr:row>
          <xdr:rowOff>161925</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2875</xdr:row>
          <xdr:rowOff>0</xdr:rowOff>
        </xdr:from>
        <xdr:to>
          <xdr:col>7</xdr:col>
          <xdr:colOff>0</xdr:colOff>
          <xdr:row>2875</xdr:row>
          <xdr:rowOff>161925</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2876</xdr:row>
          <xdr:rowOff>0</xdr:rowOff>
        </xdr:from>
        <xdr:to>
          <xdr:col>7</xdr:col>
          <xdr:colOff>0</xdr:colOff>
          <xdr:row>2876</xdr:row>
          <xdr:rowOff>161925</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2877</xdr:row>
          <xdr:rowOff>0</xdr:rowOff>
        </xdr:from>
        <xdr:to>
          <xdr:col>7</xdr:col>
          <xdr:colOff>0</xdr:colOff>
          <xdr:row>2877</xdr:row>
          <xdr:rowOff>161925</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2878</xdr:row>
          <xdr:rowOff>0</xdr:rowOff>
        </xdr:from>
        <xdr:to>
          <xdr:col>7</xdr:col>
          <xdr:colOff>0</xdr:colOff>
          <xdr:row>2878</xdr:row>
          <xdr:rowOff>161925</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2879</xdr:row>
          <xdr:rowOff>0</xdr:rowOff>
        </xdr:from>
        <xdr:to>
          <xdr:col>7</xdr:col>
          <xdr:colOff>0</xdr:colOff>
          <xdr:row>2879</xdr:row>
          <xdr:rowOff>161925</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2880</xdr:row>
          <xdr:rowOff>0</xdr:rowOff>
        </xdr:from>
        <xdr:to>
          <xdr:col>7</xdr:col>
          <xdr:colOff>0</xdr:colOff>
          <xdr:row>2880</xdr:row>
          <xdr:rowOff>161925</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2881</xdr:row>
          <xdr:rowOff>0</xdr:rowOff>
        </xdr:from>
        <xdr:to>
          <xdr:col>7</xdr:col>
          <xdr:colOff>0</xdr:colOff>
          <xdr:row>2881</xdr:row>
          <xdr:rowOff>161925</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2882</xdr:row>
          <xdr:rowOff>0</xdr:rowOff>
        </xdr:from>
        <xdr:to>
          <xdr:col>7</xdr:col>
          <xdr:colOff>0</xdr:colOff>
          <xdr:row>2882</xdr:row>
          <xdr:rowOff>161925</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2883</xdr:row>
          <xdr:rowOff>0</xdr:rowOff>
        </xdr:from>
        <xdr:to>
          <xdr:col>7</xdr:col>
          <xdr:colOff>0</xdr:colOff>
          <xdr:row>2883</xdr:row>
          <xdr:rowOff>161925</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2884</xdr:row>
          <xdr:rowOff>0</xdr:rowOff>
        </xdr:from>
        <xdr:to>
          <xdr:col>7</xdr:col>
          <xdr:colOff>0</xdr:colOff>
          <xdr:row>2884</xdr:row>
          <xdr:rowOff>161925</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2885</xdr:row>
          <xdr:rowOff>0</xdr:rowOff>
        </xdr:from>
        <xdr:to>
          <xdr:col>7</xdr:col>
          <xdr:colOff>0</xdr:colOff>
          <xdr:row>2885</xdr:row>
          <xdr:rowOff>161925</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2886</xdr:row>
          <xdr:rowOff>0</xdr:rowOff>
        </xdr:from>
        <xdr:to>
          <xdr:col>7</xdr:col>
          <xdr:colOff>0</xdr:colOff>
          <xdr:row>2886</xdr:row>
          <xdr:rowOff>161925</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2887</xdr:row>
          <xdr:rowOff>0</xdr:rowOff>
        </xdr:from>
        <xdr:to>
          <xdr:col>7</xdr:col>
          <xdr:colOff>0</xdr:colOff>
          <xdr:row>2887</xdr:row>
          <xdr:rowOff>161925</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2888</xdr:row>
          <xdr:rowOff>0</xdr:rowOff>
        </xdr:from>
        <xdr:to>
          <xdr:col>7</xdr:col>
          <xdr:colOff>0</xdr:colOff>
          <xdr:row>2888</xdr:row>
          <xdr:rowOff>161925</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2889</xdr:row>
          <xdr:rowOff>0</xdr:rowOff>
        </xdr:from>
        <xdr:to>
          <xdr:col>7</xdr:col>
          <xdr:colOff>0</xdr:colOff>
          <xdr:row>2889</xdr:row>
          <xdr:rowOff>161925</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2890</xdr:row>
          <xdr:rowOff>0</xdr:rowOff>
        </xdr:from>
        <xdr:to>
          <xdr:col>7</xdr:col>
          <xdr:colOff>0</xdr:colOff>
          <xdr:row>2890</xdr:row>
          <xdr:rowOff>161925</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2891</xdr:row>
          <xdr:rowOff>0</xdr:rowOff>
        </xdr:from>
        <xdr:to>
          <xdr:col>7</xdr:col>
          <xdr:colOff>0</xdr:colOff>
          <xdr:row>2891</xdr:row>
          <xdr:rowOff>161925</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2892</xdr:row>
          <xdr:rowOff>0</xdr:rowOff>
        </xdr:from>
        <xdr:to>
          <xdr:col>7</xdr:col>
          <xdr:colOff>0</xdr:colOff>
          <xdr:row>2892</xdr:row>
          <xdr:rowOff>161925</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2893</xdr:row>
          <xdr:rowOff>0</xdr:rowOff>
        </xdr:from>
        <xdr:to>
          <xdr:col>7</xdr:col>
          <xdr:colOff>0</xdr:colOff>
          <xdr:row>2893</xdr:row>
          <xdr:rowOff>161925</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2894</xdr:row>
          <xdr:rowOff>0</xdr:rowOff>
        </xdr:from>
        <xdr:to>
          <xdr:col>7</xdr:col>
          <xdr:colOff>0</xdr:colOff>
          <xdr:row>2894</xdr:row>
          <xdr:rowOff>161925</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2895</xdr:row>
          <xdr:rowOff>0</xdr:rowOff>
        </xdr:from>
        <xdr:to>
          <xdr:col>7</xdr:col>
          <xdr:colOff>0</xdr:colOff>
          <xdr:row>2895</xdr:row>
          <xdr:rowOff>161925</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2896</xdr:row>
          <xdr:rowOff>0</xdr:rowOff>
        </xdr:from>
        <xdr:to>
          <xdr:col>7</xdr:col>
          <xdr:colOff>0</xdr:colOff>
          <xdr:row>2896</xdr:row>
          <xdr:rowOff>161925</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2897</xdr:row>
          <xdr:rowOff>0</xdr:rowOff>
        </xdr:from>
        <xdr:to>
          <xdr:col>7</xdr:col>
          <xdr:colOff>0</xdr:colOff>
          <xdr:row>2897</xdr:row>
          <xdr:rowOff>161925</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2898</xdr:row>
          <xdr:rowOff>0</xdr:rowOff>
        </xdr:from>
        <xdr:to>
          <xdr:col>7</xdr:col>
          <xdr:colOff>0</xdr:colOff>
          <xdr:row>2898</xdr:row>
          <xdr:rowOff>161925</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2899</xdr:row>
          <xdr:rowOff>0</xdr:rowOff>
        </xdr:from>
        <xdr:to>
          <xdr:col>7</xdr:col>
          <xdr:colOff>0</xdr:colOff>
          <xdr:row>2899</xdr:row>
          <xdr:rowOff>161925</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2900</xdr:row>
          <xdr:rowOff>0</xdr:rowOff>
        </xdr:from>
        <xdr:to>
          <xdr:col>7</xdr:col>
          <xdr:colOff>0</xdr:colOff>
          <xdr:row>2900</xdr:row>
          <xdr:rowOff>161925</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2901</xdr:row>
          <xdr:rowOff>0</xdr:rowOff>
        </xdr:from>
        <xdr:to>
          <xdr:col>7</xdr:col>
          <xdr:colOff>0</xdr:colOff>
          <xdr:row>2901</xdr:row>
          <xdr:rowOff>161925</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2902</xdr:row>
          <xdr:rowOff>0</xdr:rowOff>
        </xdr:from>
        <xdr:to>
          <xdr:col>7</xdr:col>
          <xdr:colOff>0</xdr:colOff>
          <xdr:row>2902</xdr:row>
          <xdr:rowOff>161925</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2903</xdr:row>
          <xdr:rowOff>0</xdr:rowOff>
        </xdr:from>
        <xdr:to>
          <xdr:col>7</xdr:col>
          <xdr:colOff>0</xdr:colOff>
          <xdr:row>2903</xdr:row>
          <xdr:rowOff>161925</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000-0000F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2904</xdr:row>
          <xdr:rowOff>0</xdr:rowOff>
        </xdr:from>
        <xdr:to>
          <xdr:col>7</xdr:col>
          <xdr:colOff>0</xdr:colOff>
          <xdr:row>2904</xdr:row>
          <xdr:rowOff>161925</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000-0000F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2905</xdr:row>
          <xdr:rowOff>0</xdr:rowOff>
        </xdr:from>
        <xdr:to>
          <xdr:col>7</xdr:col>
          <xdr:colOff>0</xdr:colOff>
          <xdr:row>2905</xdr:row>
          <xdr:rowOff>161925</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000-0000F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2906</xdr:row>
          <xdr:rowOff>0</xdr:rowOff>
        </xdr:from>
        <xdr:to>
          <xdr:col>7</xdr:col>
          <xdr:colOff>0</xdr:colOff>
          <xdr:row>2906</xdr:row>
          <xdr:rowOff>161925</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000-0000F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2907</xdr:row>
          <xdr:rowOff>0</xdr:rowOff>
        </xdr:from>
        <xdr:to>
          <xdr:col>7</xdr:col>
          <xdr:colOff>0</xdr:colOff>
          <xdr:row>2907</xdr:row>
          <xdr:rowOff>161925</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000-0000F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2908</xdr:row>
          <xdr:rowOff>0</xdr:rowOff>
        </xdr:from>
        <xdr:to>
          <xdr:col>7</xdr:col>
          <xdr:colOff>0</xdr:colOff>
          <xdr:row>2908</xdr:row>
          <xdr:rowOff>161925</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000-0000F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2909</xdr:row>
          <xdr:rowOff>0</xdr:rowOff>
        </xdr:from>
        <xdr:to>
          <xdr:col>7</xdr:col>
          <xdr:colOff>0</xdr:colOff>
          <xdr:row>2909</xdr:row>
          <xdr:rowOff>161925</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000-0000F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2912</xdr:row>
          <xdr:rowOff>0</xdr:rowOff>
        </xdr:from>
        <xdr:to>
          <xdr:col>7</xdr:col>
          <xdr:colOff>0</xdr:colOff>
          <xdr:row>2913</xdr:row>
          <xdr:rowOff>0</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000-0000F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2919</xdr:row>
          <xdr:rowOff>0</xdr:rowOff>
        </xdr:from>
        <xdr:to>
          <xdr:col>7</xdr:col>
          <xdr:colOff>0</xdr:colOff>
          <xdr:row>2919</xdr:row>
          <xdr:rowOff>38100</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000-0000F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2920</xdr:row>
          <xdr:rowOff>0</xdr:rowOff>
        </xdr:from>
        <xdr:to>
          <xdr:col>7</xdr:col>
          <xdr:colOff>0</xdr:colOff>
          <xdr:row>2920</xdr:row>
          <xdr:rowOff>161925</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000-0000F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2921</xdr:row>
          <xdr:rowOff>0</xdr:rowOff>
        </xdr:from>
        <xdr:to>
          <xdr:col>7</xdr:col>
          <xdr:colOff>0</xdr:colOff>
          <xdr:row>2921</xdr:row>
          <xdr:rowOff>161925</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000-0000F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2922</xdr:row>
          <xdr:rowOff>0</xdr:rowOff>
        </xdr:from>
        <xdr:to>
          <xdr:col>7</xdr:col>
          <xdr:colOff>0</xdr:colOff>
          <xdr:row>2922</xdr:row>
          <xdr:rowOff>161925</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000-0000F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2923</xdr:row>
          <xdr:rowOff>0</xdr:rowOff>
        </xdr:from>
        <xdr:to>
          <xdr:col>7</xdr:col>
          <xdr:colOff>0</xdr:colOff>
          <xdr:row>2923</xdr:row>
          <xdr:rowOff>161925</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000-0000F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2924</xdr:row>
          <xdr:rowOff>0</xdr:rowOff>
        </xdr:from>
        <xdr:to>
          <xdr:col>7</xdr:col>
          <xdr:colOff>0</xdr:colOff>
          <xdr:row>2924</xdr:row>
          <xdr:rowOff>161925</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000-0000F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2925</xdr:row>
          <xdr:rowOff>0</xdr:rowOff>
        </xdr:from>
        <xdr:to>
          <xdr:col>7</xdr:col>
          <xdr:colOff>0</xdr:colOff>
          <xdr:row>2925</xdr:row>
          <xdr:rowOff>161925</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000-0000F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2926</xdr:row>
          <xdr:rowOff>0</xdr:rowOff>
        </xdr:from>
        <xdr:to>
          <xdr:col>7</xdr:col>
          <xdr:colOff>0</xdr:colOff>
          <xdr:row>2926</xdr:row>
          <xdr:rowOff>161925</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000-0000F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2927</xdr:row>
          <xdr:rowOff>0</xdr:rowOff>
        </xdr:from>
        <xdr:to>
          <xdr:col>7</xdr:col>
          <xdr:colOff>0</xdr:colOff>
          <xdr:row>2927</xdr:row>
          <xdr:rowOff>161925</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000-0000E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2928</xdr:row>
          <xdr:rowOff>0</xdr:rowOff>
        </xdr:from>
        <xdr:to>
          <xdr:col>7</xdr:col>
          <xdr:colOff>0</xdr:colOff>
          <xdr:row>2928</xdr:row>
          <xdr:rowOff>161925</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000-0000E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2929</xdr:row>
          <xdr:rowOff>0</xdr:rowOff>
        </xdr:from>
        <xdr:to>
          <xdr:col>7</xdr:col>
          <xdr:colOff>0</xdr:colOff>
          <xdr:row>2929</xdr:row>
          <xdr:rowOff>161925</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000-0000E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2930</xdr:row>
          <xdr:rowOff>0</xdr:rowOff>
        </xdr:from>
        <xdr:to>
          <xdr:col>7</xdr:col>
          <xdr:colOff>0</xdr:colOff>
          <xdr:row>2930</xdr:row>
          <xdr:rowOff>161925</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000-0000E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2931</xdr:row>
          <xdr:rowOff>0</xdr:rowOff>
        </xdr:from>
        <xdr:to>
          <xdr:col>7</xdr:col>
          <xdr:colOff>0</xdr:colOff>
          <xdr:row>2931</xdr:row>
          <xdr:rowOff>161925</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000-0000E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2932</xdr:row>
          <xdr:rowOff>0</xdr:rowOff>
        </xdr:from>
        <xdr:to>
          <xdr:col>7</xdr:col>
          <xdr:colOff>0</xdr:colOff>
          <xdr:row>2932</xdr:row>
          <xdr:rowOff>161925</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000-0000E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2933</xdr:row>
          <xdr:rowOff>0</xdr:rowOff>
        </xdr:from>
        <xdr:to>
          <xdr:col>7</xdr:col>
          <xdr:colOff>0</xdr:colOff>
          <xdr:row>2933</xdr:row>
          <xdr:rowOff>161925</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000-0000E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2934</xdr:row>
          <xdr:rowOff>0</xdr:rowOff>
        </xdr:from>
        <xdr:to>
          <xdr:col>7</xdr:col>
          <xdr:colOff>0</xdr:colOff>
          <xdr:row>2934</xdr:row>
          <xdr:rowOff>161925</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000-0000E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2935</xdr:row>
          <xdr:rowOff>0</xdr:rowOff>
        </xdr:from>
        <xdr:to>
          <xdr:col>7</xdr:col>
          <xdr:colOff>0</xdr:colOff>
          <xdr:row>2935</xdr:row>
          <xdr:rowOff>161925</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000-0000E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2938</xdr:row>
          <xdr:rowOff>0</xdr:rowOff>
        </xdr:from>
        <xdr:to>
          <xdr:col>7</xdr:col>
          <xdr:colOff>0</xdr:colOff>
          <xdr:row>2939</xdr:row>
          <xdr:rowOff>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000-0000E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2945</xdr:row>
          <xdr:rowOff>0</xdr:rowOff>
        </xdr:from>
        <xdr:to>
          <xdr:col>7</xdr:col>
          <xdr:colOff>0</xdr:colOff>
          <xdr:row>2945</xdr:row>
          <xdr:rowOff>38100</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000-0000E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2946</xdr:row>
          <xdr:rowOff>0</xdr:rowOff>
        </xdr:from>
        <xdr:to>
          <xdr:col>7</xdr:col>
          <xdr:colOff>0</xdr:colOff>
          <xdr:row>2946</xdr:row>
          <xdr:rowOff>161925</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000-0000E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2947</xdr:row>
          <xdr:rowOff>0</xdr:rowOff>
        </xdr:from>
        <xdr:to>
          <xdr:col>7</xdr:col>
          <xdr:colOff>0</xdr:colOff>
          <xdr:row>2947</xdr:row>
          <xdr:rowOff>161925</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000-0000E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2948</xdr:row>
          <xdr:rowOff>0</xdr:rowOff>
        </xdr:from>
        <xdr:to>
          <xdr:col>7</xdr:col>
          <xdr:colOff>0</xdr:colOff>
          <xdr:row>2948</xdr:row>
          <xdr:rowOff>161925</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000-0000E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2949</xdr:row>
          <xdr:rowOff>0</xdr:rowOff>
        </xdr:from>
        <xdr:to>
          <xdr:col>7</xdr:col>
          <xdr:colOff>0</xdr:colOff>
          <xdr:row>2949</xdr:row>
          <xdr:rowOff>161925</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000-0000E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2950</xdr:row>
          <xdr:rowOff>0</xdr:rowOff>
        </xdr:from>
        <xdr:to>
          <xdr:col>7</xdr:col>
          <xdr:colOff>0</xdr:colOff>
          <xdr:row>2950</xdr:row>
          <xdr:rowOff>161925</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000-0000E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2951</xdr:row>
          <xdr:rowOff>0</xdr:rowOff>
        </xdr:from>
        <xdr:to>
          <xdr:col>7</xdr:col>
          <xdr:colOff>0</xdr:colOff>
          <xdr:row>2951</xdr:row>
          <xdr:rowOff>161925</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000-0000D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2952</xdr:row>
          <xdr:rowOff>0</xdr:rowOff>
        </xdr:from>
        <xdr:to>
          <xdr:col>7</xdr:col>
          <xdr:colOff>0</xdr:colOff>
          <xdr:row>2952</xdr:row>
          <xdr:rowOff>161925</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000-0000D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2953</xdr:row>
          <xdr:rowOff>0</xdr:rowOff>
        </xdr:from>
        <xdr:to>
          <xdr:col>7</xdr:col>
          <xdr:colOff>0</xdr:colOff>
          <xdr:row>2953</xdr:row>
          <xdr:rowOff>161925</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000-0000D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2954</xdr:row>
          <xdr:rowOff>0</xdr:rowOff>
        </xdr:from>
        <xdr:to>
          <xdr:col>7</xdr:col>
          <xdr:colOff>0</xdr:colOff>
          <xdr:row>2954</xdr:row>
          <xdr:rowOff>161925</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000-0000D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2955</xdr:row>
          <xdr:rowOff>0</xdr:rowOff>
        </xdr:from>
        <xdr:to>
          <xdr:col>7</xdr:col>
          <xdr:colOff>0</xdr:colOff>
          <xdr:row>2955</xdr:row>
          <xdr:rowOff>161925</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000-0000D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2956</xdr:row>
          <xdr:rowOff>0</xdr:rowOff>
        </xdr:from>
        <xdr:to>
          <xdr:col>7</xdr:col>
          <xdr:colOff>0</xdr:colOff>
          <xdr:row>2956</xdr:row>
          <xdr:rowOff>161925</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000-0000D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2957</xdr:row>
          <xdr:rowOff>0</xdr:rowOff>
        </xdr:from>
        <xdr:to>
          <xdr:col>7</xdr:col>
          <xdr:colOff>0</xdr:colOff>
          <xdr:row>2957</xdr:row>
          <xdr:rowOff>161925</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000-0000D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2958</xdr:row>
          <xdr:rowOff>0</xdr:rowOff>
        </xdr:from>
        <xdr:to>
          <xdr:col>7</xdr:col>
          <xdr:colOff>0</xdr:colOff>
          <xdr:row>2958</xdr:row>
          <xdr:rowOff>161925</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000-0000D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2959</xdr:row>
          <xdr:rowOff>0</xdr:rowOff>
        </xdr:from>
        <xdr:to>
          <xdr:col>7</xdr:col>
          <xdr:colOff>0</xdr:colOff>
          <xdr:row>2959</xdr:row>
          <xdr:rowOff>161925</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000-0000D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2960</xdr:row>
          <xdr:rowOff>0</xdr:rowOff>
        </xdr:from>
        <xdr:to>
          <xdr:col>7</xdr:col>
          <xdr:colOff>0</xdr:colOff>
          <xdr:row>2960</xdr:row>
          <xdr:rowOff>161925</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000-0000D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2961</xdr:row>
          <xdr:rowOff>0</xdr:rowOff>
        </xdr:from>
        <xdr:to>
          <xdr:col>7</xdr:col>
          <xdr:colOff>0</xdr:colOff>
          <xdr:row>2961</xdr:row>
          <xdr:rowOff>161925</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000-0000D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2962</xdr:row>
          <xdr:rowOff>0</xdr:rowOff>
        </xdr:from>
        <xdr:to>
          <xdr:col>7</xdr:col>
          <xdr:colOff>0</xdr:colOff>
          <xdr:row>2962</xdr:row>
          <xdr:rowOff>161925</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000-0000D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2963</xdr:row>
          <xdr:rowOff>0</xdr:rowOff>
        </xdr:from>
        <xdr:to>
          <xdr:col>7</xdr:col>
          <xdr:colOff>0</xdr:colOff>
          <xdr:row>2963</xdr:row>
          <xdr:rowOff>161925</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000-0000D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2964</xdr:row>
          <xdr:rowOff>0</xdr:rowOff>
        </xdr:from>
        <xdr:to>
          <xdr:col>7</xdr:col>
          <xdr:colOff>0</xdr:colOff>
          <xdr:row>2964</xdr:row>
          <xdr:rowOff>161925</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000-0000D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2965</xdr:row>
          <xdr:rowOff>0</xdr:rowOff>
        </xdr:from>
        <xdr:to>
          <xdr:col>7</xdr:col>
          <xdr:colOff>0</xdr:colOff>
          <xdr:row>2965</xdr:row>
          <xdr:rowOff>161925</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0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2966</xdr:row>
          <xdr:rowOff>0</xdr:rowOff>
        </xdr:from>
        <xdr:to>
          <xdr:col>7</xdr:col>
          <xdr:colOff>0</xdr:colOff>
          <xdr:row>2966</xdr:row>
          <xdr:rowOff>161925</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0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2967</xdr:row>
          <xdr:rowOff>0</xdr:rowOff>
        </xdr:from>
        <xdr:to>
          <xdr:col>7</xdr:col>
          <xdr:colOff>0</xdr:colOff>
          <xdr:row>2967</xdr:row>
          <xdr:rowOff>161925</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0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2968</xdr:row>
          <xdr:rowOff>0</xdr:rowOff>
        </xdr:from>
        <xdr:to>
          <xdr:col>7</xdr:col>
          <xdr:colOff>0</xdr:colOff>
          <xdr:row>2968</xdr:row>
          <xdr:rowOff>161925</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0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2969</xdr:row>
          <xdr:rowOff>0</xdr:rowOff>
        </xdr:from>
        <xdr:to>
          <xdr:col>7</xdr:col>
          <xdr:colOff>0</xdr:colOff>
          <xdr:row>2969</xdr:row>
          <xdr:rowOff>161925</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0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2970</xdr:row>
          <xdr:rowOff>0</xdr:rowOff>
        </xdr:from>
        <xdr:to>
          <xdr:col>7</xdr:col>
          <xdr:colOff>0</xdr:colOff>
          <xdr:row>2970</xdr:row>
          <xdr:rowOff>161925</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0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2971</xdr:row>
          <xdr:rowOff>0</xdr:rowOff>
        </xdr:from>
        <xdr:to>
          <xdr:col>7</xdr:col>
          <xdr:colOff>0</xdr:colOff>
          <xdr:row>2971</xdr:row>
          <xdr:rowOff>161925</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0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2972</xdr:row>
          <xdr:rowOff>0</xdr:rowOff>
        </xdr:from>
        <xdr:to>
          <xdr:col>7</xdr:col>
          <xdr:colOff>0</xdr:colOff>
          <xdr:row>2972</xdr:row>
          <xdr:rowOff>161925</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0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2973</xdr:row>
          <xdr:rowOff>0</xdr:rowOff>
        </xdr:from>
        <xdr:to>
          <xdr:col>7</xdr:col>
          <xdr:colOff>0</xdr:colOff>
          <xdr:row>2973</xdr:row>
          <xdr:rowOff>161925</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0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2974</xdr:row>
          <xdr:rowOff>0</xdr:rowOff>
        </xdr:from>
        <xdr:to>
          <xdr:col>7</xdr:col>
          <xdr:colOff>0</xdr:colOff>
          <xdr:row>2974</xdr:row>
          <xdr:rowOff>161925</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0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2975</xdr:row>
          <xdr:rowOff>0</xdr:rowOff>
        </xdr:from>
        <xdr:to>
          <xdr:col>7</xdr:col>
          <xdr:colOff>0</xdr:colOff>
          <xdr:row>2975</xdr:row>
          <xdr:rowOff>161925</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0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2976</xdr:row>
          <xdr:rowOff>0</xdr:rowOff>
        </xdr:from>
        <xdr:to>
          <xdr:col>7</xdr:col>
          <xdr:colOff>0</xdr:colOff>
          <xdr:row>2976</xdr:row>
          <xdr:rowOff>161925</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0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2977</xdr:row>
          <xdr:rowOff>0</xdr:rowOff>
        </xdr:from>
        <xdr:to>
          <xdr:col>7</xdr:col>
          <xdr:colOff>0</xdr:colOff>
          <xdr:row>2977</xdr:row>
          <xdr:rowOff>161925</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0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2978</xdr:row>
          <xdr:rowOff>0</xdr:rowOff>
        </xdr:from>
        <xdr:to>
          <xdr:col>7</xdr:col>
          <xdr:colOff>0</xdr:colOff>
          <xdr:row>2978</xdr:row>
          <xdr:rowOff>161925</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0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2979</xdr:row>
          <xdr:rowOff>0</xdr:rowOff>
        </xdr:from>
        <xdr:to>
          <xdr:col>7</xdr:col>
          <xdr:colOff>0</xdr:colOff>
          <xdr:row>2979</xdr:row>
          <xdr:rowOff>161925</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0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2982</xdr:row>
          <xdr:rowOff>0</xdr:rowOff>
        </xdr:from>
        <xdr:to>
          <xdr:col>7</xdr:col>
          <xdr:colOff>0</xdr:colOff>
          <xdr:row>2983</xdr:row>
          <xdr:rowOff>0</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0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2989</xdr:row>
          <xdr:rowOff>0</xdr:rowOff>
        </xdr:from>
        <xdr:to>
          <xdr:col>7</xdr:col>
          <xdr:colOff>0</xdr:colOff>
          <xdr:row>2989</xdr:row>
          <xdr:rowOff>38100</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0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2990</xdr:row>
          <xdr:rowOff>0</xdr:rowOff>
        </xdr:from>
        <xdr:to>
          <xdr:col>7</xdr:col>
          <xdr:colOff>0</xdr:colOff>
          <xdr:row>2990</xdr:row>
          <xdr:rowOff>161925</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0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2991</xdr:row>
          <xdr:rowOff>0</xdr:rowOff>
        </xdr:from>
        <xdr:to>
          <xdr:col>7</xdr:col>
          <xdr:colOff>0</xdr:colOff>
          <xdr:row>2991</xdr:row>
          <xdr:rowOff>161925</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0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2992</xdr:row>
          <xdr:rowOff>0</xdr:rowOff>
        </xdr:from>
        <xdr:to>
          <xdr:col>7</xdr:col>
          <xdr:colOff>0</xdr:colOff>
          <xdr:row>2992</xdr:row>
          <xdr:rowOff>161925</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0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2993</xdr:row>
          <xdr:rowOff>0</xdr:rowOff>
        </xdr:from>
        <xdr:to>
          <xdr:col>7</xdr:col>
          <xdr:colOff>0</xdr:colOff>
          <xdr:row>2993</xdr:row>
          <xdr:rowOff>161925</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0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2994</xdr:row>
          <xdr:rowOff>0</xdr:rowOff>
        </xdr:from>
        <xdr:to>
          <xdr:col>7</xdr:col>
          <xdr:colOff>0</xdr:colOff>
          <xdr:row>2994</xdr:row>
          <xdr:rowOff>161925</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0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2995</xdr:row>
          <xdr:rowOff>0</xdr:rowOff>
        </xdr:from>
        <xdr:to>
          <xdr:col>7</xdr:col>
          <xdr:colOff>0</xdr:colOff>
          <xdr:row>2995</xdr:row>
          <xdr:rowOff>161925</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0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2996</xdr:row>
          <xdr:rowOff>0</xdr:rowOff>
        </xdr:from>
        <xdr:to>
          <xdr:col>7</xdr:col>
          <xdr:colOff>0</xdr:colOff>
          <xdr:row>2996</xdr:row>
          <xdr:rowOff>161925</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0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2997</xdr:row>
          <xdr:rowOff>0</xdr:rowOff>
        </xdr:from>
        <xdr:to>
          <xdr:col>7</xdr:col>
          <xdr:colOff>0</xdr:colOff>
          <xdr:row>2997</xdr:row>
          <xdr:rowOff>161925</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0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2998</xdr:row>
          <xdr:rowOff>0</xdr:rowOff>
        </xdr:from>
        <xdr:to>
          <xdr:col>7</xdr:col>
          <xdr:colOff>0</xdr:colOff>
          <xdr:row>2998</xdr:row>
          <xdr:rowOff>161925</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0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2999</xdr:row>
          <xdr:rowOff>0</xdr:rowOff>
        </xdr:from>
        <xdr:to>
          <xdr:col>7</xdr:col>
          <xdr:colOff>0</xdr:colOff>
          <xdr:row>2999</xdr:row>
          <xdr:rowOff>161925</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0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3000</xdr:row>
          <xdr:rowOff>0</xdr:rowOff>
        </xdr:from>
        <xdr:to>
          <xdr:col>7</xdr:col>
          <xdr:colOff>0</xdr:colOff>
          <xdr:row>3000</xdr:row>
          <xdr:rowOff>161925</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0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3003</xdr:row>
          <xdr:rowOff>0</xdr:rowOff>
        </xdr:from>
        <xdr:to>
          <xdr:col>7</xdr:col>
          <xdr:colOff>0</xdr:colOff>
          <xdr:row>3004</xdr:row>
          <xdr:rowOff>0</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0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3010</xdr:row>
          <xdr:rowOff>0</xdr:rowOff>
        </xdr:from>
        <xdr:to>
          <xdr:col>7</xdr:col>
          <xdr:colOff>0</xdr:colOff>
          <xdr:row>3010</xdr:row>
          <xdr:rowOff>38100</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0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3011</xdr:row>
          <xdr:rowOff>0</xdr:rowOff>
        </xdr:from>
        <xdr:to>
          <xdr:col>7</xdr:col>
          <xdr:colOff>0</xdr:colOff>
          <xdr:row>3011</xdr:row>
          <xdr:rowOff>161925</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0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3012</xdr:row>
          <xdr:rowOff>0</xdr:rowOff>
        </xdr:from>
        <xdr:to>
          <xdr:col>7</xdr:col>
          <xdr:colOff>0</xdr:colOff>
          <xdr:row>3012</xdr:row>
          <xdr:rowOff>161925</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0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3015</xdr:row>
          <xdr:rowOff>0</xdr:rowOff>
        </xdr:from>
        <xdr:to>
          <xdr:col>7</xdr:col>
          <xdr:colOff>0</xdr:colOff>
          <xdr:row>3016</xdr:row>
          <xdr:rowOff>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0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3022</xdr:row>
          <xdr:rowOff>0</xdr:rowOff>
        </xdr:from>
        <xdr:to>
          <xdr:col>7</xdr:col>
          <xdr:colOff>0</xdr:colOff>
          <xdr:row>3022</xdr:row>
          <xdr:rowOff>38100</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0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3023</xdr:row>
          <xdr:rowOff>0</xdr:rowOff>
        </xdr:from>
        <xdr:to>
          <xdr:col>7</xdr:col>
          <xdr:colOff>0</xdr:colOff>
          <xdr:row>3023</xdr:row>
          <xdr:rowOff>161925</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0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3026</xdr:row>
          <xdr:rowOff>0</xdr:rowOff>
        </xdr:from>
        <xdr:to>
          <xdr:col>7</xdr:col>
          <xdr:colOff>0</xdr:colOff>
          <xdr:row>3027</xdr:row>
          <xdr:rowOff>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0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3033</xdr:row>
          <xdr:rowOff>0</xdr:rowOff>
        </xdr:from>
        <xdr:to>
          <xdr:col>7</xdr:col>
          <xdr:colOff>0</xdr:colOff>
          <xdr:row>3033</xdr:row>
          <xdr:rowOff>38100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0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3034</xdr:row>
          <xdr:rowOff>0</xdr:rowOff>
        </xdr:from>
        <xdr:to>
          <xdr:col>7</xdr:col>
          <xdr:colOff>0</xdr:colOff>
          <xdr:row>3034</xdr:row>
          <xdr:rowOff>161925</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0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3035</xdr:row>
          <xdr:rowOff>0</xdr:rowOff>
        </xdr:from>
        <xdr:to>
          <xdr:col>7</xdr:col>
          <xdr:colOff>0</xdr:colOff>
          <xdr:row>3035</xdr:row>
          <xdr:rowOff>161925</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0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3038</xdr:row>
          <xdr:rowOff>0</xdr:rowOff>
        </xdr:from>
        <xdr:to>
          <xdr:col>7</xdr:col>
          <xdr:colOff>0</xdr:colOff>
          <xdr:row>3039</xdr:row>
          <xdr:rowOff>0</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0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3045</xdr:row>
          <xdr:rowOff>0</xdr:rowOff>
        </xdr:from>
        <xdr:to>
          <xdr:col>7</xdr:col>
          <xdr:colOff>0</xdr:colOff>
          <xdr:row>3045</xdr:row>
          <xdr:rowOff>38100</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0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3046</xdr:row>
          <xdr:rowOff>0</xdr:rowOff>
        </xdr:from>
        <xdr:to>
          <xdr:col>7</xdr:col>
          <xdr:colOff>0</xdr:colOff>
          <xdr:row>3046</xdr:row>
          <xdr:rowOff>161925</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0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3047</xdr:row>
          <xdr:rowOff>0</xdr:rowOff>
        </xdr:from>
        <xdr:to>
          <xdr:col>7</xdr:col>
          <xdr:colOff>0</xdr:colOff>
          <xdr:row>3047</xdr:row>
          <xdr:rowOff>161925</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0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3048</xdr:row>
          <xdr:rowOff>0</xdr:rowOff>
        </xdr:from>
        <xdr:to>
          <xdr:col>7</xdr:col>
          <xdr:colOff>0</xdr:colOff>
          <xdr:row>3048</xdr:row>
          <xdr:rowOff>161925</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0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3049</xdr:row>
          <xdr:rowOff>0</xdr:rowOff>
        </xdr:from>
        <xdr:to>
          <xdr:col>7</xdr:col>
          <xdr:colOff>0</xdr:colOff>
          <xdr:row>3049</xdr:row>
          <xdr:rowOff>161925</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0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3050</xdr:row>
          <xdr:rowOff>0</xdr:rowOff>
        </xdr:from>
        <xdr:to>
          <xdr:col>7</xdr:col>
          <xdr:colOff>0</xdr:colOff>
          <xdr:row>3050</xdr:row>
          <xdr:rowOff>161925</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0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3051</xdr:row>
          <xdr:rowOff>0</xdr:rowOff>
        </xdr:from>
        <xdr:to>
          <xdr:col>7</xdr:col>
          <xdr:colOff>0</xdr:colOff>
          <xdr:row>3051</xdr:row>
          <xdr:rowOff>161925</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0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3052</xdr:row>
          <xdr:rowOff>0</xdr:rowOff>
        </xdr:from>
        <xdr:to>
          <xdr:col>7</xdr:col>
          <xdr:colOff>0</xdr:colOff>
          <xdr:row>3052</xdr:row>
          <xdr:rowOff>161925</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0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3053</xdr:row>
          <xdr:rowOff>0</xdr:rowOff>
        </xdr:from>
        <xdr:to>
          <xdr:col>7</xdr:col>
          <xdr:colOff>0</xdr:colOff>
          <xdr:row>3053</xdr:row>
          <xdr:rowOff>161925</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0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3054</xdr:row>
          <xdr:rowOff>0</xdr:rowOff>
        </xdr:from>
        <xdr:to>
          <xdr:col>7</xdr:col>
          <xdr:colOff>0</xdr:colOff>
          <xdr:row>3054</xdr:row>
          <xdr:rowOff>161925</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0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3055</xdr:row>
          <xdr:rowOff>0</xdr:rowOff>
        </xdr:from>
        <xdr:to>
          <xdr:col>7</xdr:col>
          <xdr:colOff>0</xdr:colOff>
          <xdr:row>3055</xdr:row>
          <xdr:rowOff>161925</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0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3056</xdr:row>
          <xdr:rowOff>0</xdr:rowOff>
        </xdr:from>
        <xdr:to>
          <xdr:col>7</xdr:col>
          <xdr:colOff>0</xdr:colOff>
          <xdr:row>3056</xdr:row>
          <xdr:rowOff>161925</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0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3057</xdr:row>
          <xdr:rowOff>0</xdr:rowOff>
        </xdr:from>
        <xdr:to>
          <xdr:col>7</xdr:col>
          <xdr:colOff>0</xdr:colOff>
          <xdr:row>3057</xdr:row>
          <xdr:rowOff>161925</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0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3058</xdr:row>
          <xdr:rowOff>0</xdr:rowOff>
        </xdr:from>
        <xdr:to>
          <xdr:col>7</xdr:col>
          <xdr:colOff>0</xdr:colOff>
          <xdr:row>3058</xdr:row>
          <xdr:rowOff>161925</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0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3059</xdr:row>
          <xdr:rowOff>0</xdr:rowOff>
        </xdr:from>
        <xdr:to>
          <xdr:col>7</xdr:col>
          <xdr:colOff>0</xdr:colOff>
          <xdr:row>3059</xdr:row>
          <xdr:rowOff>161925</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0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3060</xdr:row>
          <xdr:rowOff>0</xdr:rowOff>
        </xdr:from>
        <xdr:to>
          <xdr:col>7</xdr:col>
          <xdr:colOff>0</xdr:colOff>
          <xdr:row>3060</xdr:row>
          <xdr:rowOff>161925</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0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3061</xdr:row>
          <xdr:rowOff>0</xdr:rowOff>
        </xdr:from>
        <xdr:to>
          <xdr:col>7</xdr:col>
          <xdr:colOff>0</xdr:colOff>
          <xdr:row>3061</xdr:row>
          <xdr:rowOff>161925</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0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3064</xdr:row>
          <xdr:rowOff>0</xdr:rowOff>
        </xdr:from>
        <xdr:to>
          <xdr:col>7</xdr:col>
          <xdr:colOff>0</xdr:colOff>
          <xdr:row>3065</xdr:row>
          <xdr:rowOff>0</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0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3071</xdr:row>
          <xdr:rowOff>0</xdr:rowOff>
        </xdr:from>
        <xdr:to>
          <xdr:col>7</xdr:col>
          <xdr:colOff>0</xdr:colOff>
          <xdr:row>3071</xdr:row>
          <xdr:rowOff>38100</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0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3072</xdr:row>
          <xdr:rowOff>0</xdr:rowOff>
        </xdr:from>
        <xdr:to>
          <xdr:col>7</xdr:col>
          <xdr:colOff>0</xdr:colOff>
          <xdr:row>3072</xdr:row>
          <xdr:rowOff>161925</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0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3073</xdr:row>
          <xdr:rowOff>0</xdr:rowOff>
        </xdr:from>
        <xdr:to>
          <xdr:col>7</xdr:col>
          <xdr:colOff>0</xdr:colOff>
          <xdr:row>3073</xdr:row>
          <xdr:rowOff>161925</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0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3074</xdr:row>
          <xdr:rowOff>0</xdr:rowOff>
        </xdr:from>
        <xdr:to>
          <xdr:col>7</xdr:col>
          <xdr:colOff>0</xdr:colOff>
          <xdr:row>3074</xdr:row>
          <xdr:rowOff>161925</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0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3075</xdr:row>
          <xdr:rowOff>0</xdr:rowOff>
        </xdr:from>
        <xdr:to>
          <xdr:col>7</xdr:col>
          <xdr:colOff>0</xdr:colOff>
          <xdr:row>3075</xdr:row>
          <xdr:rowOff>161925</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0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3076</xdr:row>
          <xdr:rowOff>0</xdr:rowOff>
        </xdr:from>
        <xdr:to>
          <xdr:col>7</xdr:col>
          <xdr:colOff>0</xdr:colOff>
          <xdr:row>3076</xdr:row>
          <xdr:rowOff>161925</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0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3077</xdr:row>
          <xdr:rowOff>0</xdr:rowOff>
        </xdr:from>
        <xdr:to>
          <xdr:col>7</xdr:col>
          <xdr:colOff>0</xdr:colOff>
          <xdr:row>3077</xdr:row>
          <xdr:rowOff>161925</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0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3080</xdr:row>
          <xdr:rowOff>0</xdr:rowOff>
        </xdr:from>
        <xdr:to>
          <xdr:col>7</xdr:col>
          <xdr:colOff>0</xdr:colOff>
          <xdr:row>3081</xdr:row>
          <xdr:rowOff>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0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3087</xdr:row>
          <xdr:rowOff>0</xdr:rowOff>
        </xdr:from>
        <xdr:to>
          <xdr:col>7</xdr:col>
          <xdr:colOff>0</xdr:colOff>
          <xdr:row>3087</xdr:row>
          <xdr:rowOff>38100</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0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3088</xdr:row>
          <xdr:rowOff>0</xdr:rowOff>
        </xdr:from>
        <xdr:to>
          <xdr:col>7</xdr:col>
          <xdr:colOff>0</xdr:colOff>
          <xdr:row>3088</xdr:row>
          <xdr:rowOff>161925</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0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3091</xdr:row>
          <xdr:rowOff>0</xdr:rowOff>
        </xdr:from>
        <xdr:to>
          <xdr:col>7</xdr:col>
          <xdr:colOff>0</xdr:colOff>
          <xdr:row>3092</xdr:row>
          <xdr:rowOff>0</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0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3098</xdr:row>
          <xdr:rowOff>0</xdr:rowOff>
        </xdr:from>
        <xdr:to>
          <xdr:col>7</xdr:col>
          <xdr:colOff>0</xdr:colOff>
          <xdr:row>3098</xdr:row>
          <xdr:rowOff>38100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0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3099</xdr:row>
          <xdr:rowOff>0</xdr:rowOff>
        </xdr:from>
        <xdr:to>
          <xdr:col>7</xdr:col>
          <xdr:colOff>0</xdr:colOff>
          <xdr:row>3099</xdr:row>
          <xdr:rowOff>161925</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0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3100</xdr:row>
          <xdr:rowOff>0</xdr:rowOff>
        </xdr:from>
        <xdr:to>
          <xdr:col>7</xdr:col>
          <xdr:colOff>0</xdr:colOff>
          <xdr:row>3100</xdr:row>
          <xdr:rowOff>161925</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0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3101</xdr:row>
          <xdr:rowOff>0</xdr:rowOff>
        </xdr:from>
        <xdr:to>
          <xdr:col>7</xdr:col>
          <xdr:colOff>0</xdr:colOff>
          <xdr:row>3101</xdr:row>
          <xdr:rowOff>161925</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0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3102</xdr:row>
          <xdr:rowOff>0</xdr:rowOff>
        </xdr:from>
        <xdr:to>
          <xdr:col>7</xdr:col>
          <xdr:colOff>0</xdr:colOff>
          <xdr:row>3102</xdr:row>
          <xdr:rowOff>161925</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0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3103</xdr:row>
          <xdr:rowOff>0</xdr:rowOff>
        </xdr:from>
        <xdr:to>
          <xdr:col>7</xdr:col>
          <xdr:colOff>0</xdr:colOff>
          <xdr:row>3103</xdr:row>
          <xdr:rowOff>161925</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0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3104</xdr:row>
          <xdr:rowOff>0</xdr:rowOff>
        </xdr:from>
        <xdr:to>
          <xdr:col>7</xdr:col>
          <xdr:colOff>0</xdr:colOff>
          <xdr:row>3104</xdr:row>
          <xdr:rowOff>161925</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0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3105</xdr:row>
          <xdr:rowOff>0</xdr:rowOff>
        </xdr:from>
        <xdr:to>
          <xdr:col>7</xdr:col>
          <xdr:colOff>0</xdr:colOff>
          <xdr:row>3105</xdr:row>
          <xdr:rowOff>161925</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0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3106</xdr:row>
          <xdr:rowOff>0</xdr:rowOff>
        </xdr:from>
        <xdr:to>
          <xdr:col>7</xdr:col>
          <xdr:colOff>0</xdr:colOff>
          <xdr:row>3106</xdr:row>
          <xdr:rowOff>161925</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0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3107</xdr:row>
          <xdr:rowOff>0</xdr:rowOff>
        </xdr:from>
        <xdr:to>
          <xdr:col>7</xdr:col>
          <xdr:colOff>0</xdr:colOff>
          <xdr:row>3107</xdr:row>
          <xdr:rowOff>161925</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0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3110</xdr:row>
          <xdr:rowOff>0</xdr:rowOff>
        </xdr:from>
        <xdr:to>
          <xdr:col>7</xdr:col>
          <xdr:colOff>0</xdr:colOff>
          <xdr:row>3111</xdr:row>
          <xdr:rowOff>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0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3117</xdr:row>
          <xdr:rowOff>0</xdr:rowOff>
        </xdr:from>
        <xdr:to>
          <xdr:col>7</xdr:col>
          <xdr:colOff>0</xdr:colOff>
          <xdr:row>3117</xdr:row>
          <xdr:rowOff>38100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0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3118</xdr:row>
          <xdr:rowOff>0</xdr:rowOff>
        </xdr:from>
        <xdr:to>
          <xdr:col>7</xdr:col>
          <xdr:colOff>0</xdr:colOff>
          <xdr:row>3118</xdr:row>
          <xdr:rowOff>161925</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0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3121</xdr:row>
          <xdr:rowOff>0</xdr:rowOff>
        </xdr:from>
        <xdr:to>
          <xdr:col>7</xdr:col>
          <xdr:colOff>0</xdr:colOff>
          <xdr:row>3122</xdr:row>
          <xdr:rowOff>0</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0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3128</xdr:row>
          <xdr:rowOff>0</xdr:rowOff>
        </xdr:from>
        <xdr:to>
          <xdr:col>7</xdr:col>
          <xdr:colOff>0</xdr:colOff>
          <xdr:row>3128</xdr:row>
          <xdr:rowOff>38100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0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3129</xdr:row>
          <xdr:rowOff>0</xdr:rowOff>
        </xdr:from>
        <xdr:to>
          <xdr:col>7</xdr:col>
          <xdr:colOff>0</xdr:colOff>
          <xdr:row>3129</xdr:row>
          <xdr:rowOff>161925</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0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3132</xdr:row>
          <xdr:rowOff>0</xdr:rowOff>
        </xdr:from>
        <xdr:to>
          <xdr:col>7</xdr:col>
          <xdr:colOff>0</xdr:colOff>
          <xdr:row>3133</xdr:row>
          <xdr:rowOff>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0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3139</xdr:row>
          <xdr:rowOff>0</xdr:rowOff>
        </xdr:from>
        <xdr:to>
          <xdr:col>7</xdr:col>
          <xdr:colOff>0</xdr:colOff>
          <xdr:row>3139</xdr:row>
          <xdr:rowOff>38100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0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3140</xdr:row>
          <xdr:rowOff>0</xdr:rowOff>
        </xdr:from>
        <xdr:to>
          <xdr:col>7</xdr:col>
          <xdr:colOff>0</xdr:colOff>
          <xdr:row>3140</xdr:row>
          <xdr:rowOff>161925</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0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3141</xdr:row>
          <xdr:rowOff>0</xdr:rowOff>
        </xdr:from>
        <xdr:to>
          <xdr:col>7</xdr:col>
          <xdr:colOff>0</xdr:colOff>
          <xdr:row>3141</xdr:row>
          <xdr:rowOff>161925</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0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3142</xdr:row>
          <xdr:rowOff>0</xdr:rowOff>
        </xdr:from>
        <xdr:to>
          <xdr:col>7</xdr:col>
          <xdr:colOff>0</xdr:colOff>
          <xdr:row>3142</xdr:row>
          <xdr:rowOff>161925</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0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3143</xdr:row>
          <xdr:rowOff>0</xdr:rowOff>
        </xdr:from>
        <xdr:to>
          <xdr:col>7</xdr:col>
          <xdr:colOff>0</xdr:colOff>
          <xdr:row>3143</xdr:row>
          <xdr:rowOff>161925</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0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3146</xdr:row>
          <xdr:rowOff>0</xdr:rowOff>
        </xdr:from>
        <xdr:to>
          <xdr:col>7</xdr:col>
          <xdr:colOff>0</xdr:colOff>
          <xdr:row>3147</xdr:row>
          <xdr:rowOff>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0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3153</xdr:row>
          <xdr:rowOff>0</xdr:rowOff>
        </xdr:from>
        <xdr:to>
          <xdr:col>7</xdr:col>
          <xdr:colOff>0</xdr:colOff>
          <xdr:row>3153</xdr:row>
          <xdr:rowOff>38100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0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3154</xdr:row>
          <xdr:rowOff>0</xdr:rowOff>
        </xdr:from>
        <xdr:to>
          <xdr:col>7</xdr:col>
          <xdr:colOff>0</xdr:colOff>
          <xdr:row>3154</xdr:row>
          <xdr:rowOff>161925</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0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3155</xdr:row>
          <xdr:rowOff>0</xdr:rowOff>
        </xdr:from>
        <xdr:to>
          <xdr:col>7</xdr:col>
          <xdr:colOff>0</xdr:colOff>
          <xdr:row>3155</xdr:row>
          <xdr:rowOff>161925</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0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3156</xdr:row>
          <xdr:rowOff>0</xdr:rowOff>
        </xdr:from>
        <xdr:to>
          <xdr:col>7</xdr:col>
          <xdr:colOff>0</xdr:colOff>
          <xdr:row>3156</xdr:row>
          <xdr:rowOff>161925</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0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3157</xdr:row>
          <xdr:rowOff>0</xdr:rowOff>
        </xdr:from>
        <xdr:to>
          <xdr:col>7</xdr:col>
          <xdr:colOff>0</xdr:colOff>
          <xdr:row>3157</xdr:row>
          <xdr:rowOff>161925</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0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3158</xdr:row>
          <xdr:rowOff>0</xdr:rowOff>
        </xdr:from>
        <xdr:to>
          <xdr:col>7</xdr:col>
          <xdr:colOff>0</xdr:colOff>
          <xdr:row>3158</xdr:row>
          <xdr:rowOff>161925</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0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3159</xdr:row>
          <xdr:rowOff>0</xdr:rowOff>
        </xdr:from>
        <xdr:to>
          <xdr:col>7</xdr:col>
          <xdr:colOff>0</xdr:colOff>
          <xdr:row>3159</xdr:row>
          <xdr:rowOff>161925</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0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3160</xdr:row>
          <xdr:rowOff>0</xdr:rowOff>
        </xdr:from>
        <xdr:to>
          <xdr:col>7</xdr:col>
          <xdr:colOff>0</xdr:colOff>
          <xdr:row>3160</xdr:row>
          <xdr:rowOff>161925</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0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3161</xdr:row>
          <xdr:rowOff>0</xdr:rowOff>
        </xdr:from>
        <xdr:to>
          <xdr:col>7</xdr:col>
          <xdr:colOff>0</xdr:colOff>
          <xdr:row>3161</xdr:row>
          <xdr:rowOff>161925</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0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3162</xdr:row>
          <xdr:rowOff>0</xdr:rowOff>
        </xdr:from>
        <xdr:to>
          <xdr:col>7</xdr:col>
          <xdr:colOff>0</xdr:colOff>
          <xdr:row>3162</xdr:row>
          <xdr:rowOff>161925</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0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3163</xdr:row>
          <xdr:rowOff>0</xdr:rowOff>
        </xdr:from>
        <xdr:to>
          <xdr:col>7</xdr:col>
          <xdr:colOff>0</xdr:colOff>
          <xdr:row>3163</xdr:row>
          <xdr:rowOff>161925</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0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3164</xdr:row>
          <xdr:rowOff>0</xdr:rowOff>
        </xdr:from>
        <xdr:to>
          <xdr:col>7</xdr:col>
          <xdr:colOff>0</xdr:colOff>
          <xdr:row>3164</xdr:row>
          <xdr:rowOff>161925</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0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3165</xdr:row>
          <xdr:rowOff>0</xdr:rowOff>
        </xdr:from>
        <xdr:to>
          <xdr:col>7</xdr:col>
          <xdr:colOff>0</xdr:colOff>
          <xdr:row>3165</xdr:row>
          <xdr:rowOff>161925</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0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3166</xdr:row>
          <xdr:rowOff>0</xdr:rowOff>
        </xdr:from>
        <xdr:to>
          <xdr:col>7</xdr:col>
          <xdr:colOff>0</xdr:colOff>
          <xdr:row>3166</xdr:row>
          <xdr:rowOff>161925</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0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3167</xdr:row>
          <xdr:rowOff>0</xdr:rowOff>
        </xdr:from>
        <xdr:to>
          <xdr:col>7</xdr:col>
          <xdr:colOff>0</xdr:colOff>
          <xdr:row>3167</xdr:row>
          <xdr:rowOff>161925</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0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3168</xdr:row>
          <xdr:rowOff>0</xdr:rowOff>
        </xdr:from>
        <xdr:to>
          <xdr:col>7</xdr:col>
          <xdr:colOff>0</xdr:colOff>
          <xdr:row>3168</xdr:row>
          <xdr:rowOff>161925</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0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3169</xdr:row>
          <xdr:rowOff>0</xdr:rowOff>
        </xdr:from>
        <xdr:to>
          <xdr:col>7</xdr:col>
          <xdr:colOff>0</xdr:colOff>
          <xdr:row>3169</xdr:row>
          <xdr:rowOff>161925</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0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3170</xdr:row>
          <xdr:rowOff>0</xdr:rowOff>
        </xdr:from>
        <xdr:to>
          <xdr:col>7</xdr:col>
          <xdr:colOff>0</xdr:colOff>
          <xdr:row>3170</xdr:row>
          <xdr:rowOff>161925</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0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3171</xdr:row>
          <xdr:rowOff>0</xdr:rowOff>
        </xdr:from>
        <xdr:to>
          <xdr:col>7</xdr:col>
          <xdr:colOff>0</xdr:colOff>
          <xdr:row>3171</xdr:row>
          <xdr:rowOff>161925</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0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3172</xdr:row>
          <xdr:rowOff>0</xdr:rowOff>
        </xdr:from>
        <xdr:to>
          <xdr:col>7</xdr:col>
          <xdr:colOff>0</xdr:colOff>
          <xdr:row>3172</xdr:row>
          <xdr:rowOff>161925</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0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3173</xdr:row>
          <xdr:rowOff>0</xdr:rowOff>
        </xdr:from>
        <xdr:to>
          <xdr:col>7</xdr:col>
          <xdr:colOff>0</xdr:colOff>
          <xdr:row>3173</xdr:row>
          <xdr:rowOff>161925</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0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3174</xdr:row>
          <xdr:rowOff>0</xdr:rowOff>
        </xdr:from>
        <xdr:to>
          <xdr:col>7</xdr:col>
          <xdr:colOff>0</xdr:colOff>
          <xdr:row>3174</xdr:row>
          <xdr:rowOff>161925</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0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3175</xdr:row>
          <xdr:rowOff>0</xdr:rowOff>
        </xdr:from>
        <xdr:to>
          <xdr:col>7</xdr:col>
          <xdr:colOff>0</xdr:colOff>
          <xdr:row>3175</xdr:row>
          <xdr:rowOff>161925</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0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3176</xdr:row>
          <xdr:rowOff>0</xdr:rowOff>
        </xdr:from>
        <xdr:to>
          <xdr:col>7</xdr:col>
          <xdr:colOff>0</xdr:colOff>
          <xdr:row>3176</xdr:row>
          <xdr:rowOff>161925</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0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3177</xdr:row>
          <xdr:rowOff>0</xdr:rowOff>
        </xdr:from>
        <xdr:to>
          <xdr:col>7</xdr:col>
          <xdr:colOff>0</xdr:colOff>
          <xdr:row>3177</xdr:row>
          <xdr:rowOff>161925</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0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3178</xdr:row>
          <xdr:rowOff>0</xdr:rowOff>
        </xdr:from>
        <xdr:to>
          <xdr:col>7</xdr:col>
          <xdr:colOff>0</xdr:colOff>
          <xdr:row>3178</xdr:row>
          <xdr:rowOff>161925</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0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3179</xdr:row>
          <xdr:rowOff>0</xdr:rowOff>
        </xdr:from>
        <xdr:to>
          <xdr:col>7</xdr:col>
          <xdr:colOff>0</xdr:colOff>
          <xdr:row>3179</xdr:row>
          <xdr:rowOff>161925</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0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3180</xdr:row>
          <xdr:rowOff>0</xdr:rowOff>
        </xdr:from>
        <xdr:to>
          <xdr:col>7</xdr:col>
          <xdr:colOff>0</xdr:colOff>
          <xdr:row>3180</xdr:row>
          <xdr:rowOff>161925</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0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3181</xdr:row>
          <xdr:rowOff>0</xdr:rowOff>
        </xdr:from>
        <xdr:to>
          <xdr:col>7</xdr:col>
          <xdr:colOff>0</xdr:colOff>
          <xdr:row>3181</xdr:row>
          <xdr:rowOff>161925</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0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3182</xdr:row>
          <xdr:rowOff>0</xdr:rowOff>
        </xdr:from>
        <xdr:to>
          <xdr:col>7</xdr:col>
          <xdr:colOff>0</xdr:colOff>
          <xdr:row>3182</xdr:row>
          <xdr:rowOff>161925</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0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3183</xdr:row>
          <xdr:rowOff>0</xdr:rowOff>
        </xdr:from>
        <xdr:to>
          <xdr:col>7</xdr:col>
          <xdr:colOff>0</xdr:colOff>
          <xdr:row>3183</xdr:row>
          <xdr:rowOff>161925</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0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3184</xdr:row>
          <xdr:rowOff>0</xdr:rowOff>
        </xdr:from>
        <xdr:to>
          <xdr:col>7</xdr:col>
          <xdr:colOff>0</xdr:colOff>
          <xdr:row>3184</xdr:row>
          <xdr:rowOff>161925</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0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3185</xdr:row>
          <xdr:rowOff>0</xdr:rowOff>
        </xdr:from>
        <xdr:to>
          <xdr:col>7</xdr:col>
          <xdr:colOff>0</xdr:colOff>
          <xdr:row>3185</xdr:row>
          <xdr:rowOff>161925</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0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3186</xdr:row>
          <xdr:rowOff>0</xdr:rowOff>
        </xdr:from>
        <xdr:to>
          <xdr:col>7</xdr:col>
          <xdr:colOff>0</xdr:colOff>
          <xdr:row>3186</xdr:row>
          <xdr:rowOff>161925</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0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3187</xdr:row>
          <xdr:rowOff>0</xdr:rowOff>
        </xdr:from>
        <xdr:to>
          <xdr:col>7</xdr:col>
          <xdr:colOff>0</xdr:colOff>
          <xdr:row>3187</xdr:row>
          <xdr:rowOff>161925</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0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3188</xdr:row>
          <xdr:rowOff>0</xdr:rowOff>
        </xdr:from>
        <xdr:to>
          <xdr:col>7</xdr:col>
          <xdr:colOff>0</xdr:colOff>
          <xdr:row>3188</xdr:row>
          <xdr:rowOff>161925</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0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3189</xdr:row>
          <xdr:rowOff>0</xdr:rowOff>
        </xdr:from>
        <xdr:to>
          <xdr:col>7</xdr:col>
          <xdr:colOff>0</xdr:colOff>
          <xdr:row>3189</xdr:row>
          <xdr:rowOff>161925</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0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3190</xdr:row>
          <xdr:rowOff>0</xdr:rowOff>
        </xdr:from>
        <xdr:to>
          <xdr:col>7</xdr:col>
          <xdr:colOff>0</xdr:colOff>
          <xdr:row>3190</xdr:row>
          <xdr:rowOff>161925</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0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3191</xdr:row>
          <xdr:rowOff>0</xdr:rowOff>
        </xdr:from>
        <xdr:to>
          <xdr:col>7</xdr:col>
          <xdr:colOff>0</xdr:colOff>
          <xdr:row>3191</xdr:row>
          <xdr:rowOff>161925</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0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3192</xdr:row>
          <xdr:rowOff>0</xdr:rowOff>
        </xdr:from>
        <xdr:to>
          <xdr:col>7</xdr:col>
          <xdr:colOff>0</xdr:colOff>
          <xdr:row>3192</xdr:row>
          <xdr:rowOff>161925</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0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3193</xdr:row>
          <xdr:rowOff>0</xdr:rowOff>
        </xdr:from>
        <xdr:to>
          <xdr:col>7</xdr:col>
          <xdr:colOff>0</xdr:colOff>
          <xdr:row>3193</xdr:row>
          <xdr:rowOff>161925</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0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3194</xdr:row>
          <xdr:rowOff>0</xdr:rowOff>
        </xdr:from>
        <xdr:to>
          <xdr:col>7</xdr:col>
          <xdr:colOff>0</xdr:colOff>
          <xdr:row>3194</xdr:row>
          <xdr:rowOff>161925</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0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3195</xdr:row>
          <xdr:rowOff>0</xdr:rowOff>
        </xdr:from>
        <xdr:to>
          <xdr:col>7</xdr:col>
          <xdr:colOff>0</xdr:colOff>
          <xdr:row>3195</xdr:row>
          <xdr:rowOff>161925</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0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3196</xdr:row>
          <xdr:rowOff>0</xdr:rowOff>
        </xdr:from>
        <xdr:to>
          <xdr:col>7</xdr:col>
          <xdr:colOff>0</xdr:colOff>
          <xdr:row>3196</xdr:row>
          <xdr:rowOff>161925</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0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3197</xdr:row>
          <xdr:rowOff>0</xdr:rowOff>
        </xdr:from>
        <xdr:to>
          <xdr:col>7</xdr:col>
          <xdr:colOff>0</xdr:colOff>
          <xdr:row>3197</xdr:row>
          <xdr:rowOff>161925</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0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3198</xdr:row>
          <xdr:rowOff>0</xdr:rowOff>
        </xdr:from>
        <xdr:to>
          <xdr:col>7</xdr:col>
          <xdr:colOff>0</xdr:colOff>
          <xdr:row>3198</xdr:row>
          <xdr:rowOff>161925</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0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3199</xdr:row>
          <xdr:rowOff>0</xdr:rowOff>
        </xdr:from>
        <xdr:to>
          <xdr:col>7</xdr:col>
          <xdr:colOff>0</xdr:colOff>
          <xdr:row>3199</xdr:row>
          <xdr:rowOff>161925</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0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3200</xdr:row>
          <xdr:rowOff>0</xdr:rowOff>
        </xdr:from>
        <xdr:to>
          <xdr:col>7</xdr:col>
          <xdr:colOff>0</xdr:colOff>
          <xdr:row>3200</xdr:row>
          <xdr:rowOff>161925</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0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3201</xdr:row>
          <xdr:rowOff>0</xdr:rowOff>
        </xdr:from>
        <xdr:to>
          <xdr:col>7</xdr:col>
          <xdr:colOff>0</xdr:colOff>
          <xdr:row>3201</xdr:row>
          <xdr:rowOff>161925</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0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3202</xdr:row>
          <xdr:rowOff>0</xdr:rowOff>
        </xdr:from>
        <xdr:to>
          <xdr:col>7</xdr:col>
          <xdr:colOff>0</xdr:colOff>
          <xdr:row>3202</xdr:row>
          <xdr:rowOff>161925</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0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3203</xdr:row>
          <xdr:rowOff>0</xdr:rowOff>
        </xdr:from>
        <xdr:to>
          <xdr:col>7</xdr:col>
          <xdr:colOff>0</xdr:colOff>
          <xdr:row>3203</xdr:row>
          <xdr:rowOff>161925</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0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3204</xdr:row>
          <xdr:rowOff>0</xdr:rowOff>
        </xdr:from>
        <xdr:to>
          <xdr:col>7</xdr:col>
          <xdr:colOff>0</xdr:colOff>
          <xdr:row>3204</xdr:row>
          <xdr:rowOff>161925</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0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3207</xdr:row>
          <xdr:rowOff>0</xdr:rowOff>
        </xdr:from>
        <xdr:to>
          <xdr:col>7</xdr:col>
          <xdr:colOff>0</xdr:colOff>
          <xdr:row>3208</xdr:row>
          <xdr:rowOff>0</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0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3214</xdr:row>
          <xdr:rowOff>0</xdr:rowOff>
        </xdr:from>
        <xdr:to>
          <xdr:col>7</xdr:col>
          <xdr:colOff>0</xdr:colOff>
          <xdr:row>3214</xdr:row>
          <xdr:rowOff>38100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0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3215</xdr:row>
          <xdr:rowOff>0</xdr:rowOff>
        </xdr:from>
        <xdr:to>
          <xdr:col>7</xdr:col>
          <xdr:colOff>0</xdr:colOff>
          <xdr:row>3215</xdr:row>
          <xdr:rowOff>161925</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0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3216</xdr:row>
          <xdr:rowOff>0</xdr:rowOff>
        </xdr:from>
        <xdr:to>
          <xdr:col>7</xdr:col>
          <xdr:colOff>0</xdr:colOff>
          <xdr:row>3216</xdr:row>
          <xdr:rowOff>161925</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0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3219</xdr:row>
          <xdr:rowOff>0</xdr:rowOff>
        </xdr:from>
        <xdr:to>
          <xdr:col>7</xdr:col>
          <xdr:colOff>0</xdr:colOff>
          <xdr:row>3220</xdr:row>
          <xdr:rowOff>0</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0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3226</xdr:row>
          <xdr:rowOff>0</xdr:rowOff>
        </xdr:from>
        <xdr:to>
          <xdr:col>7</xdr:col>
          <xdr:colOff>0</xdr:colOff>
          <xdr:row>3226</xdr:row>
          <xdr:rowOff>38100</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0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3227</xdr:row>
          <xdr:rowOff>0</xdr:rowOff>
        </xdr:from>
        <xdr:to>
          <xdr:col>7</xdr:col>
          <xdr:colOff>0</xdr:colOff>
          <xdr:row>3227</xdr:row>
          <xdr:rowOff>161925</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0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3228</xdr:row>
          <xdr:rowOff>0</xdr:rowOff>
        </xdr:from>
        <xdr:to>
          <xdr:col>7</xdr:col>
          <xdr:colOff>0</xdr:colOff>
          <xdr:row>3228</xdr:row>
          <xdr:rowOff>161925</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0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3229</xdr:row>
          <xdr:rowOff>0</xdr:rowOff>
        </xdr:from>
        <xdr:to>
          <xdr:col>7</xdr:col>
          <xdr:colOff>0</xdr:colOff>
          <xdr:row>3229</xdr:row>
          <xdr:rowOff>161925</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0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3232</xdr:row>
          <xdr:rowOff>0</xdr:rowOff>
        </xdr:from>
        <xdr:to>
          <xdr:col>7</xdr:col>
          <xdr:colOff>0</xdr:colOff>
          <xdr:row>3233</xdr:row>
          <xdr:rowOff>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0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3239</xdr:row>
          <xdr:rowOff>0</xdr:rowOff>
        </xdr:from>
        <xdr:to>
          <xdr:col>7</xdr:col>
          <xdr:colOff>0</xdr:colOff>
          <xdr:row>3239</xdr:row>
          <xdr:rowOff>38100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0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3240</xdr:row>
          <xdr:rowOff>0</xdr:rowOff>
        </xdr:from>
        <xdr:to>
          <xdr:col>7</xdr:col>
          <xdr:colOff>0</xdr:colOff>
          <xdr:row>3240</xdr:row>
          <xdr:rowOff>161925</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0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3243</xdr:row>
          <xdr:rowOff>0</xdr:rowOff>
        </xdr:from>
        <xdr:to>
          <xdr:col>7</xdr:col>
          <xdr:colOff>0</xdr:colOff>
          <xdr:row>3244</xdr:row>
          <xdr:rowOff>0</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0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3250</xdr:row>
          <xdr:rowOff>0</xdr:rowOff>
        </xdr:from>
        <xdr:to>
          <xdr:col>7</xdr:col>
          <xdr:colOff>0</xdr:colOff>
          <xdr:row>3250</xdr:row>
          <xdr:rowOff>38100</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0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3251</xdr:row>
          <xdr:rowOff>0</xdr:rowOff>
        </xdr:from>
        <xdr:to>
          <xdr:col>7</xdr:col>
          <xdr:colOff>0</xdr:colOff>
          <xdr:row>3251</xdr:row>
          <xdr:rowOff>161925</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0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3252</xdr:row>
          <xdr:rowOff>0</xdr:rowOff>
        </xdr:from>
        <xdr:to>
          <xdr:col>7</xdr:col>
          <xdr:colOff>0</xdr:colOff>
          <xdr:row>3252</xdr:row>
          <xdr:rowOff>161925</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0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3253</xdr:row>
          <xdr:rowOff>0</xdr:rowOff>
        </xdr:from>
        <xdr:to>
          <xdr:col>7</xdr:col>
          <xdr:colOff>0</xdr:colOff>
          <xdr:row>3253</xdr:row>
          <xdr:rowOff>161925</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0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3254</xdr:row>
          <xdr:rowOff>0</xdr:rowOff>
        </xdr:from>
        <xdr:to>
          <xdr:col>7</xdr:col>
          <xdr:colOff>0</xdr:colOff>
          <xdr:row>3254</xdr:row>
          <xdr:rowOff>161925</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0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3255</xdr:row>
          <xdr:rowOff>0</xdr:rowOff>
        </xdr:from>
        <xdr:to>
          <xdr:col>7</xdr:col>
          <xdr:colOff>0</xdr:colOff>
          <xdr:row>3255</xdr:row>
          <xdr:rowOff>161925</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0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3256</xdr:row>
          <xdr:rowOff>0</xdr:rowOff>
        </xdr:from>
        <xdr:to>
          <xdr:col>7</xdr:col>
          <xdr:colOff>0</xdr:colOff>
          <xdr:row>3256</xdr:row>
          <xdr:rowOff>161925</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0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3257</xdr:row>
          <xdr:rowOff>0</xdr:rowOff>
        </xdr:from>
        <xdr:to>
          <xdr:col>7</xdr:col>
          <xdr:colOff>0</xdr:colOff>
          <xdr:row>3257</xdr:row>
          <xdr:rowOff>161925</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0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3258</xdr:row>
          <xdr:rowOff>0</xdr:rowOff>
        </xdr:from>
        <xdr:to>
          <xdr:col>7</xdr:col>
          <xdr:colOff>0</xdr:colOff>
          <xdr:row>3258</xdr:row>
          <xdr:rowOff>161925</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0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3259</xdr:row>
          <xdr:rowOff>0</xdr:rowOff>
        </xdr:from>
        <xdr:to>
          <xdr:col>7</xdr:col>
          <xdr:colOff>0</xdr:colOff>
          <xdr:row>3259</xdr:row>
          <xdr:rowOff>161925</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0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3260</xdr:row>
          <xdr:rowOff>0</xdr:rowOff>
        </xdr:from>
        <xdr:to>
          <xdr:col>7</xdr:col>
          <xdr:colOff>0</xdr:colOff>
          <xdr:row>3260</xdr:row>
          <xdr:rowOff>161925</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0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3261</xdr:row>
          <xdr:rowOff>0</xdr:rowOff>
        </xdr:from>
        <xdr:to>
          <xdr:col>7</xdr:col>
          <xdr:colOff>0</xdr:colOff>
          <xdr:row>3261</xdr:row>
          <xdr:rowOff>161925</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0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3262</xdr:row>
          <xdr:rowOff>0</xdr:rowOff>
        </xdr:from>
        <xdr:to>
          <xdr:col>7</xdr:col>
          <xdr:colOff>0</xdr:colOff>
          <xdr:row>3262</xdr:row>
          <xdr:rowOff>161925</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0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3265</xdr:row>
          <xdr:rowOff>0</xdr:rowOff>
        </xdr:from>
        <xdr:to>
          <xdr:col>7</xdr:col>
          <xdr:colOff>0</xdr:colOff>
          <xdr:row>3266</xdr:row>
          <xdr:rowOff>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0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3272</xdr:row>
          <xdr:rowOff>0</xdr:rowOff>
        </xdr:from>
        <xdr:to>
          <xdr:col>7</xdr:col>
          <xdr:colOff>0</xdr:colOff>
          <xdr:row>3272</xdr:row>
          <xdr:rowOff>38100</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0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3273</xdr:row>
          <xdr:rowOff>0</xdr:rowOff>
        </xdr:from>
        <xdr:to>
          <xdr:col>7</xdr:col>
          <xdr:colOff>0</xdr:colOff>
          <xdr:row>3273</xdr:row>
          <xdr:rowOff>161925</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0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3276</xdr:row>
          <xdr:rowOff>0</xdr:rowOff>
        </xdr:from>
        <xdr:to>
          <xdr:col>7</xdr:col>
          <xdr:colOff>0</xdr:colOff>
          <xdr:row>3277</xdr:row>
          <xdr:rowOff>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0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3283</xdr:row>
          <xdr:rowOff>0</xdr:rowOff>
        </xdr:from>
        <xdr:to>
          <xdr:col>7</xdr:col>
          <xdr:colOff>0</xdr:colOff>
          <xdr:row>3283</xdr:row>
          <xdr:rowOff>38100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0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3284</xdr:row>
          <xdr:rowOff>0</xdr:rowOff>
        </xdr:from>
        <xdr:to>
          <xdr:col>7</xdr:col>
          <xdr:colOff>0</xdr:colOff>
          <xdr:row>3284</xdr:row>
          <xdr:rowOff>161925</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0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3287</xdr:row>
          <xdr:rowOff>0</xdr:rowOff>
        </xdr:from>
        <xdr:to>
          <xdr:col>7</xdr:col>
          <xdr:colOff>0</xdr:colOff>
          <xdr:row>3288</xdr:row>
          <xdr:rowOff>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0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3294</xdr:row>
          <xdr:rowOff>0</xdr:rowOff>
        </xdr:from>
        <xdr:to>
          <xdr:col>7</xdr:col>
          <xdr:colOff>0</xdr:colOff>
          <xdr:row>3294</xdr:row>
          <xdr:rowOff>38100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0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3295</xdr:row>
          <xdr:rowOff>0</xdr:rowOff>
        </xdr:from>
        <xdr:to>
          <xdr:col>7</xdr:col>
          <xdr:colOff>0</xdr:colOff>
          <xdr:row>3295</xdr:row>
          <xdr:rowOff>161925</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0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3298</xdr:row>
          <xdr:rowOff>0</xdr:rowOff>
        </xdr:from>
        <xdr:to>
          <xdr:col>7</xdr:col>
          <xdr:colOff>0</xdr:colOff>
          <xdr:row>3299</xdr:row>
          <xdr:rowOff>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0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3305</xdr:row>
          <xdr:rowOff>0</xdr:rowOff>
        </xdr:from>
        <xdr:to>
          <xdr:col>7</xdr:col>
          <xdr:colOff>0</xdr:colOff>
          <xdr:row>3305</xdr:row>
          <xdr:rowOff>38100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0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3306</xdr:row>
          <xdr:rowOff>0</xdr:rowOff>
        </xdr:from>
        <xdr:to>
          <xdr:col>7</xdr:col>
          <xdr:colOff>0</xdr:colOff>
          <xdr:row>3306</xdr:row>
          <xdr:rowOff>161925</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0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3309</xdr:row>
          <xdr:rowOff>0</xdr:rowOff>
        </xdr:from>
        <xdr:to>
          <xdr:col>7</xdr:col>
          <xdr:colOff>0</xdr:colOff>
          <xdr:row>3310</xdr:row>
          <xdr:rowOff>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0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3316</xdr:row>
          <xdr:rowOff>0</xdr:rowOff>
        </xdr:from>
        <xdr:to>
          <xdr:col>7</xdr:col>
          <xdr:colOff>0</xdr:colOff>
          <xdr:row>3316</xdr:row>
          <xdr:rowOff>38100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0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3317</xdr:row>
          <xdr:rowOff>0</xdr:rowOff>
        </xdr:from>
        <xdr:to>
          <xdr:col>7</xdr:col>
          <xdr:colOff>0</xdr:colOff>
          <xdr:row>3317</xdr:row>
          <xdr:rowOff>161925</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0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3320</xdr:row>
          <xdr:rowOff>0</xdr:rowOff>
        </xdr:from>
        <xdr:to>
          <xdr:col>7</xdr:col>
          <xdr:colOff>0</xdr:colOff>
          <xdr:row>3321</xdr:row>
          <xdr:rowOff>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0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3327</xdr:row>
          <xdr:rowOff>0</xdr:rowOff>
        </xdr:from>
        <xdr:to>
          <xdr:col>7</xdr:col>
          <xdr:colOff>0</xdr:colOff>
          <xdr:row>3327</xdr:row>
          <xdr:rowOff>38100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0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3328</xdr:row>
          <xdr:rowOff>0</xdr:rowOff>
        </xdr:from>
        <xdr:to>
          <xdr:col>7</xdr:col>
          <xdr:colOff>0</xdr:colOff>
          <xdr:row>3328</xdr:row>
          <xdr:rowOff>161925</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0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3331</xdr:row>
          <xdr:rowOff>0</xdr:rowOff>
        </xdr:from>
        <xdr:to>
          <xdr:col>7</xdr:col>
          <xdr:colOff>0</xdr:colOff>
          <xdr:row>3332</xdr:row>
          <xdr:rowOff>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0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3338</xdr:row>
          <xdr:rowOff>0</xdr:rowOff>
        </xdr:from>
        <xdr:to>
          <xdr:col>7</xdr:col>
          <xdr:colOff>0</xdr:colOff>
          <xdr:row>3338</xdr:row>
          <xdr:rowOff>38100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0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3339</xdr:row>
          <xdr:rowOff>0</xdr:rowOff>
        </xdr:from>
        <xdr:to>
          <xdr:col>7</xdr:col>
          <xdr:colOff>0</xdr:colOff>
          <xdr:row>3339</xdr:row>
          <xdr:rowOff>161925</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0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3342</xdr:row>
          <xdr:rowOff>0</xdr:rowOff>
        </xdr:from>
        <xdr:to>
          <xdr:col>7</xdr:col>
          <xdr:colOff>0</xdr:colOff>
          <xdr:row>3343</xdr:row>
          <xdr:rowOff>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0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3349</xdr:row>
          <xdr:rowOff>0</xdr:rowOff>
        </xdr:from>
        <xdr:to>
          <xdr:col>7</xdr:col>
          <xdr:colOff>0</xdr:colOff>
          <xdr:row>3349</xdr:row>
          <xdr:rowOff>38100</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0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3350</xdr:row>
          <xdr:rowOff>0</xdr:rowOff>
        </xdr:from>
        <xdr:to>
          <xdr:col>7</xdr:col>
          <xdr:colOff>0</xdr:colOff>
          <xdr:row>3350</xdr:row>
          <xdr:rowOff>161925</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0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3353</xdr:row>
          <xdr:rowOff>0</xdr:rowOff>
        </xdr:from>
        <xdr:to>
          <xdr:col>7</xdr:col>
          <xdr:colOff>0</xdr:colOff>
          <xdr:row>3354</xdr:row>
          <xdr:rowOff>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0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3360</xdr:row>
          <xdr:rowOff>0</xdr:rowOff>
        </xdr:from>
        <xdr:to>
          <xdr:col>7</xdr:col>
          <xdr:colOff>0</xdr:colOff>
          <xdr:row>3360</xdr:row>
          <xdr:rowOff>38100</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0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3361</xdr:row>
          <xdr:rowOff>0</xdr:rowOff>
        </xdr:from>
        <xdr:to>
          <xdr:col>7</xdr:col>
          <xdr:colOff>0</xdr:colOff>
          <xdr:row>3361</xdr:row>
          <xdr:rowOff>161925</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0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3364</xdr:row>
          <xdr:rowOff>0</xdr:rowOff>
        </xdr:from>
        <xdr:to>
          <xdr:col>7</xdr:col>
          <xdr:colOff>0</xdr:colOff>
          <xdr:row>3365</xdr:row>
          <xdr:rowOff>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0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3371</xdr:row>
          <xdr:rowOff>0</xdr:rowOff>
        </xdr:from>
        <xdr:to>
          <xdr:col>7</xdr:col>
          <xdr:colOff>0</xdr:colOff>
          <xdr:row>3371</xdr:row>
          <xdr:rowOff>38100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0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3372</xdr:row>
          <xdr:rowOff>0</xdr:rowOff>
        </xdr:from>
        <xdr:to>
          <xdr:col>7</xdr:col>
          <xdr:colOff>0</xdr:colOff>
          <xdr:row>3372</xdr:row>
          <xdr:rowOff>161925</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0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3375</xdr:row>
          <xdr:rowOff>0</xdr:rowOff>
        </xdr:from>
        <xdr:to>
          <xdr:col>7</xdr:col>
          <xdr:colOff>0</xdr:colOff>
          <xdr:row>3376</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0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3382</xdr:row>
          <xdr:rowOff>0</xdr:rowOff>
        </xdr:from>
        <xdr:to>
          <xdr:col>7</xdr:col>
          <xdr:colOff>0</xdr:colOff>
          <xdr:row>3382</xdr:row>
          <xdr:rowOff>38100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0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3383</xdr:row>
          <xdr:rowOff>0</xdr:rowOff>
        </xdr:from>
        <xdr:to>
          <xdr:col>7</xdr:col>
          <xdr:colOff>0</xdr:colOff>
          <xdr:row>3383</xdr:row>
          <xdr:rowOff>161925</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0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3386</xdr:row>
          <xdr:rowOff>0</xdr:rowOff>
        </xdr:from>
        <xdr:to>
          <xdr:col>7</xdr:col>
          <xdr:colOff>0</xdr:colOff>
          <xdr:row>3387</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0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3393</xdr:row>
          <xdr:rowOff>0</xdr:rowOff>
        </xdr:from>
        <xdr:to>
          <xdr:col>7</xdr:col>
          <xdr:colOff>0</xdr:colOff>
          <xdr:row>3393</xdr:row>
          <xdr:rowOff>38100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0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3394</xdr:row>
          <xdr:rowOff>0</xdr:rowOff>
        </xdr:from>
        <xdr:to>
          <xdr:col>7</xdr:col>
          <xdr:colOff>0</xdr:colOff>
          <xdr:row>3394</xdr:row>
          <xdr:rowOff>161925</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0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3397</xdr:row>
          <xdr:rowOff>0</xdr:rowOff>
        </xdr:from>
        <xdr:to>
          <xdr:col>7</xdr:col>
          <xdr:colOff>0</xdr:colOff>
          <xdr:row>3398</xdr:row>
          <xdr:rowOff>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0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3404</xdr:row>
          <xdr:rowOff>0</xdr:rowOff>
        </xdr:from>
        <xdr:to>
          <xdr:col>7</xdr:col>
          <xdr:colOff>0</xdr:colOff>
          <xdr:row>3404</xdr:row>
          <xdr:rowOff>38100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0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3405</xdr:row>
          <xdr:rowOff>0</xdr:rowOff>
        </xdr:from>
        <xdr:to>
          <xdr:col>7</xdr:col>
          <xdr:colOff>0</xdr:colOff>
          <xdr:row>3405</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0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3406</xdr:row>
          <xdr:rowOff>0</xdr:rowOff>
        </xdr:from>
        <xdr:to>
          <xdr:col>7</xdr:col>
          <xdr:colOff>0</xdr:colOff>
          <xdr:row>3406</xdr:row>
          <xdr:rowOff>161925</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0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3409</xdr:row>
          <xdr:rowOff>0</xdr:rowOff>
        </xdr:from>
        <xdr:to>
          <xdr:col>7</xdr:col>
          <xdr:colOff>0</xdr:colOff>
          <xdr:row>3410</xdr:row>
          <xdr:rowOff>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0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3416</xdr:row>
          <xdr:rowOff>0</xdr:rowOff>
        </xdr:from>
        <xdr:to>
          <xdr:col>7</xdr:col>
          <xdr:colOff>0</xdr:colOff>
          <xdr:row>3416</xdr:row>
          <xdr:rowOff>38100</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0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3417</xdr:row>
          <xdr:rowOff>0</xdr:rowOff>
        </xdr:from>
        <xdr:to>
          <xdr:col>7</xdr:col>
          <xdr:colOff>0</xdr:colOff>
          <xdr:row>3417</xdr:row>
          <xdr:rowOff>161925</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0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3418</xdr:row>
          <xdr:rowOff>0</xdr:rowOff>
        </xdr:from>
        <xdr:to>
          <xdr:col>7</xdr:col>
          <xdr:colOff>0</xdr:colOff>
          <xdr:row>3418</xdr:row>
          <xdr:rowOff>161925</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0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3421</xdr:row>
          <xdr:rowOff>0</xdr:rowOff>
        </xdr:from>
        <xdr:to>
          <xdr:col>7</xdr:col>
          <xdr:colOff>0</xdr:colOff>
          <xdr:row>3422</xdr:row>
          <xdr:rowOff>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0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3428</xdr:row>
          <xdr:rowOff>0</xdr:rowOff>
        </xdr:from>
        <xdr:to>
          <xdr:col>7</xdr:col>
          <xdr:colOff>0</xdr:colOff>
          <xdr:row>3428</xdr:row>
          <xdr:rowOff>38100</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0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3429</xdr:row>
          <xdr:rowOff>0</xdr:rowOff>
        </xdr:from>
        <xdr:to>
          <xdr:col>7</xdr:col>
          <xdr:colOff>0</xdr:colOff>
          <xdr:row>3429</xdr:row>
          <xdr:rowOff>161925</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0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3430</xdr:row>
          <xdr:rowOff>0</xdr:rowOff>
        </xdr:from>
        <xdr:to>
          <xdr:col>7</xdr:col>
          <xdr:colOff>0</xdr:colOff>
          <xdr:row>3430</xdr:row>
          <xdr:rowOff>161925</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0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3433</xdr:row>
          <xdr:rowOff>0</xdr:rowOff>
        </xdr:from>
        <xdr:to>
          <xdr:col>7</xdr:col>
          <xdr:colOff>0</xdr:colOff>
          <xdr:row>3434</xdr:row>
          <xdr:rowOff>0</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0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3440</xdr:row>
          <xdr:rowOff>0</xdr:rowOff>
        </xdr:from>
        <xdr:to>
          <xdr:col>7</xdr:col>
          <xdr:colOff>0</xdr:colOff>
          <xdr:row>3440</xdr:row>
          <xdr:rowOff>38100</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0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3441</xdr:row>
          <xdr:rowOff>0</xdr:rowOff>
        </xdr:from>
        <xdr:to>
          <xdr:col>7</xdr:col>
          <xdr:colOff>0</xdr:colOff>
          <xdr:row>3441</xdr:row>
          <xdr:rowOff>161925</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0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3444</xdr:row>
          <xdr:rowOff>0</xdr:rowOff>
        </xdr:from>
        <xdr:to>
          <xdr:col>7</xdr:col>
          <xdr:colOff>0</xdr:colOff>
          <xdr:row>3445</xdr:row>
          <xdr:rowOff>0</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0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3451</xdr:row>
          <xdr:rowOff>0</xdr:rowOff>
        </xdr:from>
        <xdr:to>
          <xdr:col>7</xdr:col>
          <xdr:colOff>0</xdr:colOff>
          <xdr:row>3451</xdr:row>
          <xdr:rowOff>38100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0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3452</xdr:row>
          <xdr:rowOff>0</xdr:rowOff>
        </xdr:from>
        <xdr:to>
          <xdr:col>7</xdr:col>
          <xdr:colOff>0</xdr:colOff>
          <xdr:row>3452</xdr:row>
          <xdr:rowOff>161925</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0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3453</xdr:row>
          <xdr:rowOff>0</xdr:rowOff>
        </xdr:from>
        <xdr:to>
          <xdr:col>7</xdr:col>
          <xdr:colOff>0</xdr:colOff>
          <xdr:row>3453</xdr:row>
          <xdr:rowOff>161925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0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3456</xdr:row>
          <xdr:rowOff>0</xdr:rowOff>
        </xdr:from>
        <xdr:to>
          <xdr:col>7</xdr:col>
          <xdr:colOff>0</xdr:colOff>
          <xdr:row>3457</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0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3463</xdr:row>
          <xdr:rowOff>0</xdr:rowOff>
        </xdr:from>
        <xdr:to>
          <xdr:col>7</xdr:col>
          <xdr:colOff>0</xdr:colOff>
          <xdr:row>3463</xdr:row>
          <xdr:rowOff>38100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0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3464</xdr:row>
          <xdr:rowOff>0</xdr:rowOff>
        </xdr:from>
        <xdr:to>
          <xdr:col>7</xdr:col>
          <xdr:colOff>0</xdr:colOff>
          <xdr:row>3464</xdr:row>
          <xdr:rowOff>161925</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0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3465</xdr:row>
          <xdr:rowOff>0</xdr:rowOff>
        </xdr:from>
        <xdr:to>
          <xdr:col>7</xdr:col>
          <xdr:colOff>0</xdr:colOff>
          <xdr:row>3465</xdr:row>
          <xdr:rowOff>161925</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0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3468</xdr:row>
          <xdr:rowOff>0</xdr:rowOff>
        </xdr:from>
        <xdr:to>
          <xdr:col>7</xdr:col>
          <xdr:colOff>0</xdr:colOff>
          <xdr:row>3469</xdr:row>
          <xdr:rowOff>0</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0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3475</xdr:row>
          <xdr:rowOff>0</xdr:rowOff>
        </xdr:from>
        <xdr:to>
          <xdr:col>7</xdr:col>
          <xdr:colOff>0</xdr:colOff>
          <xdr:row>3475</xdr:row>
          <xdr:rowOff>38100</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0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3476</xdr:row>
          <xdr:rowOff>0</xdr:rowOff>
        </xdr:from>
        <xdr:to>
          <xdr:col>7</xdr:col>
          <xdr:colOff>0</xdr:colOff>
          <xdr:row>3476</xdr:row>
          <xdr:rowOff>161925</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0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3479</xdr:row>
          <xdr:rowOff>0</xdr:rowOff>
        </xdr:from>
        <xdr:to>
          <xdr:col>7</xdr:col>
          <xdr:colOff>0</xdr:colOff>
          <xdr:row>3480</xdr:row>
          <xdr:rowOff>0</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0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3486</xdr:row>
          <xdr:rowOff>0</xdr:rowOff>
        </xdr:from>
        <xdr:to>
          <xdr:col>7</xdr:col>
          <xdr:colOff>0</xdr:colOff>
          <xdr:row>3486</xdr:row>
          <xdr:rowOff>38100</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0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3487</xdr:row>
          <xdr:rowOff>0</xdr:rowOff>
        </xdr:from>
        <xdr:to>
          <xdr:col>7</xdr:col>
          <xdr:colOff>0</xdr:colOff>
          <xdr:row>3487</xdr:row>
          <xdr:rowOff>161925</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0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3490</xdr:row>
          <xdr:rowOff>0</xdr:rowOff>
        </xdr:from>
        <xdr:to>
          <xdr:col>7</xdr:col>
          <xdr:colOff>0</xdr:colOff>
          <xdr:row>3491</xdr:row>
          <xdr:rowOff>0</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0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3497</xdr:row>
          <xdr:rowOff>0</xdr:rowOff>
        </xdr:from>
        <xdr:to>
          <xdr:col>7</xdr:col>
          <xdr:colOff>0</xdr:colOff>
          <xdr:row>3497</xdr:row>
          <xdr:rowOff>38100</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0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3498</xdr:row>
          <xdr:rowOff>0</xdr:rowOff>
        </xdr:from>
        <xdr:to>
          <xdr:col>7</xdr:col>
          <xdr:colOff>0</xdr:colOff>
          <xdr:row>3498</xdr:row>
          <xdr:rowOff>161925</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0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3501</xdr:row>
          <xdr:rowOff>0</xdr:rowOff>
        </xdr:from>
        <xdr:to>
          <xdr:col>7</xdr:col>
          <xdr:colOff>0</xdr:colOff>
          <xdr:row>3502</xdr:row>
          <xdr:rowOff>0</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0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3508</xdr:row>
          <xdr:rowOff>0</xdr:rowOff>
        </xdr:from>
        <xdr:to>
          <xdr:col>7</xdr:col>
          <xdr:colOff>0</xdr:colOff>
          <xdr:row>3508</xdr:row>
          <xdr:rowOff>38100</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0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3509</xdr:row>
          <xdr:rowOff>0</xdr:rowOff>
        </xdr:from>
        <xdr:to>
          <xdr:col>7</xdr:col>
          <xdr:colOff>0</xdr:colOff>
          <xdr:row>3509</xdr:row>
          <xdr:rowOff>161925</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0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3512</xdr:row>
          <xdr:rowOff>0</xdr:rowOff>
        </xdr:from>
        <xdr:to>
          <xdr:col>7</xdr:col>
          <xdr:colOff>0</xdr:colOff>
          <xdr:row>3513</xdr:row>
          <xdr:rowOff>0</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0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3519</xdr:row>
          <xdr:rowOff>0</xdr:rowOff>
        </xdr:from>
        <xdr:to>
          <xdr:col>7</xdr:col>
          <xdr:colOff>0</xdr:colOff>
          <xdr:row>3519</xdr:row>
          <xdr:rowOff>38100</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0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3520</xdr:row>
          <xdr:rowOff>0</xdr:rowOff>
        </xdr:from>
        <xdr:to>
          <xdr:col>7</xdr:col>
          <xdr:colOff>0</xdr:colOff>
          <xdr:row>3520</xdr:row>
          <xdr:rowOff>161925</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0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3523</xdr:row>
          <xdr:rowOff>0</xdr:rowOff>
        </xdr:from>
        <xdr:to>
          <xdr:col>7</xdr:col>
          <xdr:colOff>0</xdr:colOff>
          <xdr:row>3524</xdr:row>
          <xdr:rowOff>0</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0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3530</xdr:row>
          <xdr:rowOff>0</xdr:rowOff>
        </xdr:from>
        <xdr:to>
          <xdr:col>7</xdr:col>
          <xdr:colOff>0</xdr:colOff>
          <xdr:row>3530</xdr:row>
          <xdr:rowOff>38100</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0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3531</xdr:row>
          <xdr:rowOff>0</xdr:rowOff>
        </xdr:from>
        <xdr:to>
          <xdr:col>7</xdr:col>
          <xdr:colOff>0</xdr:colOff>
          <xdr:row>3531</xdr:row>
          <xdr:rowOff>161925</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0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3532</xdr:row>
          <xdr:rowOff>0</xdr:rowOff>
        </xdr:from>
        <xdr:to>
          <xdr:col>7</xdr:col>
          <xdr:colOff>0</xdr:colOff>
          <xdr:row>3532</xdr:row>
          <xdr:rowOff>161925</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0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3535</xdr:row>
          <xdr:rowOff>0</xdr:rowOff>
        </xdr:from>
        <xdr:to>
          <xdr:col>7</xdr:col>
          <xdr:colOff>0</xdr:colOff>
          <xdr:row>3536</xdr:row>
          <xdr:rowOff>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0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3542</xdr:row>
          <xdr:rowOff>0</xdr:rowOff>
        </xdr:from>
        <xdr:to>
          <xdr:col>7</xdr:col>
          <xdr:colOff>0</xdr:colOff>
          <xdr:row>3542</xdr:row>
          <xdr:rowOff>38100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0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3543</xdr:row>
          <xdr:rowOff>0</xdr:rowOff>
        </xdr:from>
        <xdr:to>
          <xdr:col>7</xdr:col>
          <xdr:colOff>0</xdr:colOff>
          <xdr:row>3543</xdr:row>
          <xdr:rowOff>161925</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0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3546</xdr:row>
          <xdr:rowOff>0</xdr:rowOff>
        </xdr:from>
        <xdr:to>
          <xdr:col>7</xdr:col>
          <xdr:colOff>0</xdr:colOff>
          <xdr:row>3547</xdr:row>
          <xdr:rowOff>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0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3553</xdr:row>
          <xdr:rowOff>0</xdr:rowOff>
        </xdr:from>
        <xdr:to>
          <xdr:col>7</xdr:col>
          <xdr:colOff>0</xdr:colOff>
          <xdr:row>3553</xdr:row>
          <xdr:rowOff>38100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0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3554</xdr:row>
          <xdr:rowOff>0</xdr:rowOff>
        </xdr:from>
        <xdr:to>
          <xdr:col>7</xdr:col>
          <xdr:colOff>0</xdr:colOff>
          <xdr:row>3554</xdr:row>
          <xdr:rowOff>161925</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0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3557</xdr:row>
          <xdr:rowOff>0</xdr:rowOff>
        </xdr:from>
        <xdr:to>
          <xdr:col>7</xdr:col>
          <xdr:colOff>0</xdr:colOff>
          <xdr:row>3558</xdr:row>
          <xdr:rowOff>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0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3564</xdr:row>
          <xdr:rowOff>0</xdr:rowOff>
        </xdr:from>
        <xdr:to>
          <xdr:col>7</xdr:col>
          <xdr:colOff>0</xdr:colOff>
          <xdr:row>3564</xdr:row>
          <xdr:rowOff>38100</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0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3565</xdr:row>
          <xdr:rowOff>0</xdr:rowOff>
        </xdr:from>
        <xdr:to>
          <xdr:col>7</xdr:col>
          <xdr:colOff>0</xdr:colOff>
          <xdr:row>3565</xdr:row>
          <xdr:rowOff>161925</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0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3566</xdr:row>
          <xdr:rowOff>0</xdr:rowOff>
        </xdr:from>
        <xdr:to>
          <xdr:col>7</xdr:col>
          <xdr:colOff>0</xdr:colOff>
          <xdr:row>3566</xdr:row>
          <xdr:rowOff>161925</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0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3567</xdr:row>
          <xdr:rowOff>0</xdr:rowOff>
        </xdr:from>
        <xdr:to>
          <xdr:col>7</xdr:col>
          <xdr:colOff>0</xdr:colOff>
          <xdr:row>3567</xdr:row>
          <xdr:rowOff>161925</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0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3568</xdr:row>
          <xdr:rowOff>0</xdr:rowOff>
        </xdr:from>
        <xdr:to>
          <xdr:col>7</xdr:col>
          <xdr:colOff>0</xdr:colOff>
          <xdr:row>3568</xdr:row>
          <xdr:rowOff>161925</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0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3569</xdr:row>
          <xdr:rowOff>0</xdr:rowOff>
        </xdr:from>
        <xdr:to>
          <xdr:col>7</xdr:col>
          <xdr:colOff>0</xdr:colOff>
          <xdr:row>3569</xdr:row>
          <xdr:rowOff>161925</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0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3570</xdr:row>
          <xdr:rowOff>0</xdr:rowOff>
        </xdr:from>
        <xdr:to>
          <xdr:col>7</xdr:col>
          <xdr:colOff>0</xdr:colOff>
          <xdr:row>3570</xdr:row>
          <xdr:rowOff>161925</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0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3571</xdr:row>
          <xdr:rowOff>0</xdr:rowOff>
        </xdr:from>
        <xdr:to>
          <xdr:col>7</xdr:col>
          <xdr:colOff>0</xdr:colOff>
          <xdr:row>3571</xdr:row>
          <xdr:rowOff>161925</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0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3572</xdr:row>
          <xdr:rowOff>0</xdr:rowOff>
        </xdr:from>
        <xdr:to>
          <xdr:col>7</xdr:col>
          <xdr:colOff>0</xdr:colOff>
          <xdr:row>3572</xdr:row>
          <xdr:rowOff>161925</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0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3573</xdr:row>
          <xdr:rowOff>0</xdr:rowOff>
        </xdr:from>
        <xdr:to>
          <xdr:col>7</xdr:col>
          <xdr:colOff>0</xdr:colOff>
          <xdr:row>3573</xdr:row>
          <xdr:rowOff>161925</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0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3574</xdr:row>
          <xdr:rowOff>0</xdr:rowOff>
        </xdr:from>
        <xdr:to>
          <xdr:col>7</xdr:col>
          <xdr:colOff>0</xdr:colOff>
          <xdr:row>3574</xdr:row>
          <xdr:rowOff>161925</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0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3575</xdr:row>
          <xdr:rowOff>0</xdr:rowOff>
        </xdr:from>
        <xdr:to>
          <xdr:col>7</xdr:col>
          <xdr:colOff>0</xdr:colOff>
          <xdr:row>3575</xdr:row>
          <xdr:rowOff>161925</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0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3576</xdr:row>
          <xdr:rowOff>0</xdr:rowOff>
        </xdr:from>
        <xdr:to>
          <xdr:col>7</xdr:col>
          <xdr:colOff>0</xdr:colOff>
          <xdr:row>3576</xdr:row>
          <xdr:rowOff>161925</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0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3577</xdr:row>
          <xdr:rowOff>0</xdr:rowOff>
        </xdr:from>
        <xdr:to>
          <xdr:col>7</xdr:col>
          <xdr:colOff>0</xdr:colOff>
          <xdr:row>3577</xdr:row>
          <xdr:rowOff>161925</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0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3578</xdr:row>
          <xdr:rowOff>0</xdr:rowOff>
        </xdr:from>
        <xdr:to>
          <xdr:col>7</xdr:col>
          <xdr:colOff>0</xdr:colOff>
          <xdr:row>3578</xdr:row>
          <xdr:rowOff>161925</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0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3579</xdr:row>
          <xdr:rowOff>0</xdr:rowOff>
        </xdr:from>
        <xdr:to>
          <xdr:col>7</xdr:col>
          <xdr:colOff>0</xdr:colOff>
          <xdr:row>3579</xdr:row>
          <xdr:rowOff>161925</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0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3580</xdr:row>
          <xdr:rowOff>0</xdr:rowOff>
        </xdr:from>
        <xdr:to>
          <xdr:col>7</xdr:col>
          <xdr:colOff>0</xdr:colOff>
          <xdr:row>3580</xdr:row>
          <xdr:rowOff>161925</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0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3581</xdr:row>
          <xdr:rowOff>0</xdr:rowOff>
        </xdr:from>
        <xdr:to>
          <xdr:col>7</xdr:col>
          <xdr:colOff>0</xdr:colOff>
          <xdr:row>3581</xdr:row>
          <xdr:rowOff>161925</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0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3582</xdr:row>
          <xdr:rowOff>0</xdr:rowOff>
        </xdr:from>
        <xdr:to>
          <xdr:col>7</xdr:col>
          <xdr:colOff>0</xdr:colOff>
          <xdr:row>3582</xdr:row>
          <xdr:rowOff>161925</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0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3583</xdr:row>
          <xdr:rowOff>0</xdr:rowOff>
        </xdr:from>
        <xdr:to>
          <xdr:col>7</xdr:col>
          <xdr:colOff>0</xdr:colOff>
          <xdr:row>3583</xdr:row>
          <xdr:rowOff>161925</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0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3584</xdr:row>
          <xdr:rowOff>0</xdr:rowOff>
        </xdr:from>
        <xdr:to>
          <xdr:col>7</xdr:col>
          <xdr:colOff>0</xdr:colOff>
          <xdr:row>3584</xdr:row>
          <xdr:rowOff>161925</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0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3585</xdr:row>
          <xdr:rowOff>0</xdr:rowOff>
        </xdr:from>
        <xdr:to>
          <xdr:col>7</xdr:col>
          <xdr:colOff>0</xdr:colOff>
          <xdr:row>3585</xdr:row>
          <xdr:rowOff>161925</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0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3586</xdr:row>
          <xdr:rowOff>0</xdr:rowOff>
        </xdr:from>
        <xdr:to>
          <xdr:col>7</xdr:col>
          <xdr:colOff>0</xdr:colOff>
          <xdr:row>3586</xdr:row>
          <xdr:rowOff>161925</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0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3587</xdr:row>
          <xdr:rowOff>0</xdr:rowOff>
        </xdr:from>
        <xdr:to>
          <xdr:col>7</xdr:col>
          <xdr:colOff>0</xdr:colOff>
          <xdr:row>3587</xdr:row>
          <xdr:rowOff>161925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0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3588</xdr:row>
          <xdr:rowOff>0</xdr:rowOff>
        </xdr:from>
        <xdr:to>
          <xdr:col>7</xdr:col>
          <xdr:colOff>0</xdr:colOff>
          <xdr:row>3588</xdr:row>
          <xdr:rowOff>161925</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0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3589</xdr:row>
          <xdr:rowOff>0</xdr:rowOff>
        </xdr:from>
        <xdr:to>
          <xdr:col>7</xdr:col>
          <xdr:colOff>0</xdr:colOff>
          <xdr:row>3589</xdr:row>
          <xdr:rowOff>161925</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0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3590</xdr:row>
          <xdr:rowOff>0</xdr:rowOff>
        </xdr:from>
        <xdr:to>
          <xdr:col>7</xdr:col>
          <xdr:colOff>0</xdr:colOff>
          <xdr:row>3590</xdr:row>
          <xdr:rowOff>161925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0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3591</xdr:row>
          <xdr:rowOff>0</xdr:rowOff>
        </xdr:from>
        <xdr:to>
          <xdr:col>7</xdr:col>
          <xdr:colOff>0</xdr:colOff>
          <xdr:row>3591</xdr:row>
          <xdr:rowOff>161925</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0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3592</xdr:row>
          <xdr:rowOff>0</xdr:rowOff>
        </xdr:from>
        <xdr:to>
          <xdr:col>7</xdr:col>
          <xdr:colOff>0</xdr:colOff>
          <xdr:row>3592</xdr:row>
          <xdr:rowOff>161925</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0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3593</xdr:row>
          <xdr:rowOff>0</xdr:rowOff>
        </xdr:from>
        <xdr:to>
          <xdr:col>7</xdr:col>
          <xdr:colOff>0</xdr:colOff>
          <xdr:row>3593</xdr:row>
          <xdr:rowOff>161925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0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3594</xdr:row>
          <xdr:rowOff>0</xdr:rowOff>
        </xdr:from>
        <xdr:to>
          <xdr:col>7</xdr:col>
          <xdr:colOff>0</xdr:colOff>
          <xdr:row>3594</xdr:row>
          <xdr:rowOff>161925</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0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3595</xdr:row>
          <xdr:rowOff>0</xdr:rowOff>
        </xdr:from>
        <xdr:to>
          <xdr:col>7</xdr:col>
          <xdr:colOff>0</xdr:colOff>
          <xdr:row>3595</xdr:row>
          <xdr:rowOff>161925</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0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3596</xdr:row>
          <xdr:rowOff>0</xdr:rowOff>
        </xdr:from>
        <xdr:to>
          <xdr:col>7</xdr:col>
          <xdr:colOff>0</xdr:colOff>
          <xdr:row>3596</xdr:row>
          <xdr:rowOff>161925</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0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3597</xdr:row>
          <xdr:rowOff>0</xdr:rowOff>
        </xdr:from>
        <xdr:to>
          <xdr:col>7</xdr:col>
          <xdr:colOff>0</xdr:colOff>
          <xdr:row>3597</xdr:row>
          <xdr:rowOff>161925</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0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3598</xdr:row>
          <xdr:rowOff>0</xdr:rowOff>
        </xdr:from>
        <xdr:to>
          <xdr:col>7</xdr:col>
          <xdr:colOff>0</xdr:colOff>
          <xdr:row>3598</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0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3599</xdr:row>
          <xdr:rowOff>0</xdr:rowOff>
        </xdr:from>
        <xdr:to>
          <xdr:col>7</xdr:col>
          <xdr:colOff>0</xdr:colOff>
          <xdr:row>3599</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0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3600</xdr:row>
          <xdr:rowOff>0</xdr:rowOff>
        </xdr:from>
        <xdr:to>
          <xdr:col>7</xdr:col>
          <xdr:colOff>0</xdr:colOff>
          <xdr:row>3600</xdr:row>
          <xdr:rowOff>161925</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0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3601</xdr:row>
          <xdr:rowOff>0</xdr:rowOff>
        </xdr:from>
        <xdr:to>
          <xdr:col>7</xdr:col>
          <xdr:colOff>0</xdr:colOff>
          <xdr:row>3601</xdr:row>
          <xdr:rowOff>161925</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0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3602</xdr:row>
          <xdr:rowOff>0</xdr:rowOff>
        </xdr:from>
        <xdr:to>
          <xdr:col>7</xdr:col>
          <xdr:colOff>0</xdr:colOff>
          <xdr:row>3602</xdr:row>
          <xdr:rowOff>161925</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0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3603</xdr:row>
          <xdr:rowOff>0</xdr:rowOff>
        </xdr:from>
        <xdr:to>
          <xdr:col>7</xdr:col>
          <xdr:colOff>0</xdr:colOff>
          <xdr:row>3603</xdr:row>
          <xdr:rowOff>161925</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0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3604</xdr:row>
          <xdr:rowOff>0</xdr:rowOff>
        </xdr:from>
        <xdr:to>
          <xdr:col>7</xdr:col>
          <xdr:colOff>0</xdr:colOff>
          <xdr:row>3604</xdr:row>
          <xdr:rowOff>161925</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0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3605</xdr:row>
          <xdr:rowOff>0</xdr:rowOff>
        </xdr:from>
        <xdr:to>
          <xdr:col>7</xdr:col>
          <xdr:colOff>0</xdr:colOff>
          <xdr:row>3605</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0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3606</xdr:row>
          <xdr:rowOff>0</xdr:rowOff>
        </xdr:from>
        <xdr:to>
          <xdr:col>7</xdr:col>
          <xdr:colOff>0</xdr:colOff>
          <xdr:row>3606</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0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3607</xdr:row>
          <xdr:rowOff>0</xdr:rowOff>
        </xdr:from>
        <xdr:to>
          <xdr:col>7</xdr:col>
          <xdr:colOff>0</xdr:colOff>
          <xdr:row>3607</xdr:row>
          <xdr:rowOff>161925</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0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3608</xdr:row>
          <xdr:rowOff>0</xdr:rowOff>
        </xdr:from>
        <xdr:to>
          <xdr:col>7</xdr:col>
          <xdr:colOff>0</xdr:colOff>
          <xdr:row>3608</xdr:row>
          <xdr:rowOff>161925</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0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3609</xdr:row>
          <xdr:rowOff>0</xdr:rowOff>
        </xdr:from>
        <xdr:to>
          <xdr:col>7</xdr:col>
          <xdr:colOff>0</xdr:colOff>
          <xdr:row>3609</xdr:row>
          <xdr:rowOff>161925</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0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3610</xdr:row>
          <xdr:rowOff>0</xdr:rowOff>
        </xdr:from>
        <xdr:to>
          <xdr:col>7</xdr:col>
          <xdr:colOff>0</xdr:colOff>
          <xdr:row>3610</xdr:row>
          <xdr:rowOff>161925</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0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3611</xdr:row>
          <xdr:rowOff>0</xdr:rowOff>
        </xdr:from>
        <xdr:to>
          <xdr:col>7</xdr:col>
          <xdr:colOff>0</xdr:colOff>
          <xdr:row>3611</xdr:row>
          <xdr:rowOff>161925</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0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3612</xdr:row>
          <xdr:rowOff>0</xdr:rowOff>
        </xdr:from>
        <xdr:to>
          <xdr:col>7</xdr:col>
          <xdr:colOff>0</xdr:colOff>
          <xdr:row>3612</xdr:row>
          <xdr:rowOff>161925</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0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3613</xdr:row>
          <xdr:rowOff>0</xdr:rowOff>
        </xdr:from>
        <xdr:to>
          <xdr:col>7</xdr:col>
          <xdr:colOff>0</xdr:colOff>
          <xdr:row>3613</xdr:row>
          <xdr:rowOff>161925</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0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3614</xdr:row>
          <xdr:rowOff>0</xdr:rowOff>
        </xdr:from>
        <xdr:to>
          <xdr:col>7</xdr:col>
          <xdr:colOff>0</xdr:colOff>
          <xdr:row>3614</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0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3615</xdr:row>
          <xdr:rowOff>0</xdr:rowOff>
        </xdr:from>
        <xdr:to>
          <xdr:col>7</xdr:col>
          <xdr:colOff>0</xdr:colOff>
          <xdr:row>3615</xdr:row>
          <xdr:rowOff>161925</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0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3616</xdr:row>
          <xdr:rowOff>0</xdr:rowOff>
        </xdr:from>
        <xdr:to>
          <xdr:col>7</xdr:col>
          <xdr:colOff>0</xdr:colOff>
          <xdr:row>3616</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0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3617</xdr:row>
          <xdr:rowOff>0</xdr:rowOff>
        </xdr:from>
        <xdr:to>
          <xdr:col>7</xdr:col>
          <xdr:colOff>0</xdr:colOff>
          <xdr:row>3617</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0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3618</xdr:row>
          <xdr:rowOff>0</xdr:rowOff>
        </xdr:from>
        <xdr:to>
          <xdr:col>7</xdr:col>
          <xdr:colOff>0</xdr:colOff>
          <xdr:row>3618</xdr:row>
          <xdr:rowOff>161925</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0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3619</xdr:row>
          <xdr:rowOff>0</xdr:rowOff>
        </xdr:from>
        <xdr:to>
          <xdr:col>7</xdr:col>
          <xdr:colOff>0</xdr:colOff>
          <xdr:row>3619</xdr:row>
          <xdr:rowOff>161925</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0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3620</xdr:row>
          <xdr:rowOff>0</xdr:rowOff>
        </xdr:from>
        <xdr:to>
          <xdr:col>7</xdr:col>
          <xdr:colOff>0</xdr:colOff>
          <xdr:row>3620</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0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3621</xdr:row>
          <xdr:rowOff>0</xdr:rowOff>
        </xdr:from>
        <xdr:to>
          <xdr:col>7</xdr:col>
          <xdr:colOff>0</xdr:colOff>
          <xdr:row>3621</xdr:row>
          <xdr:rowOff>161925</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0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3622</xdr:row>
          <xdr:rowOff>0</xdr:rowOff>
        </xdr:from>
        <xdr:to>
          <xdr:col>7</xdr:col>
          <xdr:colOff>0</xdr:colOff>
          <xdr:row>3622</xdr:row>
          <xdr:rowOff>161925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0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3623</xdr:row>
          <xdr:rowOff>0</xdr:rowOff>
        </xdr:from>
        <xdr:to>
          <xdr:col>7</xdr:col>
          <xdr:colOff>0</xdr:colOff>
          <xdr:row>3623</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0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3624</xdr:row>
          <xdr:rowOff>0</xdr:rowOff>
        </xdr:from>
        <xdr:to>
          <xdr:col>7</xdr:col>
          <xdr:colOff>0</xdr:colOff>
          <xdr:row>3624</xdr:row>
          <xdr:rowOff>161925</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0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3625</xdr:row>
          <xdr:rowOff>0</xdr:rowOff>
        </xdr:from>
        <xdr:to>
          <xdr:col>7</xdr:col>
          <xdr:colOff>0</xdr:colOff>
          <xdr:row>3625</xdr:row>
          <xdr:rowOff>161925</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0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3626</xdr:row>
          <xdr:rowOff>0</xdr:rowOff>
        </xdr:from>
        <xdr:to>
          <xdr:col>7</xdr:col>
          <xdr:colOff>0</xdr:colOff>
          <xdr:row>3626</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0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3627</xdr:row>
          <xdr:rowOff>0</xdr:rowOff>
        </xdr:from>
        <xdr:to>
          <xdr:col>7</xdr:col>
          <xdr:colOff>0</xdr:colOff>
          <xdr:row>3627</xdr:row>
          <xdr:rowOff>161925</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0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3628</xdr:row>
          <xdr:rowOff>0</xdr:rowOff>
        </xdr:from>
        <xdr:to>
          <xdr:col>7</xdr:col>
          <xdr:colOff>0</xdr:colOff>
          <xdr:row>3628</xdr:row>
          <xdr:rowOff>161925</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0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3629</xdr:row>
          <xdr:rowOff>0</xdr:rowOff>
        </xdr:from>
        <xdr:to>
          <xdr:col>7</xdr:col>
          <xdr:colOff>0</xdr:colOff>
          <xdr:row>3629</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0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3630</xdr:row>
          <xdr:rowOff>0</xdr:rowOff>
        </xdr:from>
        <xdr:to>
          <xdr:col>7</xdr:col>
          <xdr:colOff>0</xdr:colOff>
          <xdr:row>3630</xdr:row>
          <xdr:rowOff>161925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0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3631</xdr:row>
          <xdr:rowOff>0</xdr:rowOff>
        </xdr:from>
        <xdr:to>
          <xdr:col>7</xdr:col>
          <xdr:colOff>0</xdr:colOff>
          <xdr:row>3631</xdr:row>
          <xdr:rowOff>161925</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0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3632</xdr:row>
          <xdr:rowOff>0</xdr:rowOff>
        </xdr:from>
        <xdr:to>
          <xdr:col>7</xdr:col>
          <xdr:colOff>0</xdr:colOff>
          <xdr:row>3632</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0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3633</xdr:row>
          <xdr:rowOff>0</xdr:rowOff>
        </xdr:from>
        <xdr:to>
          <xdr:col>7</xdr:col>
          <xdr:colOff>0</xdr:colOff>
          <xdr:row>3633</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0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3634</xdr:row>
          <xdr:rowOff>0</xdr:rowOff>
        </xdr:from>
        <xdr:to>
          <xdr:col>7</xdr:col>
          <xdr:colOff>0</xdr:colOff>
          <xdr:row>3634</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0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3635</xdr:row>
          <xdr:rowOff>0</xdr:rowOff>
        </xdr:from>
        <xdr:to>
          <xdr:col>7</xdr:col>
          <xdr:colOff>0</xdr:colOff>
          <xdr:row>3635</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0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3636</xdr:row>
          <xdr:rowOff>0</xdr:rowOff>
        </xdr:from>
        <xdr:to>
          <xdr:col>7</xdr:col>
          <xdr:colOff>0</xdr:colOff>
          <xdr:row>3636</xdr:row>
          <xdr:rowOff>161925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0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3637</xdr:row>
          <xdr:rowOff>0</xdr:rowOff>
        </xdr:from>
        <xdr:to>
          <xdr:col>7</xdr:col>
          <xdr:colOff>0</xdr:colOff>
          <xdr:row>3637</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0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3638</xdr:row>
          <xdr:rowOff>0</xdr:rowOff>
        </xdr:from>
        <xdr:to>
          <xdr:col>7</xdr:col>
          <xdr:colOff>0</xdr:colOff>
          <xdr:row>3638</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0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3639</xdr:row>
          <xdr:rowOff>0</xdr:rowOff>
        </xdr:from>
        <xdr:to>
          <xdr:col>7</xdr:col>
          <xdr:colOff>0</xdr:colOff>
          <xdr:row>3639</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0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3640</xdr:row>
          <xdr:rowOff>0</xdr:rowOff>
        </xdr:from>
        <xdr:to>
          <xdr:col>7</xdr:col>
          <xdr:colOff>0</xdr:colOff>
          <xdr:row>3640</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0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3641</xdr:row>
          <xdr:rowOff>0</xdr:rowOff>
        </xdr:from>
        <xdr:to>
          <xdr:col>7</xdr:col>
          <xdr:colOff>0</xdr:colOff>
          <xdr:row>3641</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0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3642</xdr:row>
          <xdr:rowOff>0</xdr:rowOff>
        </xdr:from>
        <xdr:to>
          <xdr:col>7</xdr:col>
          <xdr:colOff>0</xdr:colOff>
          <xdr:row>3642</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0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3643</xdr:row>
          <xdr:rowOff>0</xdr:rowOff>
        </xdr:from>
        <xdr:to>
          <xdr:col>7</xdr:col>
          <xdr:colOff>0</xdr:colOff>
          <xdr:row>3643</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0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3644</xdr:row>
          <xdr:rowOff>0</xdr:rowOff>
        </xdr:from>
        <xdr:to>
          <xdr:col>7</xdr:col>
          <xdr:colOff>0</xdr:colOff>
          <xdr:row>3644</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0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3645</xdr:row>
          <xdr:rowOff>0</xdr:rowOff>
        </xdr:from>
        <xdr:to>
          <xdr:col>7</xdr:col>
          <xdr:colOff>0</xdr:colOff>
          <xdr:row>3645</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0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3646</xdr:row>
          <xdr:rowOff>0</xdr:rowOff>
        </xdr:from>
        <xdr:to>
          <xdr:col>7</xdr:col>
          <xdr:colOff>0</xdr:colOff>
          <xdr:row>3646</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0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3647</xdr:row>
          <xdr:rowOff>0</xdr:rowOff>
        </xdr:from>
        <xdr:to>
          <xdr:col>7</xdr:col>
          <xdr:colOff>0</xdr:colOff>
          <xdr:row>3647</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0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3648</xdr:row>
          <xdr:rowOff>0</xdr:rowOff>
        </xdr:from>
        <xdr:to>
          <xdr:col>7</xdr:col>
          <xdr:colOff>0</xdr:colOff>
          <xdr:row>3648</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0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3649</xdr:row>
          <xdr:rowOff>0</xdr:rowOff>
        </xdr:from>
        <xdr:to>
          <xdr:col>7</xdr:col>
          <xdr:colOff>0</xdr:colOff>
          <xdr:row>3649</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0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3650</xdr:row>
          <xdr:rowOff>0</xdr:rowOff>
        </xdr:from>
        <xdr:to>
          <xdr:col>7</xdr:col>
          <xdr:colOff>0</xdr:colOff>
          <xdr:row>3650</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0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3651</xdr:row>
          <xdr:rowOff>0</xdr:rowOff>
        </xdr:from>
        <xdr:to>
          <xdr:col>7</xdr:col>
          <xdr:colOff>0</xdr:colOff>
          <xdr:row>3651</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0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3652</xdr:row>
          <xdr:rowOff>0</xdr:rowOff>
        </xdr:from>
        <xdr:to>
          <xdr:col>7</xdr:col>
          <xdr:colOff>0</xdr:colOff>
          <xdr:row>3652</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0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3653</xdr:row>
          <xdr:rowOff>0</xdr:rowOff>
        </xdr:from>
        <xdr:to>
          <xdr:col>7</xdr:col>
          <xdr:colOff>0</xdr:colOff>
          <xdr:row>3653</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0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3654</xdr:row>
          <xdr:rowOff>0</xdr:rowOff>
        </xdr:from>
        <xdr:to>
          <xdr:col>7</xdr:col>
          <xdr:colOff>0</xdr:colOff>
          <xdr:row>3654</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0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3655</xdr:row>
          <xdr:rowOff>0</xdr:rowOff>
        </xdr:from>
        <xdr:to>
          <xdr:col>7</xdr:col>
          <xdr:colOff>0</xdr:colOff>
          <xdr:row>3655</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0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3656</xdr:row>
          <xdr:rowOff>0</xdr:rowOff>
        </xdr:from>
        <xdr:to>
          <xdr:col>7</xdr:col>
          <xdr:colOff>0</xdr:colOff>
          <xdr:row>3656</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0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3657</xdr:row>
          <xdr:rowOff>0</xdr:rowOff>
        </xdr:from>
        <xdr:to>
          <xdr:col>7</xdr:col>
          <xdr:colOff>0</xdr:colOff>
          <xdr:row>3657</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0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3658</xdr:row>
          <xdr:rowOff>0</xdr:rowOff>
        </xdr:from>
        <xdr:to>
          <xdr:col>7</xdr:col>
          <xdr:colOff>0</xdr:colOff>
          <xdr:row>3658</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0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3659</xdr:row>
          <xdr:rowOff>0</xdr:rowOff>
        </xdr:from>
        <xdr:to>
          <xdr:col>7</xdr:col>
          <xdr:colOff>0</xdr:colOff>
          <xdr:row>3659</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0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3660</xdr:row>
          <xdr:rowOff>0</xdr:rowOff>
        </xdr:from>
        <xdr:to>
          <xdr:col>7</xdr:col>
          <xdr:colOff>0</xdr:colOff>
          <xdr:row>3660</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0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3661</xdr:row>
          <xdr:rowOff>0</xdr:rowOff>
        </xdr:from>
        <xdr:to>
          <xdr:col>7</xdr:col>
          <xdr:colOff>0</xdr:colOff>
          <xdr:row>3661</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0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3662</xdr:row>
          <xdr:rowOff>0</xdr:rowOff>
        </xdr:from>
        <xdr:to>
          <xdr:col>7</xdr:col>
          <xdr:colOff>0</xdr:colOff>
          <xdr:row>3662</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0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3663</xdr:row>
          <xdr:rowOff>0</xdr:rowOff>
        </xdr:from>
        <xdr:to>
          <xdr:col>7</xdr:col>
          <xdr:colOff>0</xdr:colOff>
          <xdr:row>3663</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0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3664</xdr:row>
          <xdr:rowOff>0</xdr:rowOff>
        </xdr:from>
        <xdr:to>
          <xdr:col>7</xdr:col>
          <xdr:colOff>0</xdr:colOff>
          <xdr:row>3664</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0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3665</xdr:row>
          <xdr:rowOff>0</xdr:rowOff>
        </xdr:from>
        <xdr:to>
          <xdr:col>7</xdr:col>
          <xdr:colOff>0</xdr:colOff>
          <xdr:row>3665</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0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3666</xdr:row>
          <xdr:rowOff>0</xdr:rowOff>
        </xdr:from>
        <xdr:to>
          <xdr:col>7</xdr:col>
          <xdr:colOff>0</xdr:colOff>
          <xdr:row>3666</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0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3667</xdr:row>
          <xdr:rowOff>0</xdr:rowOff>
        </xdr:from>
        <xdr:to>
          <xdr:col>7</xdr:col>
          <xdr:colOff>0</xdr:colOff>
          <xdr:row>3667</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0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3668</xdr:row>
          <xdr:rowOff>0</xdr:rowOff>
        </xdr:from>
        <xdr:to>
          <xdr:col>7</xdr:col>
          <xdr:colOff>0</xdr:colOff>
          <xdr:row>3668</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0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3669</xdr:row>
          <xdr:rowOff>0</xdr:rowOff>
        </xdr:from>
        <xdr:to>
          <xdr:col>7</xdr:col>
          <xdr:colOff>0</xdr:colOff>
          <xdr:row>3669</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0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3670</xdr:row>
          <xdr:rowOff>0</xdr:rowOff>
        </xdr:from>
        <xdr:to>
          <xdr:col>7</xdr:col>
          <xdr:colOff>0</xdr:colOff>
          <xdr:row>3670</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0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3671</xdr:row>
          <xdr:rowOff>0</xdr:rowOff>
        </xdr:from>
        <xdr:to>
          <xdr:col>7</xdr:col>
          <xdr:colOff>0</xdr:colOff>
          <xdr:row>3671</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0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3672</xdr:row>
          <xdr:rowOff>0</xdr:rowOff>
        </xdr:from>
        <xdr:to>
          <xdr:col>7</xdr:col>
          <xdr:colOff>0</xdr:colOff>
          <xdr:row>3672</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0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3673</xdr:row>
          <xdr:rowOff>0</xdr:rowOff>
        </xdr:from>
        <xdr:to>
          <xdr:col>7</xdr:col>
          <xdr:colOff>0</xdr:colOff>
          <xdr:row>3673</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0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3674</xdr:row>
          <xdr:rowOff>0</xdr:rowOff>
        </xdr:from>
        <xdr:to>
          <xdr:col>7</xdr:col>
          <xdr:colOff>0</xdr:colOff>
          <xdr:row>3674</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0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3675</xdr:row>
          <xdr:rowOff>0</xdr:rowOff>
        </xdr:from>
        <xdr:to>
          <xdr:col>7</xdr:col>
          <xdr:colOff>0</xdr:colOff>
          <xdr:row>3675</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0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3676</xdr:row>
          <xdr:rowOff>0</xdr:rowOff>
        </xdr:from>
        <xdr:to>
          <xdr:col>7</xdr:col>
          <xdr:colOff>0</xdr:colOff>
          <xdr:row>3676</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0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3677</xdr:row>
          <xdr:rowOff>0</xdr:rowOff>
        </xdr:from>
        <xdr:to>
          <xdr:col>7</xdr:col>
          <xdr:colOff>0</xdr:colOff>
          <xdr:row>3677</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0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3678</xdr:row>
          <xdr:rowOff>0</xdr:rowOff>
        </xdr:from>
        <xdr:to>
          <xdr:col>7</xdr:col>
          <xdr:colOff>0</xdr:colOff>
          <xdr:row>3678</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0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3679</xdr:row>
          <xdr:rowOff>0</xdr:rowOff>
        </xdr:from>
        <xdr:to>
          <xdr:col>7</xdr:col>
          <xdr:colOff>0</xdr:colOff>
          <xdr:row>3679</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0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3680</xdr:row>
          <xdr:rowOff>0</xdr:rowOff>
        </xdr:from>
        <xdr:to>
          <xdr:col>7</xdr:col>
          <xdr:colOff>0</xdr:colOff>
          <xdr:row>3680</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0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3683</xdr:row>
          <xdr:rowOff>0</xdr:rowOff>
        </xdr:from>
        <xdr:to>
          <xdr:col>7</xdr:col>
          <xdr:colOff>0</xdr:colOff>
          <xdr:row>3684</xdr:row>
          <xdr:rowOff>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0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3690</xdr:row>
          <xdr:rowOff>0</xdr:rowOff>
        </xdr:from>
        <xdr:to>
          <xdr:col>7</xdr:col>
          <xdr:colOff>0</xdr:colOff>
          <xdr:row>3690</xdr:row>
          <xdr:rowOff>38100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0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3691</xdr:row>
          <xdr:rowOff>0</xdr:rowOff>
        </xdr:from>
        <xdr:to>
          <xdr:col>7</xdr:col>
          <xdr:colOff>0</xdr:colOff>
          <xdr:row>3691</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0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3692</xdr:row>
          <xdr:rowOff>0</xdr:rowOff>
        </xdr:from>
        <xdr:to>
          <xdr:col>7</xdr:col>
          <xdr:colOff>0</xdr:colOff>
          <xdr:row>3692</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0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3695</xdr:row>
          <xdr:rowOff>0</xdr:rowOff>
        </xdr:from>
        <xdr:to>
          <xdr:col>7</xdr:col>
          <xdr:colOff>0</xdr:colOff>
          <xdr:row>3696</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0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3702</xdr:row>
          <xdr:rowOff>0</xdr:rowOff>
        </xdr:from>
        <xdr:to>
          <xdr:col>7</xdr:col>
          <xdr:colOff>0</xdr:colOff>
          <xdr:row>3702</xdr:row>
          <xdr:rowOff>38100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0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3703</xdr:row>
          <xdr:rowOff>0</xdr:rowOff>
        </xdr:from>
        <xdr:to>
          <xdr:col>7</xdr:col>
          <xdr:colOff>0</xdr:colOff>
          <xdr:row>3703</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0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3704</xdr:row>
          <xdr:rowOff>0</xdr:rowOff>
        </xdr:from>
        <xdr:to>
          <xdr:col>7</xdr:col>
          <xdr:colOff>0</xdr:colOff>
          <xdr:row>3704</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0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3705</xdr:row>
          <xdr:rowOff>0</xdr:rowOff>
        </xdr:from>
        <xdr:to>
          <xdr:col>7</xdr:col>
          <xdr:colOff>0</xdr:colOff>
          <xdr:row>3705</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0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3706</xdr:row>
          <xdr:rowOff>0</xdr:rowOff>
        </xdr:from>
        <xdr:to>
          <xdr:col>7</xdr:col>
          <xdr:colOff>0</xdr:colOff>
          <xdr:row>3706</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0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3709</xdr:row>
          <xdr:rowOff>0</xdr:rowOff>
        </xdr:from>
        <xdr:to>
          <xdr:col>7</xdr:col>
          <xdr:colOff>0</xdr:colOff>
          <xdr:row>3710</xdr:row>
          <xdr:rowOff>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0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3716</xdr:row>
          <xdr:rowOff>0</xdr:rowOff>
        </xdr:from>
        <xdr:to>
          <xdr:col>7</xdr:col>
          <xdr:colOff>0</xdr:colOff>
          <xdr:row>3716</xdr:row>
          <xdr:rowOff>38100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0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3717</xdr:row>
          <xdr:rowOff>0</xdr:rowOff>
        </xdr:from>
        <xdr:to>
          <xdr:col>7</xdr:col>
          <xdr:colOff>0</xdr:colOff>
          <xdr:row>3717</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0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3718</xdr:row>
          <xdr:rowOff>0</xdr:rowOff>
        </xdr:from>
        <xdr:to>
          <xdr:col>7</xdr:col>
          <xdr:colOff>0</xdr:colOff>
          <xdr:row>3718</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0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3719</xdr:row>
          <xdr:rowOff>0</xdr:rowOff>
        </xdr:from>
        <xdr:to>
          <xdr:col>7</xdr:col>
          <xdr:colOff>0</xdr:colOff>
          <xdr:row>3719</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0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3720</xdr:row>
          <xdr:rowOff>0</xdr:rowOff>
        </xdr:from>
        <xdr:to>
          <xdr:col>7</xdr:col>
          <xdr:colOff>0</xdr:colOff>
          <xdr:row>3720</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0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3721</xdr:row>
          <xdr:rowOff>0</xdr:rowOff>
        </xdr:from>
        <xdr:to>
          <xdr:col>7</xdr:col>
          <xdr:colOff>0</xdr:colOff>
          <xdr:row>3721</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0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3722</xdr:row>
          <xdr:rowOff>0</xdr:rowOff>
        </xdr:from>
        <xdr:to>
          <xdr:col>7</xdr:col>
          <xdr:colOff>0</xdr:colOff>
          <xdr:row>3722</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0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3723</xdr:row>
          <xdr:rowOff>0</xdr:rowOff>
        </xdr:from>
        <xdr:to>
          <xdr:col>7</xdr:col>
          <xdr:colOff>0</xdr:colOff>
          <xdr:row>3723</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0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3724</xdr:row>
          <xdr:rowOff>0</xdr:rowOff>
        </xdr:from>
        <xdr:to>
          <xdr:col>7</xdr:col>
          <xdr:colOff>0</xdr:colOff>
          <xdr:row>3724</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0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3725</xdr:row>
          <xdr:rowOff>0</xdr:rowOff>
        </xdr:from>
        <xdr:to>
          <xdr:col>7</xdr:col>
          <xdr:colOff>0</xdr:colOff>
          <xdr:row>3725</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0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3726</xdr:row>
          <xdr:rowOff>0</xdr:rowOff>
        </xdr:from>
        <xdr:to>
          <xdr:col>7</xdr:col>
          <xdr:colOff>0</xdr:colOff>
          <xdr:row>3726</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0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3727</xdr:row>
          <xdr:rowOff>0</xdr:rowOff>
        </xdr:from>
        <xdr:to>
          <xdr:col>7</xdr:col>
          <xdr:colOff>0</xdr:colOff>
          <xdr:row>3727</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0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3728</xdr:row>
          <xdr:rowOff>0</xdr:rowOff>
        </xdr:from>
        <xdr:to>
          <xdr:col>7</xdr:col>
          <xdr:colOff>0</xdr:colOff>
          <xdr:row>3728</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0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3729</xdr:row>
          <xdr:rowOff>0</xdr:rowOff>
        </xdr:from>
        <xdr:to>
          <xdr:col>7</xdr:col>
          <xdr:colOff>0</xdr:colOff>
          <xdr:row>3729</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0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3730</xdr:row>
          <xdr:rowOff>0</xdr:rowOff>
        </xdr:from>
        <xdr:to>
          <xdr:col>7</xdr:col>
          <xdr:colOff>0</xdr:colOff>
          <xdr:row>3730</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0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3731</xdr:row>
          <xdr:rowOff>0</xdr:rowOff>
        </xdr:from>
        <xdr:to>
          <xdr:col>7</xdr:col>
          <xdr:colOff>0</xdr:colOff>
          <xdr:row>3731</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0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3732</xdr:row>
          <xdr:rowOff>0</xdr:rowOff>
        </xdr:from>
        <xdr:to>
          <xdr:col>7</xdr:col>
          <xdr:colOff>0</xdr:colOff>
          <xdr:row>3732</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0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3733</xdr:row>
          <xdr:rowOff>0</xdr:rowOff>
        </xdr:from>
        <xdr:to>
          <xdr:col>7</xdr:col>
          <xdr:colOff>0</xdr:colOff>
          <xdr:row>3733</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0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3734</xdr:row>
          <xdr:rowOff>0</xdr:rowOff>
        </xdr:from>
        <xdr:to>
          <xdr:col>7</xdr:col>
          <xdr:colOff>0</xdr:colOff>
          <xdr:row>3734</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0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3735</xdr:row>
          <xdr:rowOff>0</xdr:rowOff>
        </xdr:from>
        <xdr:to>
          <xdr:col>7</xdr:col>
          <xdr:colOff>0</xdr:colOff>
          <xdr:row>3735</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0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3736</xdr:row>
          <xdr:rowOff>0</xdr:rowOff>
        </xdr:from>
        <xdr:to>
          <xdr:col>7</xdr:col>
          <xdr:colOff>0</xdr:colOff>
          <xdr:row>3736</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0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3737</xdr:row>
          <xdr:rowOff>0</xdr:rowOff>
        </xdr:from>
        <xdr:to>
          <xdr:col>7</xdr:col>
          <xdr:colOff>0</xdr:colOff>
          <xdr:row>3737</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0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3738</xdr:row>
          <xdr:rowOff>0</xdr:rowOff>
        </xdr:from>
        <xdr:to>
          <xdr:col>7</xdr:col>
          <xdr:colOff>0</xdr:colOff>
          <xdr:row>3738</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0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3739</xdr:row>
          <xdr:rowOff>0</xdr:rowOff>
        </xdr:from>
        <xdr:to>
          <xdr:col>7</xdr:col>
          <xdr:colOff>0</xdr:colOff>
          <xdr:row>3739</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0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3740</xdr:row>
          <xdr:rowOff>0</xdr:rowOff>
        </xdr:from>
        <xdr:to>
          <xdr:col>7</xdr:col>
          <xdr:colOff>0</xdr:colOff>
          <xdr:row>3740</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0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3741</xdr:row>
          <xdr:rowOff>0</xdr:rowOff>
        </xdr:from>
        <xdr:to>
          <xdr:col>7</xdr:col>
          <xdr:colOff>0</xdr:colOff>
          <xdr:row>3741</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0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3742</xdr:row>
          <xdr:rowOff>0</xdr:rowOff>
        </xdr:from>
        <xdr:to>
          <xdr:col>7</xdr:col>
          <xdr:colOff>0</xdr:colOff>
          <xdr:row>3742</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0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3743</xdr:row>
          <xdr:rowOff>0</xdr:rowOff>
        </xdr:from>
        <xdr:to>
          <xdr:col>7</xdr:col>
          <xdr:colOff>0</xdr:colOff>
          <xdr:row>3743</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0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3744</xdr:row>
          <xdr:rowOff>0</xdr:rowOff>
        </xdr:from>
        <xdr:to>
          <xdr:col>7</xdr:col>
          <xdr:colOff>0</xdr:colOff>
          <xdr:row>3744</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0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3745</xdr:row>
          <xdr:rowOff>0</xdr:rowOff>
        </xdr:from>
        <xdr:to>
          <xdr:col>7</xdr:col>
          <xdr:colOff>0</xdr:colOff>
          <xdr:row>3745</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0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3746</xdr:row>
          <xdr:rowOff>0</xdr:rowOff>
        </xdr:from>
        <xdr:to>
          <xdr:col>7</xdr:col>
          <xdr:colOff>0</xdr:colOff>
          <xdr:row>3746</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0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3747</xdr:row>
          <xdr:rowOff>0</xdr:rowOff>
        </xdr:from>
        <xdr:to>
          <xdr:col>7</xdr:col>
          <xdr:colOff>0</xdr:colOff>
          <xdr:row>3747</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0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3748</xdr:row>
          <xdr:rowOff>0</xdr:rowOff>
        </xdr:from>
        <xdr:to>
          <xdr:col>7</xdr:col>
          <xdr:colOff>0</xdr:colOff>
          <xdr:row>3748</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0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3749</xdr:row>
          <xdr:rowOff>0</xdr:rowOff>
        </xdr:from>
        <xdr:to>
          <xdr:col>7</xdr:col>
          <xdr:colOff>0</xdr:colOff>
          <xdr:row>3749</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0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3750</xdr:row>
          <xdr:rowOff>0</xdr:rowOff>
        </xdr:from>
        <xdr:to>
          <xdr:col>7</xdr:col>
          <xdr:colOff>0</xdr:colOff>
          <xdr:row>3750</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0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3751</xdr:row>
          <xdr:rowOff>0</xdr:rowOff>
        </xdr:from>
        <xdr:to>
          <xdr:col>7</xdr:col>
          <xdr:colOff>0</xdr:colOff>
          <xdr:row>3751</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0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3752</xdr:row>
          <xdr:rowOff>0</xdr:rowOff>
        </xdr:from>
        <xdr:to>
          <xdr:col>7</xdr:col>
          <xdr:colOff>0</xdr:colOff>
          <xdr:row>3752</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0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3753</xdr:row>
          <xdr:rowOff>0</xdr:rowOff>
        </xdr:from>
        <xdr:to>
          <xdr:col>7</xdr:col>
          <xdr:colOff>0</xdr:colOff>
          <xdr:row>3753</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0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3754</xdr:row>
          <xdr:rowOff>0</xdr:rowOff>
        </xdr:from>
        <xdr:to>
          <xdr:col>7</xdr:col>
          <xdr:colOff>0</xdr:colOff>
          <xdr:row>3754</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0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3755</xdr:row>
          <xdr:rowOff>0</xdr:rowOff>
        </xdr:from>
        <xdr:to>
          <xdr:col>7</xdr:col>
          <xdr:colOff>0</xdr:colOff>
          <xdr:row>3755</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0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3756</xdr:row>
          <xdr:rowOff>0</xdr:rowOff>
        </xdr:from>
        <xdr:to>
          <xdr:col>7</xdr:col>
          <xdr:colOff>0</xdr:colOff>
          <xdr:row>3756</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0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3757</xdr:row>
          <xdr:rowOff>0</xdr:rowOff>
        </xdr:from>
        <xdr:to>
          <xdr:col>7</xdr:col>
          <xdr:colOff>0</xdr:colOff>
          <xdr:row>3757</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0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3758</xdr:row>
          <xdr:rowOff>0</xdr:rowOff>
        </xdr:from>
        <xdr:to>
          <xdr:col>7</xdr:col>
          <xdr:colOff>0</xdr:colOff>
          <xdr:row>3758</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0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3759</xdr:row>
          <xdr:rowOff>0</xdr:rowOff>
        </xdr:from>
        <xdr:to>
          <xdr:col>7</xdr:col>
          <xdr:colOff>0</xdr:colOff>
          <xdr:row>3759</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0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3762</xdr:row>
          <xdr:rowOff>0</xdr:rowOff>
        </xdr:from>
        <xdr:to>
          <xdr:col>7</xdr:col>
          <xdr:colOff>0</xdr:colOff>
          <xdr:row>3763</xdr:row>
          <xdr:rowOff>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0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3769</xdr:row>
          <xdr:rowOff>0</xdr:rowOff>
        </xdr:from>
        <xdr:to>
          <xdr:col>7</xdr:col>
          <xdr:colOff>0</xdr:colOff>
          <xdr:row>3769</xdr:row>
          <xdr:rowOff>38100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0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3770</xdr:row>
          <xdr:rowOff>0</xdr:rowOff>
        </xdr:from>
        <xdr:to>
          <xdr:col>7</xdr:col>
          <xdr:colOff>0</xdr:colOff>
          <xdr:row>3770</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0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3771</xdr:row>
          <xdr:rowOff>0</xdr:rowOff>
        </xdr:from>
        <xdr:to>
          <xdr:col>7</xdr:col>
          <xdr:colOff>0</xdr:colOff>
          <xdr:row>3771</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0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3774</xdr:row>
          <xdr:rowOff>0</xdr:rowOff>
        </xdr:from>
        <xdr:to>
          <xdr:col>7</xdr:col>
          <xdr:colOff>0</xdr:colOff>
          <xdr:row>3775</xdr:row>
          <xdr:rowOff>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0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3781</xdr:row>
          <xdr:rowOff>0</xdr:rowOff>
        </xdr:from>
        <xdr:to>
          <xdr:col>7</xdr:col>
          <xdr:colOff>0</xdr:colOff>
          <xdr:row>3781</xdr:row>
          <xdr:rowOff>38100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0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3782</xdr:row>
          <xdr:rowOff>0</xdr:rowOff>
        </xdr:from>
        <xdr:to>
          <xdr:col>7</xdr:col>
          <xdr:colOff>0</xdr:colOff>
          <xdr:row>3782</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0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3785</xdr:row>
          <xdr:rowOff>0</xdr:rowOff>
        </xdr:from>
        <xdr:to>
          <xdr:col>7</xdr:col>
          <xdr:colOff>0</xdr:colOff>
          <xdr:row>3786</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0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3792</xdr:row>
          <xdr:rowOff>0</xdr:rowOff>
        </xdr:from>
        <xdr:to>
          <xdr:col>7</xdr:col>
          <xdr:colOff>0</xdr:colOff>
          <xdr:row>3792</xdr:row>
          <xdr:rowOff>38100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0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3793</xdr:row>
          <xdr:rowOff>0</xdr:rowOff>
        </xdr:from>
        <xdr:to>
          <xdr:col>7</xdr:col>
          <xdr:colOff>0</xdr:colOff>
          <xdr:row>3793</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0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3796</xdr:row>
          <xdr:rowOff>0</xdr:rowOff>
        </xdr:from>
        <xdr:to>
          <xdr:col>7</xdr:col>
          <xdr:colOff>0</xdr:colOff>
          <xdr:row>3797</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0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3803</xdr:row>
          <xdr:rowOff>0</xdr:rowOff>
        </xdr:from>
        <xdr:to>
          <xdr:col>7</xdr:col>
          <xdr:colOff>0</xdr:colOff>
          <xdr:row>3803</xdr:row>
          <xdr:rowOff>38100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0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3804</xdr:row>
          <xdr:rowOff>0</xdr:rowOff>
        </xdr:from>
        <xdr:to>
          <xdr:col>7</xdr:col>
          <xdr:colOff>0</xdr:colOff>
          <xdr:row>3804</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0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3805</xdr:row>
          <xdr:rowOff>0</xdr:rowOff>
        </xdr:from>
        <xdr:to>
          <xdr:col>7</xdr:col>
          <xdr:colOff>0</xdr:colOff>
          <xdr:row>3805</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0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3808</xdr:row>
          <xdr:rowOff>0</xdr:rowOff>
        </xdr:from>
        <xdr:to>
          <xdr:col>7</xdr:col>
          <xdr:colOff>0</xdr:colOff>
          <xdr:row>3809</xdr:row>
          <xdr:rowOff>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0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3815</xdr:row>
          <xdr:rowOff>0</xdr:rowOff>
        </xdr:from>
        <xdr:to>
          <xdr:col>7</xdr:col>
          <xdr:colOff>0</xdr:colOff>
          <xdr:row>3815</xdr:row>
          <xdr:rowOff>38100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0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3816</xdr:row>
          <xdr:rowOff>0</xdr:rowOff>
        </xdr:from>
        <xdr:to>
          <xdr:col>7</xdr:col>
          <xdr:colOff>0</xdr:colOff>
          <xdr:row>3816</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0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3819</xdr:row>
          <xdr:rowOff>0</xdr:rowOff>
        </xdr:from>
        <xdr:to>
          <xdr:col>7</xdr:col>
          <xdr:colOff>0</xdr:colOff>
          <xdr:row>3820</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0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3826</xdr:row>
          <xdr:rowOff>0</xdr:rowOff>
        </xdr:from>
        <xdr:to>
          <xdr:col>7</xdr:col>
          <xdr:colOff>0</xdr:colOff>
          <xdr:row>3826</xdr:row>
          <xdr:rowOff>38100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0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3827</xdr:row>
          <xdr:rowOff>0</xdr:rowOff>
        </xdr:from>
        <xdr:to>
          <xdr:col>7</xdr:col>
          <xdr:colOff>0</xdr:colOff>
          <xdr:row>3827</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0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3828</xdr:row>
          <xdr:rowOff>0</xdr:rowOff>
        </xdr:from>
        <xdr:to>
          <xdr:col>7</xdr:col>
          <xdr:colOff>0</xdr:colOff>
          <xdr:row>3828</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0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3829</xdr:row>
          <xdr:rowOff>0</xdr:rowOff>
        </xdr:from>
        <xdr:to>
          <xdr:col>7</xdr:col>
          <xdr:colOff>0</xdr:colOff>
          <xdr:row>3829</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0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3830</xdr:row>
          <xdr:rowOff>0</xdr:rowOff>
        </xdr:from>
        <xdr:to>
          <xdr:col>7</xdr:col>
          <xdr:colOff>0</xdr:colOff>
          <xdr:row>3830</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0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3831</xdr:row>
          <xdr:rowOff>0</xdr:rowOff>
        </xdr:from>
        <xdr:to>
          <xdr:col>7</xdr:col>
          <xdr:colOff>0</xdr:colOff>
          <xdr:row>3831</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0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3832</xdr:row>
          <xdr:rowOff>0</xdr:rowOff>
        </xdr:from>
        <xdr:to>
          <xdr:col>7</xdr:col>
          <xdr:colOff>0</xdr:colOff>
          <xdr:row>3832</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0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3833</xdr:row>
          <xdr:rowOff>0</xdr:rowOff>
        </xdr:from>
        <xdr:to>
          <xdr:col>7</xdr:col>
          <xdr:colOff>0</xdr:colOff>
          <xdr:row>3833</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0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3834</xdr:row>
          <xdr:rowOff>0</xdr:rowOff>
        </xdr:from>
        <xdr:to>
          <xdr:col>7</xdr:col>
          <xdr:colOff>0</xdr:colOff>
          <xdr:row>3834</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0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3835</xdr:row>
          <xdr:rowOff>0</xdr:rowOff>
        </xdr:from>
        <xdr:to>
          <xdr:col>7</xdr:col>
          <xdr:colOff>0</xdr:colOff>
          <xdr:row>3835</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0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3836</xdr:row>
          <xdr:rowOff>0</xdr:rowOff>
        </xdr:from>
        <xdr:to>
          <xdr:col>7</xdr:col>
          <xdr:colOff>0</xdr:colOff>
          <xdr:row>3836</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0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3837</xdr:row>
          <xdr:rowOff>0</xdr:rowOff>
        </xdr:from>
        <xdr:to>
          <xdr:col>7</xdr:col>
          <xdr:colOff>0</xdr:colOff>
          <xdr:row>3837</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0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3838</xdr:row>
          <xdr:rowOff>0</xdr:rowOff>
        </xdr:from>
        <xdr:to>
          <xdr:col>7</xdr:col>
          <xdr:colOff>0</xdr:colOff>
          <xdr:row>3838</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0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3839</xdr:row>
          <xdr:rowOff>0</xdr:rowOff>
        </xdr:from>
        <xdr:to>
          <xdr:col>7</xdr:col>
          <xdr:colOff>0</xdr:colOff>
          <xdr:row>3839</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0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3840</xdr:row>
          <xdr:rowOff>0</xdr:rowOff>
        </xdr:from>
        <xdr:to>
          <xdr:col>7</xdr:col>
          <xdr:colOff>0</xdr:colOff>
          <xdr:row>3840</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0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3841</xdr:row>
          <xdr:rowOff>0</xdr:rowOff>
        </xdr:from>
        <xdr:to>
          <xdr:col>7</xdr:col>
          <xdr:colOff>0</xdr:colOff>
          <xdr:row>3841</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0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3842</xdr:row>
          <xdr:rowOff>0</xdr:rowOff>
        </xdr:from>
        <xdr:to>
          <xdr:col>7</xdr:col>
          <xdr:colOff>0</xdr:colOff>
          <xdr:row>3842</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0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3843</xdr:row>
          <xdr:rowOff>0</xdr:rowOff>
        </xdr:from>
        <xdr:to>
          <xdr:col>7</xdr:col>
          <xdr:colOff>0</xdr:colOff>
          <xdr:row>3843</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0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3844</xdr:row>
          <xdr:rowOff>0</xdr:rowOff>
        </xdr:from>
        <xdr:to>
          <xdr:col>7</xdr:col>
          <xdr:colOff>0</xdr:colOff>
          <xdr:row>3844</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0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3845</xdr:row>
          <xdr:rowOff>0</xdr:rowOff>
        </xdr:from>
        <xdr:to>
          <xdr:col>7</xdr:col>
          <xdr:colOff>0</xdr:colOff>
          <xdr:row>3845</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0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3846</xdr:row>
          <xdr:rowOff>0</xdr:rowOff>
        </xdr:from>
        <xdr:to>
          <xdr:col>7</xdr:col>
          <xdr:colOff>0</xdr:colOff>
          <xdr:row>3846</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0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3849</xdr:row>
          <xdr:rowOff>0</xdr:rowOff>
        </xdr:from>
        <xdr:to>
          <xdr:col>7</xdr:col>
          <xdr:colOff>0</xdr:colOff>
          <xdr:row>3850</xdr:row>
          <xdr:rowOff>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0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3856</xdr:row>
          <xdr:rowOff>0</xdr:rowOff>
        </xdr:from>
        <xdr:to>
          <xdr:col>7</xdr:col>
          <xdr:colOff>0</xdr:colOff>
          <xdr:row>3856</xdr:row>
          <xdr:rowOff>38100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0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3857</xdr:row>
          <xdr:rowOff>0</xdr:rowOff>
        </xdr:from>
        <xdr:to>
          <xdr:col>7</xdr:col>
          <xdr:colOff>0</xdr:colOff>
          <xdr:row>3857</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0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3860</xdr:row>
          <xdr:rowOff>0</xdr:rowOff>
        </xdr:from>
        <xdr:to>
          <xdr:col>7</xdr:col>
          <xdr:colOff>0</xdr:colOff>
          <xdr:row>3861</xdr:row>
          <xdr:rowOff>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0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3867</xdr:row>
          <xdr:rowOff>0</xdr:rowOff>
        </xdr:from>
        <xdr:to>
          <xdr:col>7</xdr:col>
          <xdr:colOff>0</xdr:colOff>
          <xdr:row>3867</xdr:row>
          <xdr:rowOff>38100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0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3868</xdr:row>
          <xdr:rowOff>0</xdr:rowOff>
        </xdr:from>
        <xdr:to>
          <xdr:col>7</xdr:col>
          <xdr:colOff>0</xdr:colOff>
          <xdr:row>3868</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0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3869</xdr:row>
          <xdr:rowOff>0</xdr:rowOff>
        </xdr:from>
        <xdr:to>
          <xdr:col>7</xdr:col>
          <xdr:colOff>0</xdr:colOff>
          <xdr:row>3869</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0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3870</xdr:row>
          <xdr:rowOff>0</xdr:rowOff>
        </xdr:from>
        <xdr:to>
          <xdr:col>7</xdr:col>
          <xdr:colOff>0</xdr:colOff>
          <xdr:row>3870</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0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3871</xdr:row>
          <xdr:rowOff>0</xdr:rowOff>
        </xdr:from>
        <xdr:to>
          <xdr:col>7</xdr:col>
          <xdr:colOff>0</xdr:colOff>
          <xdr:row>3871</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0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3872</xdr:row>
          <xdr:rowOff>0</xdr:rowOff>
        </xdr:from>
        <xdr:to>
          <xdr:col>7</xdr:col>
          <xdr:colOff>0</xdr:colOff>
          <xdr:row>3872</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0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3873</xdr:row>
          <xdr:rowOff>0</xdr:rowOff>
        </xdr:from>
        <xdr:to>
          <xdr:col>7</xdr:col>
          <xdr:colOff>0</xdr:colOff>
          <xdr:row>3873</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0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3874</xdr:row>
          <xdr:rowOff>0</xdr:rowOff>
        </xdr:from>
        <xdr:to>
          <xdr:col>7</xdr:col>
          <xdr:colOff>0</xdr:colOff>
          <xdr:row>3874</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0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3875</xdr:row>
          <xdr:rowOff>0</xdr:rowOff>
        </xdr:from>
        <xdr:to>
          <xdr:col>7</xdr:col>
          <xdr:colOff>0</xdr:colOff>
          <xdr:row>3875</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0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3878</xdr:row>
          <xdr:rowOff>0</xdr:rowOff>
        </xdr:from>
        <xdr:to>
          <xdr:col>7</xdr:col>
          <xdr:colOff>0</xdr:colOff>
          <xdr:row>3879</xdr:row>
          <xdr:rowOff>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0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3885</xdr:row>
          <xdr:rowOff>0</xdr:rowOff>
        </xdr:from>
        <xdr:to>
          <xdr:col>7</xdr:col>
          <xdr:colOff>0</xdr:colOff>
          <xdr:row>3885</xdr:row>
          <xdr:rowOff>38100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0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3886</xdr:row>
          <xdr:rowOff>0</xdr:rowOff>
        </xdr:from>
        <xdr:to>
          <xdr:col>7</xdr:col>
          <xdr:colOff>0</xdr:colOff>
          <xdr:row>3886</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0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3889</xdr:row>
          <xdr:rowOff>0</xdr:rowOff>
        </xdr:from>
        <xdr:to>
          <xdr:col>7</xdr:col>
          <xdr:colOff>0</xdr:colOff>
          <xdr:row>3890</xdr:row>
          <xdr:rowOff>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0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3896</xdr:row>
          <xdr:rowOff>0</xdr:rowOff>
        </xdr:from>
        <xdr:to>
          <xdr:col>7</xdr:col>
          <xdr:colOff>0</xdr:colOff>
          <xdr:row>3896</xdr:row>
          <xdr:rowOff>38100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0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3897</xdr:row>
          <xdr:rowOff>0</xdr:rowOff>
        </xdr:from>
        <xdr:to>
          <xdr:col>7</xdr:col>
          <xdr:colOff>0</xdr:colOff>
          <xdr:row>3897</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0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3898</xdr:row>
          <xdr:rowOff>0</xdr:rowOff>
        </xdr:from>
        <xdr:to>
          <xdr:col>7</xdr:col>
          <xdr:colOff>0</xdr:colOff>
          <xdr:row>3898</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0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3899</xdr:row>
          <xdr:rowOff>0</xdr:rowOff>
        </xdr:from>
        <xdr:to>
          <xdr:col>7</xdr:col>
          <xdr:colOff>0</xdr:colOff>
          <xdr:row>3899</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0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3900</xdr:row>
          <xdr:rowOff>0</xdr:rowOff>
        </xdr:from>
        <xdr:to>
          <xdr:col>7</xdr:col>
          <xdr:colOff>0</xdr:colOff>
          <xdr:row>3900</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0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3901</xdr:row>
          <xdr:rowOff>0</xdr:rowOff>
        </xdr:from>
        <xdr:to>
          <xdr:col>7</xdr:col>
          <xdr:colOff>0</xdr:colOff>
          <xdr:row>3901</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0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3902</xdr:row>
          <xdr:rowOff>0</xdr:rowOff>
        </xdr:from>
        <xdr:to>
          <xdr:col>7</xdr:col>
          <xdr:colOff>0</xdr:colOff>
          <xdr:row>3902</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0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3903</xdr:row>
          <xdr:rowOff>0</xdr:rowOff>
        </xdr:from>
        <xdr:to>
          <xdr:col>7</xdr:col>
          <xdr:colOff>0</xdr:colOff>
          <xdr:row>3903</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0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3904</xdr:row>
          <xdr:rowOff>0</xdr:rowOff>
        </xdr:from>
        <xdr:to>
          <xdr:col>7</xdr:col>
          <xdr:colOff>0</xdr:colOff>
          <xdr:row>3904</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0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3905</xdr:row>
          <xdr:rowOff>0</xdr:rowOff>
        </xdr:from>
        <xdr:to>
          <xdr:col>7</xdr:col>
          <xdr:colOff>0</xdr:colOff>
          <xdr:row>3905</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0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3906</xdr:row>
          <xdr:rowOff>0</xdr:rowOff>
        </xdr:from>
        <xdr:to>
          <xdr:col>7</xdr:col>
          <xdr:colOff>0</xdr:colOff>
          <xdr:row>3906</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0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3907</xdr:row>
          <xdr:rowOff>0</xdr:rowOff>
        </xdr:from>
        <xdr:to>
          <xdr:col>7</xdr:col>
          <xdr:colOff>0</xdr:colOff>
          <xdr:row>3907</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0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3908</xdr:row>
          <xdr:rowOff>0</xdr:rowOff>
        </xdr:from>
        <xdr:to>
          <xdr:col>7</xdr:col>
          <xdr:colOff>0</xdr:colOff>
          <xdr:row>3908</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0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3909</xdr:row>
          <xdr:rowOff>0</xdr:rowOff>
        </xdr:from>
        <xdr:to>
          <xdr:col>7</xdr:col>
          <xdr:colOff>0</xdr:colOff>
          <xdr:row>3909</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0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3910</xdr:row>
          <xdr:rowOff>0</xdr:rowOff>
        </xdr:from>
        <xdr:to>
          <xdr:col>7</xdr:col>
          <xdr:colOff>0</xdr:colOff>
          <xdr:row>3910</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0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3911</xdr:row>
          <xdr:rowOff>0</xdr:rowOff>
        </xdr:from>
        <xdr:to>
          <xdr:col>7</xdr:col>
          <xdr:colOff>0</xdr:colOff>
          <xdr:row>3911</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0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3912</xdr:row>
          <xdr:rowOff>0</xdr:rowOff>
        </xdr:from>
        <xdr:to>
          <xdr:col>7</xdr:col>
          <xdr:colOff>0</xdr:colOff>
          <xdr:row>3912</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0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3913</xdr:row>
          <xdr:rowOff>0</xdr:rowOff>
        </xdr:from>
        <xdr:to>
          <xdr:col>7</xdr:col>
          <xdr:colOff>0</xdr:colOff>
          <xdr:row>3913</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0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3914</xdr:row>
          <xdr:rowOff>0</xdr:rowOff>
        </xdr:from>
        <xdr:to>
          <xdr:col>7</xdr:col>
          <xdr:colOff>0</xdr:colOff>
          <xdr:row>3914</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0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3915</xdr:row>
          <xdr:rowOff>0</xdr:rowOff>
        </xdr:from>
        <xdr:to>
          <xdr:col>7</xdr:col>
          <xdr:colOff>0</xdr:colOff>
          <xdr:row>3915</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0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3916</xdr:row>
          <xdr:rowOff>0</xdr:rowOff>
        </xdr:from>
        <xdr:to>
          <xdr:col>7</xdr:col>
          <xdr:colOff>0</xdr:colOff>
          <xdr:row>3916</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0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3917</xdr:row>
          <xdr:rowOff>0</xdr:rowOff>
        </xdr:from>
        <xdr:to>
          <xdr:col>7</xdr:col>
          <xdr:colOff>0</xdr:colOff>
          <xdr:row>3917</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0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3918</xdr:row>
          <xdr:rowOff>0</xdr:rowOff>
        </xdr:from>
        <xdr:to>
          <xdr:col>7</xdr:col>
          <xdr:colOff>0</xdr:colOff>
          <xdr:row>3918</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0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3919</xdr:row>
          <xdr:rowOff>0</xdr:rowOff>
        </xdr:from>
        <xdr:to>
          <xdr:col>7</xdr:col>
          <xdr:colOff>0</xdr:colOff>
          <xdr:row>3919</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0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3920</xdr:row>
          <xdr:rowOff>0</xdr:rowOff>
        </xdr:from>
        <xdr:to>
          <xdr:col>7</xdr:col>
          <xdr:colOff>0</xdr:colOff>
          <xdr:row>3920</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0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3921</xdr:row>
          <xdr:rowOff>0</xdr:rowOff>
        </xdr:from>
        <xdr:to>
          <xdr:col>7</xdr:col>
          <xdr:colOff>0</xdr:colOff>
          <xdr:row>3921</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0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3922</xdr:row>
          <xdr:rowOff>0</xdr:rowOff>
        </xdr:from>
        <xdr:to>
          <xdr:col>7</xdr:col>
          <xdr:colOff>0</xdr:colOff>
          <xdr:row>3922</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0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3923</xdr:row>
          <xdr:rowOff>0</xdr:rowOff>
        </xdr:from>
        <xdr:to>
          <xdr:col>7</xdr:col>
          <xdr:colOff>0</xdr:colOff>
          <xdr:row>3923</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0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3924</xdr:row>
          <xdr:rowOff>0</xdr:rowOff>
        </xdr:from>
        <xdr:to>
          <xdr:col>7</xdr:col>
          <xdr:colOff>0</xdr:colOff>
          <xdr:row>3924</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0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3925</xdr:row>
          <xdr:rowOff>0</xdr:rowOff>
        </xdr:from>
        <xdr:to>
          <xdr:col>7</xdr:col>
          <xdr:colOff>0</xdr:colOff>
          <xdr:row>3925</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0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3926</xdr:row>
          <xdr:rowOff>0</xdr:rowOff>
        </xdr:from>
        <xdr:to>
          <xdr:col>7</xdr:col>
          <xdr:colOff>0</xdr:colOff>
          <xdr:row>3926</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0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3927</xdr:row>
          <xdr:rowOff>0</xdr:rowOff>
        </xdr:from>
        <xdr:to>
          <xdr:col>7</xdr:col>
          <xdr:colOff>0</xdr:colOff>
          <xdr:row>3927</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0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3928</xdr:row>
          <xdr:rowOff>0</xdr:rowOff>
        </xdr:from>
        <xdr:to>
          <xdr:col>7</xdr:col>
          <xdr:colOff>0</xdr:colOff>
          <xdr:row>3928</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0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3929</xdr:row>
          <xdr:rowOff>0</xdr:rowOff>
        </xdr:from>
        <xdr:to>
          <xdr:col>7</xdr:col>
          <xdr:colOff>0</xdr:colOff>
          <xdr:row>3929</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0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3930</xdr:row>
          <xdr:rowOff>0</xdr:rowOff>
        </xdr:from>
        <xdr:to>
          <xdr:col>7</xdr:col>
          <xdr:colOff>0</xdr:colOff>
          <xdr:row>3930</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0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3931</xdr:row>
          <xdr:rowOff>0</xdr:rowOff>
        </xdr:from>
        <xdr:to>
          <xdr:col>7</xdr:col>
          <xdr:colOff>0</xdr:colOff>
          <xdr:row>3931</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0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3932</xdr:row>
          <xdr:rowOff>0</xdr:rowOff>
        </xdr:from>
        <xdr:to>
          <xdr:col>7</xdr:col>
          <xdr:colOff>0</xdr:colOff>
          <xdr:row>3932</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0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3933</xdr:row>
          <xdr:rowOff>0</xdr:rowOff>
        </xdr:from>
        <xdr:to>
          <xdr:col>7</xdr:col>
          <xdr:colOff>0</xdr:colOff>
          <xdr:row>3933</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0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3934</xdr:row>
          <xdr:rowOff>0</xdr:rowOff>
        </xdr:from>
        <xdr:to>
          <xdr:col>7</xdr:col>
          <xdr:colOff>0</xdr:colOff>
          <xdr:row>3934</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0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3935</xdr:row>
          <xdr:rowOff>0</xdr:rowOff>
        </xdr:from>
        <xdr:to>
          <xdr:col>7</xdr:col>
          <xdr:colOff>0</xdr:colOff>
          <xdr:row>3935</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0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3936</xdr:row>
          <xdr:rowOff>0</xdr:rowOff>
        </xdr:from>
        <xdr:to>
          <xdr:col>7</xdr:col>
          <xdr:colOff>0</xdr:colOff>
          <xdr:row>3936</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0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3937</xdr:row>
          <xdr:rowOff>0</xdr:rowOff>
        </xdr:from>
        <xdr:to>
          <xdr:col>7</xdr:col>
          <xdr:colOff>0</xdr:colOff>
          <xdr:row>3937</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0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3938</xdr:row>
          <xdr:rowOff>0</xdr:rowOff>
        </xdr:from>
        <xdr:to>
          <xdr:col>7</xdr:col>
          <xdr:colOff>0</xdr:colOff>
          <xdr:row>3938</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0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3939</xdr:row>
          <xdr:rowOff>0</xdr:rowOff>
        </xdr:from>
        <xdr:to>
          <xdr:col>7</xdr:col>
          <xdr:colOff>0</xdr:colOff>
          <xdr:row>3939</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0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3940</xdr:row>
          <xdr:rowOff>0</xdr:rowOff>
        </xdr:from>
        <xdr:to>
          <xdr:col>7</xdr:col>
          <xdr:colOff>0</xdr:colOff>
          <xdr:row>3940</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0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3941</xdr:row>
          <xdr:rowOff>0</xdr:rowOff>
        </xdr:from>
        <xdr:to>
          <xdr:col>7</xdr:col>
          <xdr:colOff>0</xdr:colOff>
          <xdr:row>3941</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0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3942</xdr:row>
          <xdr:rowOff>0</xdr:rowOff>
        </xdr:from>
        <xdr:to>
          <xdr:col>7</xdr:col>
          <xdr:colOff>0</xdr:colOff>
          <xdr:row>3942</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0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3943</xdr:row>
          <xdr:rowOff>0</xdr:rowOff>
        </xdr:from>
        <xdr:to>
          <xdr:col>7</xdr:col>
          <xdr:colOff>0</xdr:colOff>
          <xdr:row>3943</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0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3944</xdr:row>
          <xdr:rowOff>0</xdr:rowOff>
        </xdr:from>
        <xdr:to>
          <xdr:col>7</xdr:col>
          <xdr:colOff>0</xdr:colOff>
          <xdr:row>3944</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0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3945</xdr:row>
          <xdr:rowOff>0</xdr:rowOff>
        </xdr:from>
        <xdr:to>
          <xdr:col>7</xdr:col>
          <xdr:colOff>0</xdr:colOff>
          <xdr:row>3945</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0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3946</xdr:row>
          <xdr:rowOff>0</xdr:rowOff>
        </xdr:from>
        <xdr:to>
          <xdr:col>7</xdr:col>
          <xdr:colOff>0</xdr:colOff>
          <xdr:row>3946</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0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3947</xdr:row>
          <xdr:rowOff>0</xdr:rowOff>
        </xdr:from>
        <xdr:to>
          <xdr:col>7</xdr:col>
          <xdr:colOff>0</xdr:colOff>
          <xdr:row>3947</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0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3948</xdr:row>
          <xdr:rowOff>0</xdr:rowOff>
        </xdr:from>
        <xdr:to>
          <xdr:col>7</xdr:col>
          <xdr:colOff>0</xdr:colOff>
          <xdr:row>3948</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0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3949</xdr:row>
          <xdr:rowOff>0</xdr:rowOff>
        </xdr:from>
        <xdr:to>
          <xdr:col>7</xdr:col>
          <xdr:colOff>0</xdr:colOff>
          <xdr:row>3949</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0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3950</xdr:row>
          <xdr:rowOff>0</xdr:rowOff>
        </xdr:from>
        <xdr:to>
          <xdr:col>7</xdr:col>
          <xdr:colOff>0</xdr:colOff>
          <xdr:row>3950</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0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3951</xdr:row>
          <xdr:rowOff>0</xdr:rowOff>
        </xdr:from>
        <xdr:to>
          <xdr:col>7</xdr:col>
          <xdr:colOff>0</xdr:colOff>
          <xdr:row>3951</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0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3952</xdr:row>
          <xdr:rowOff>0</xdr:rowOff>
        </xdr:from>
        <xdr:to>
          <xdr:col>7</xdr:col>
          <xdr:colOff>0</xdr:colOff>
          <xdr:row>3952</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0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3953</xdr:row>
          <xdr:rowOff>0</xdr:rowOff>
        </xdr:from>
        <xdr:to>
          <xdr:col>7</xdr:col>
          <xdr:colOff>0</xdr:colOff>
          <xdr:row>3953</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0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3954</xdr:row>
          <xdr:rowOff>0</xdr:rowOff>
        </xdr:from>
        <xdr:to>
          <xdr:col>7</xdr:col>
          <xdr:colOff>0</xdr:colOff>
          <xdr:row>3954</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0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3955</xdr:row>
          <xdr:rowOff>0</xdr:rowOff>
        </xdr:from>
        <xdr:to>
          <xdr:col>7</xdr:col>
          <xdr:colOff>0</xdr:colOff>
          <xdr:row>3955</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0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3956</xdr:row>
          <xdr:rowOff>0</xdr:rowOff>
        </xdr:from>
        <xdr:to>
          <xdr:col>7</xdr:col>
          <xdr:colOff>0</xdr:colOff>
          <xdr:row>3956</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0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3957</xdr:row>
          <xdr:rowOff>0</xdr:rowOff>
        </xdr:from>
        <xdr:to>
          <xdr:col>7</xdr:col>
          <xdr:colOff>0</xdr:colOff>
          <xdr:row>3957</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0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3958</xdr:row>
          <xdr:rowOff>0</xdr:rowOff>
        </xdr:from>
        <xdr:to>
          <xdr:col>7</xdr:col>
          <xdr:colOff>0</xdr:colOff>
          <xdr:row>3958</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0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3959</xdr:row>
          <xdr:rowOff>0</xdr:rowOff>
        </xdr:from>
        <xdr:to>
          <xdr:col>7</xdr:col>
          <xdr:colOff>0</xdr:colOff>
          <xdr:row>3959</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0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3960</xdr:row>
          <xdr:rowOff>0</xdr:rowOff>
        </xdr:from>
        <xdr:to>
          <xdr:col>7</xdr:col>
          <xdr:colOff>0</xdr:colOff>
          <xdr:row>3960</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0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3961</xdr:row>
          <xdr:rowOff>0</xdr:rowOff>
        </xdr:from>
        <xdr:to>
          <xdr:col>7</xdr:col>
          <xdr:colOff>0</xdr:colOff>
          <xdr:row>3961</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0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3962</xdr:row>
          <xdr:rowOff>0</xdr:rowOff>
        </xdr:from>
        <xdr:to>
          <xdr:col>7</xdr:col>
          <xdr:colOff>0</xdr:colOff>
          <xdr:row>3962</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0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3963</xdr:row>
          <xdr:rowOff>0</xdr:rowOff>
        </xdr:from>
        <xdr:to>
          <xdr:col>7</xdr:col>
          <xdr:colOff>0</xdr:colOff>
          <xdr:row>3963</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0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3964</xdr:row>
          <xdr:rowOff>0</xdr:rowOff>
        </xdr:from>
        <xdr:to>
          <xdr:col>7</xdr:col>
          <xdr:colOff>0</xdr:colOff>
          <xdr:row>3964</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0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3965</xdr:row>
          <xdr:rowOff>0</xdr:rowOff>
        </xdr:from>
        <xdr:to>
          <xdr:col>7</xdr:col>
          <xdr:colOff>0</xdr:colOff>
          <xdr:row>3965</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0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3966</xdr:row>
          <xdr:rowOff>0</xdr:rowOff>
        </xdr:from>
        <xdr:to>
          <xdr:col>7</xdr:col>
          <xdr:colOff>0</xdr:colOff>
          <xdr:row>3966</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0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3967</xdr:row>
          <xdr:rowOff>0</xdr:rowOff>
        </xdr:from>
        <xdr:to>
          <xdr:col>7</xdr:col>
          <xdr:colOff>0</xdr:colOff>
          <xdr:row>3967</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0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3968</xdr:row>
          <xdr:rowOff>0</xdr:rowOff>
        </xdr:from>
        <xdr:to>
          <xdr:col>7</xdr:col>
          <xdr:colOff>0</xdr:colOff>
          <xdr:row>3968</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0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3969</xdr:row>
          <xdr:rowOff>0</xdr:rowOff>
        </xdr:from>
        <xdr:to>
          <xdr:col>7</xdr:col>
          <xdr:colOff>0</xdr:colOff>
          <xdr:row>3969</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0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3970</xdr:row>
          <xdr:rowOff>0</xdr:rowOff>
        </xdr:from>
        <xdr:to>
          <xdr:col>7</xdr:col>
          <xdr:colOff>0</xdr:colOff>
          <xdr:row>3970</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0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3971</xdr:row>
          <xdr:rowOff>0</xdr:rowOff>
        </xdr:from>
        <xdr:to>
          <xdr:col>7</xdr:col>
          <xdr:colOff>0</xdr:colOff>
          <xdr:row>3971</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0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3972</xdr:row>
          <xdr:rowOff>0</xdr:rowOff>
        </xdr:from>
        <xdr:to>
          <xdr:col>7</xdr:col>
          <xdr:colOff>0</xdr:colOff>
          <xdr:row>3972</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0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3973</xdr:row>
          <xdr:rowOff>0</xdr:rowOff>
        </xdr:from>
        <xdr:to>
          <xdr:col>7</xdr:col>
          <xdr:colOff>0</xdr:colOff>
          <xdr:row>3973</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0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3974</xdr:row>
          <xdr:rowOff>0</xdr:rowOff>
        </xdr:from>
        <xdr:to>
          <xdr:col>7</xdr:col>
          <xdr:colOff>0</xdr:colOff>
          <xdr:row>3974</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0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3975</xdr:row>
          <xdr:rowOff>0</xdr:rowOff>
        </xdr:from>
        <xdr:to>
          <xdr:col>7</xdr:col>
          <xdr:colOff>0</xdr:colOff>
          <xdr:row>3975</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0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3976</xdr:row>
          <xdr:rowOff>0</xdr:rowOff>
        </xdr:from>
        <xdr:to>
          <xdr:col>7</xdr:col>
          <xdr:colOff>0</xdr:colOff>
          <xdr:row>3976</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0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3977</xdr:row>
          <xdr:rowOff>0</xdr:rowOff>
        </xdr:from>
        <xdr:to>
          <xdr:col>7</xdr:col>
          <xdr:colOff>0</xdr:colOff>
          <xdr:row>3977</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0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3978</xdr:row>
          <xdr:rowOff>0</xdr:rowOff>
        </xdr:from>
        <xdr:to>
          <xdr:col>7</xdr:col>
          <xdr:colOff>0</xdr:colOff>
          <xdr:row>3978</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0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3981</xdr:row>
          <xdr:rowOff>0</xdr:rowOff>
        </xdr:from>
        <xdr:to>
          <xdr:col>7</xdr:col>
          <xdr:colOff>0</xdr:colOff>
          <xdr:row>3982</xdr:row>
          <xdr:rowOff>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0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3988</xdr:row>
          <xdr:rowOff>0</xdr:rowOff>
        </xdr:from>
        <xdr:to>
          <xdr:col>7</xdr:col>
          <xdr:colOff>0</xdr:colOff>
          <xdr:row>3988</xdr:row>
          <xdr:rowOff>38100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0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3989</xdr:row>
          <xdr:rowOff>0</xdr:rowOff>
        </xdr:from>
        <xdr:to>
          <xdr:col>7</xdr:col>
          <xdr:colOff>0</xdr:colOff>
          <xdr:row>3989</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0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3990</xdr:row>
          <xdr:rowOff>0</xdr:rowOff>
        </xdr:from>
        <xdr:to>
          <xdr:col>7</xdr:col>
          <xdr:colOff>0</xdr:colOff>
          <xdr:row>3990</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0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3991</xdr:row>
          <xdr:rowOff>0</xdr:rowOff>
        </xdr:from>
        <xdr:to>
          <xdr:col>7</xdr:col>
          <xdr:colOff>0</xdr:colOff>
          <xdr:row>3991</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0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3992</xdr:row>
          <xdr:rowOff>0</xdr:rowOff>
        </xdr:from>
        <xdr:to>
          <xdr:col>7</xdr:col>
          <xdr:colOff>0</xdr:colOff>
          <xdr:row>3992</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0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3995</xdr:row>
          <xdr:rowOff>0</xdr:rowOff>
        </xdr:from>
        <xdr:to>
          <xdr:col>7</xdr:col>
          <xdr:colOff>0</xdr:colOff>
          <xdr:row>3996</xdr:row>
          <xdr:rowOff>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0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4002</xdr:row>
          <xdr:rowOff>0</xdr:rowOff>
        </xdr:from>
        <xdr:to>
          <xdr:col>7</xdr:col>
          <xdr:colOff>0</xdr:colOff>
          <xdr:row>4002</xdr:row>
          <xdr:rowOff>38100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0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4003</xdr:row>
          <xdr:rowOff>0</xdr:rowOff>
        </xdr:from>
        <xdr:to>
          <xdr:col>7</xdr:col>
          <xdr:colOff>0</xdr:colOff>
          <xdr:row>4003</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0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4006</xdr:row>
          <xdr:rowOff>0</xdr:rowOff>
        </xdr:from>
        <xdr:to>
          <xdr:col>7</xdr:col>
          <xdr:colOff>0</xdr:colOff>
          <xdr:row>4007</xdr:row>
          <xdr:rowOff>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0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4013</xdr:row>
          <xdr:rowOff>0</xdr:rowOff>
        </xdr:from>
        <xdr:to>
          <xdr:col>7</xdr:col>
          <xdr:colOff>0</xdr:colOff>
          <xdr:row>4013</xdr:row>
          <xdr:rowOff>38100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0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4014</xdr:row>
          <xdr:rowOff>0</xdr:rowOff>
        </xdr:from>
        <xdr:to>
          <xdr:col>7</xdr:col>
          <xdr:colOff>0</xdr:colOff>
          <xdr:row>4014</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0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4015</xdr:row>
          <xdr:rowOff>0</xdr:rowOff>
        </xdr:from>
        <xdr:to>
          <xdr:col>7</xdr:col>
          <xdr:colOff>0</xdr:colOff>
          <xdr:row>4015</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0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4016</xdr:row>
          <xdr:rowOff>0</xdr:rowOff>
        </xdr:from>
        <xdr:to>
          <xdr:col>7</xdr:col>
          <xdr:colOff>0</xdr:colOff>
          <xdr:row>4016</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0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4017</xdr:row>
          <xdr:rowOff>0</xdr:rowOff>
        </xdr:from>
        <xdr:to>
          <xdr:col>7</xdr:col>
          <xdr:colOff>0</xdr:colOff>
          <xdr:row>4017</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0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4018</xdr:row>
          <xdr:rowOff>0</xdr:rowOff>
        </xdr:from>
        <xdr:to>
          <xdr:col>7</xdr:col>
          <xdr:colOff>0</xdr:colOff>
          <xdr:row>4018</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0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4019</xdr:row>
          <xdr:rowOff>0</xdr:rowOff>
        </xdr:from>
        <xdr:to>
          <xdr:col>7</xdr:col>
          <xdr:colOff>0</xdr:colOff>
          <xdr:row>4019</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0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4020</xdr:row>
          <xdr:rowOff>0</xdr:rowOff>
        </xdr:from>
        <xdr:to>
          <xdr:col>7</xdr:col>
          <xdr:colOff>0</xdr:colOff>
          <xdr:row>4020</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0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4021</xdr:row>
          <xdr:rowOff>0</xdr:rowOff>
        </xdr:from>
        <xdr:to>
          <xdr:col>7</xdr:col>
          <xdr:colOff>0</xdr:colOff>
          <xdr:row>4021</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0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4022</xdr:row>
          <xdr:rowOff>0</xdr:rowOff>
        </xdr:from>
        <xdr:to>
          <xdr:col>7</xdr:col>
          <xdr:colOff>0</xdr:colOff>
          <xdr:row>4022</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0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4023</xdr:row>
          <xdr:rowOff>0</xdr:rowOff>
        </xdr:from>
        <xdr:to>
          <xdr:col>7</xdr:col>
          <xdr:colOff>0</xdr:colOff>
          <xdr:row>4023</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0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4024</xdr:row>
          <xdr:rowOff>0</xdr:rowOff>
        </xdr:from>
        <xdr:to>
          <xdr:col>7</xdr:col>
          <xdr:colOff>0</xdr:colOff>
          <xdr:row>4024</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0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4025</xdr:row>
          <xdr:rowOff>0</xdr:rowOff>
        </xdr:from>
        <xdr:to>
          <xdr:col>7</xdr:col>
          <xdr:colOff>0</xdr:colOff>
          <xdr:row>4025</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0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4026</xdr:row>
          <xdr:rowOff>0</xdr:rowOff>
        </xdr:from>
        <xdr:to>
          <xdr:col>7</xdr:col>
          <xdr:colOff>0</xdr:colOff>
          <xdr:row>4026</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0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4027</xdr:row>
          <xdr:rowOff>0</xdr:rowOff>
        </xdr:from>
        <xdr:to>
          <xdr:col>7</xdr:col>
          <xdr:colOff>0</xdr:colOff>
          <xdr:row>4027</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0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4030</xdr:row>
          <xdr:rowOff>0</xdr:rowOff>
        </xdr:from>
        <xdr:to>
          <xdr:col>7</xdr:col>
          <xdr:colOff>0</xdr:colOff>
          <xdr:row>4031</xdr:row>
          <xdr:rowOff>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0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4037</xdr:row>
          <xdr:rowOff>0</xdr:rowOff>
        </xdr:from>
        <xdr:to>
          <xdr:col>7</xdr:col>
          <xdr:colOff>0</xdr:colOff>
          <xdr:row>4037</xdr:row>
          <xdr:rowOff>38100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0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4038</xdr:row>
          <xdr:rowOff>0</xdr:rowOff>
        </xdr:from>
        <xdr:to>
          <xdr:col>7</xdr:col>
          <xdr:colOff>0</xdr:colOff>
          <xdr:row>4038</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0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4041</xdr:row>
          <xdr:rowOff>0</xdr:rowOff>
        </xdr:from>
        <xdr:to>
          <xdr:col>7</xdr:col>
          <xdr:colOff>0</xdr:colOff>
          <xdr:row>4042</xdr:row>
          <xdr:rowOff>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0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4048</xdr:row>
          <xdr:rowOff>0</xdr:rowOff>
        </xdr:from>
        <xdr:to>
          <xdr:col>7</xdr:col>
          <xdr:colOff>0</xdr:colOff>
          <xdr:row>4048</xdr:row>
          <xdr:rowOff>38100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0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4049</xdr:row>
          <xdr:rowOff>0</xdr:rowOff>
        </xdr:from>
        <xdr:to>
          <xdr:col>7</xdr:col>
          <xdr:colOff>0</xdr:colOff>
          <xdr:row>4049</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0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4050</xdr:row>
          <xdr:rowOff>0</xdr:rowOff>
        </xdr:from>
        <xdr:to>
          <xdr:col>7</xdr:col>
          <xdr:colOff>0</xdr:colOff>
          <xdr:row>4050</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0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4051</xdr:row>
          <xdr:rowOff>0</xdr:rowOff>
        </xdr:from>
        <xdr:to>
          <xdr:col>7</xdr:col>
          <xdr:colOff>0</xdr:colOff>
          <xdr:row>4051</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0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4052</xdr:row>
          <xdr:rowOff>0</xdr:rowOff>
        </xdr:from>
        <xdr:to>
          <xdr:col>7</xdr:col>
          <xdr:colOff>0</xdr:colOff>
          <xdr:row>4052</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0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4053</xdr:row>
          <xdr:rowOff>0</xdr:rowOff>
        </xdr:from>
        <xdr:to>
          <xdr:col>7</xdr:col>
          <xdr:colOff>0</xdr:colOff>
          <xdr:row>4053</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0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4054</xdr:row>
          <xdr:rowOff>0</xdr:rowOff>
        </xdr:from>
        <xdr:to>
          <xdr:col>7</xdr:col>
          <xdr:colOff>0</xdr:colOff>
          <xdr:row>4054</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0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4055</xdr:row>
          <xdr:rowOff>0</xdr:rowOff>
        </xdr:from>
        <xdr:to>
          <xdr:col>7</xdr:col>
          <xdr:colOff>0</xdr:colOff>
          <xdr:row>4055</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0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4056</xdr:row>
          <xdr:rowOff>0</xdr:rowOff>
        </xdr:from>
        <xdr:to>
          <xdr:col>7</xdr:col>
          <xdr:colOff>0</xdr:colOff>
          <xdr:row>4056</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0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4057</xdr:row>
          <xdr:rowOff>0</xdr:rowOff>
        </xdr:from>
        <xdr:to>
          <xdr:col>7</xdr:col>
          <xdr:colOff>0</xdr:colOff>
          <xdr:row>4057</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0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4058</xdr:row>
          <xdr:rowOff>0</xdr:rowOff>
        </xdr:from>
        <xdr:to>
          <xdr:col>7</xdr:col>
          <xdr:colOff>0</xdr:colOff>
          <xdr:row>4058</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0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4059</xdr:row>
          <xdr:rowOff>0</xdr:rowOff>
        </xdr:from>
        <xdr:to>
          <xdr:col>7</xdr:col>
          <xdr:colOff>0</xdr:colOff>
          <xdr:row>4059</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0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4060</xdr:row>
          <xdr:rowOff>0</xdr:rowOff>
        </xdr:from>
        <xdr:to>
          <xdr:col>7</xdr:col>
          <xdr:colOff>0</xdr:colOff>
          <xdr:row>4060</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0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4061</xdr:row>
          <xdr:rowOff>0</xdr:rowOff>
        </xdr:from>
        <xdr:to>
          <xdr:col>7</xdr:col>
          <xdr:colOff>0</xdr:colOff>
          <xdr:row>4061</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0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4062</xdr:row>
          <xdr:rowOff>0</xdr:rowOff>
        </xdr:from>
        <xdr:to>
          <xdr:col>7</xdr:col>
          <xdr:colOff>0</xdr:colOff>
          <xdr:row>4062</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0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4063</xdr:row>
          <xdr:rowOff>0</xdr:rowOff>
        </xdr:from>
        <xdr:to>
          <xdr:col>7</xdr:col>
          <xdr:colOff>0</xdr:colOff>
          <xdr:row>4063</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0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4064</xdr:row>
          <xdr:rowOff>0</xdr:rowOff>
        </xdr:from>
        <xdr:to>
          <xdr:col>7</xdr:col>
          <xdr:colOff>0</xdr:colOff>
          <xdr:row>4064</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0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4065</xdr:row>
          <xdr:rowOff>0</xdr:rowOff>
        </xdr:from>
        <xdr:to>
          <xdr:col>7</xdr:col>
          <xdr:colOff>0</xdr:colOff>
          <xdr:row>4065</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0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4066</xdr:row>
          <xdr:rowOff>0</xdr:rowOff>
        </xdr:from>
        <xdr:to>
          <xdr:col>7</xdr:col>
          <xdr:colOff>0</xdr:colOff>
          <xdr:row>4066</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0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4067</xdr:row>
          <xdr:rowOff>0</xdr:rowOff>
        </xdr:from>
        <xdr:to>
          <xdr:col>7</xdr:col>
          <xdr:colOff>0</xdr:colOff>
          <xdr:row>4067</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0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4068</xdr:row>
          <xdr:rowOff>0</xdr:rowOff>
        </xdr:from>
        <xdr:to>
          <xdr:col>7</xdr:col>
          <xdr:colOff>0</xdr:colOff>
          <xdr:row>4068</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0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4069</xdr:row>
          <xdr:rowOff>0</xdr:rowOff>
        </xdr:from>
        <xdr:to>
          <xdr:col>7</xdr:col>
          <xdr:colOff>0</xdr:colOff>
          <xdr:row>4069</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0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4070</xdr:row>
          <xdr:rowOff>0</xdr:rowOff>
        </xdr:from>
        <xdr:to>
          <xdr:col>7</xdr:col>
          <xdr:colOff>0</xdr:colOff>
          <xdr:row>4070</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0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4071</xdr:row>
          <xdr:rowOff>0</xdr:rowOff>
        </xdr:from>
        <xdr:to>
          <xdr:col>7</xdr:col>
          <xdr:colOff>0</xdr:colOff>
          <xdr:row>4071</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0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4072</xdr:row>
          <xdr:rowOff>0</xdr:rowOff>
        </xdr:from>
        <xdr:to>
          <xdr:col>7</xdr:col>
          <xdr:colOff>0</xdr:colOff>
          <xdr:row>4072</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0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4075</xdr:row>
          <xdr:rowOff>0</xdr:rowOff>
        </xdr:from>
        <xdr:to>
          <xdr:col>7</xdr:col>
          <xdr:colOff>0</xdr:colOff>
          <xdr:row>4076</xdr:row>
          <xdr:rowOff>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0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4082</xdr:row>
          <xdr:rowOff>0</xdr:rowOff>
        </xdr:from>
        <xdr:to>
          <xdr:col>7</xdr:col>
          <xdr:colOff>0</xdr:colOff>
          <xdr:row>4082</xdr:row>
          <xdr:rowOff>38100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0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4083</xdr:row>
          <xdr:rowOff>0</xdr:rowOff>
        </xdr:from>
        <xdr:to>
          <xdr:col>7</xdr:col>
          <xdr:colOff>0</xdr:colOff>
          <xdr:row>4083</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0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4084</xdr:row>
          <xdr:rowOff>0</xdr:rowOff>
        </xdr:from>
        <xdr:to>
          <xdr:col>7</xdr:col>
          <xdr:colOff>0</xdr:colOff>
          <xdr:row>4084</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0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4085</xdr:row>
          <xdr:rowOff>0</xdr:rowOff>
        </xdr:from>
        <xdr:to>
          <xdr:col>7</xdr:col>
          <xdr:colOff>0</xdr:colOff>
          <xdr:row>4085</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0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4086</xdr:row>
          <xdr:rowOff>0</xdr:rowOff>
        </xdr:from>
        <xdr:to>
          <xdr:col>7</xdr:col>
          <xdr:colOff>0</xdr:colOff>
          <xdr:row>4086</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0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4087</xdr:row>
          <xdr:rowOff>0</xdr:rowOff>
        </xdr:from>
        <xdr:to>
          <xdr:col>7</xdr:col>
          <xdr:colOff>0</xdr:colOff>
          <xdr:row>4087</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0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4088</xdr:row>
          <xdr:rowOff>0</xdr:rowOff>
        </xdr:from>
        <xdr:to>
          <xdr:col>7</xdr:col>
          <xdr:colOff>0</xdr:colOff>
          <xdr:row>4088</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0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4089</xdr:row>
          <xdr:rowOff>0</xdr:rowOff>
        </xdr:from>
        <xdr:to>
          <xdr:col>7</xdr:col>
          <xdr:colOff>0</xdr:colOff>
          <xdr:row>4089</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0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4090</xdr:row>
          <xdr:rowOff>0</xdr:rowOff>
        </xdr:from>
        <xdr:to>
          <xdr:col>7</xdr:col>
          <xdr:colOff>0</xdr:colOff>
          <xdr:row>4090</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0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4091</xdr:row>
          <xdr:rowOff>0</xdr:rowOff>
        </xdr:from>
        <xdr:to>
          <xdr:col>7</xdr:col>
          <xdr:colOff>0</xdr:colOff>
          <xdr:row>4091</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0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4092</xdr:row>
          <xdr:rowOff>0</xdr:rowOff>
        </xdr:from>
        <xdr:to>
          <xdr:col>7</xdr:col>
          <xdr:colOff>0</xdr:colOff>
          <xdr:row>4092</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0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4093</xdr:row>
          <xdr:rowOff>0</xdr:rowOff>
        </xdr:from>
        <xdr:to>
          <xdr:col>7</xdr:col>
          <xdr:colOff>0</xdr:colOff>
          <xdr:row>4093</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0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4094</xdr:row>
          <xdr:rowOff>0</xdr:rowOff>
        </xdr:from>
        <xdr:to>
          <xdr:col>7</xdr:col>
          <xdr:colOff>0</xdr:colOff>
          <xdr:row>4094</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0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4095</xdr:row>
          <xdr:rowOff>0</xdr:rowOff>
        </xdr:from>
        <xdr:to>
          <xdr:col>7</xdr:col>
          <xdr:colOff>0</xdr:colOff>
          <xdr:row>4095</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0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4096</xdr:row>
          <xdr:rowOff>0</xdr:rowOff>
        </xdr:from>
        <xdr:to>
          <xdr:col>7</xdr:col>
          <xdr:colOff>0</xdr:colOff>
          <xdr:row>4096</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0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4097</xdr:row>
          <xdr:rowOff>0</xdr:rowOff>
        </xdr:from>
        <xdr:to>
          <xdr:col>7</xdr:col>
          <xdr:colOff>0</xdr:colOff>
          <xdr:row>4097</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0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4098</xdr:row>
          <xdr:rowOff>0</xdr:rowOff>
        </xdr:from>
        <xdr:to>
          <xdr:col>7</xdr:col>
          <xdr:colOff>0</xdr:colOff>
          <xdr:row>4098</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0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4099</xdr:row>
          <xdr:rowOff>0</xdr:rowOff>
        </xdr:from>
        <xdr:to>
          <xdr:col>7</xdr:col>
          <xdr:colOff>0</xdr:colOff>
          <xdr:row>4099</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0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4100</xdr:row>
          <xdr:rowOff>0</xdr:rowOff>
        </xdr:from>
        <xdr:to>
          <xdr:col>7</xdr:col>
          <xdr:colOff>0</xdr:colOff>
          <xdr:row>4100</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0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4101</xdr:row>
          <xdr:rowOff>0</xdr:rowOff>
        </xdr:from>
        <xdr:to>
          <xdr:col>7</xdr:col>
          <xdr:colOff>0</xdr:colOff>
          <xdr:row>4101</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0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4102</xdr:row>
          <xdr:rowOff>0</xdr:rowOff>
        </xdr:from>
        <xdr:to>
          <xdr:col>7</xdr:col>
          <xdr:colOff>0</xdr:colOff>
          <xdr:row>4102</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0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4103</xdr:row>
          <xdr:rowOff>0</xdr:rowOff>
        </xdr:from>
        <xdr:to>
          <xdr:col>7</xdr:col>
          <xdr:colOff>0</xdr:colOff>
          <xdr:row>4103</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0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4104</xdr:row>
          <xdr:rowOff>0</xdr:rowOff>
        </xdr:from>
        <xdr:to>
          <xdr:col>7</xdr:col>
          <xdr:colOff>0</xdr:colOff>
          <xdr:row>4104</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0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4105</xdr:row>
          <xdr:rowOff>0</xdr:rowOff>
        </xdr:from>
        <xdr:to>
          <xdr:col>7</xdr:col>
          <xdr:colOff>0</xdr:colOff>
          <xdr:row>4105</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0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4106</xdr:row>
          <xdr:rowOff>0</xdr:rowOff>
        </xdr:from>
        <xdr:to>
          <xdr:col>7</xdr:col>
          <xdr:colOff>0</xdr:colOff>
          <xdr:row>4106</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0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4107</xdr:row>
          <xdr:rowOff>0</xdr:rowOff>
        </xdr:from>
        <xdr:to>
          <xdr:col>7</xdr:col>
          <xdr:colOff>0</xdr:colOff>
          <xdr:row>4107</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0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4108</xdr:row>
          <xdr:rowOff>0</xdr:rowOff>
        </xdr:from>
        <xdr:to>
          <xdr:col>7</xdr:col>
          <xdr:colOff>0</xdr:colOff>
          <xdr:row>4108</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0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4109</xdr:row>
          <xdr:rowOff>0</xdr:rowOff>
        </xdr:from>
        <xdr:to>
          <xdr:col>7</xdr:col>
          <xdr:colOff>0</xdr:colOff>
          <xdr:row>4109</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0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4110</xdr:row>
          <xdr:rowOff>0</xdr:rowOff>
        </xdr:from>
        <xdr:to>
          <xdr:col>7</xdr:col>
          <xdr:colOff>0</xdr:colOff>
          <xdr:row>4110</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0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4111</xdr:row>
          <xdr:rowOff>0</xdr:rowOff>
        </xdr:from>
        <xdr:to>
          <xdr:col>7</xdr:col>
          <xdr:colOff>0</xdr:colOff>
          <xdr:row>4111</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0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4112</xdr:row>
          <xdr:rowOff>0</xdr:rowOff>
        </xdr:from>
        <xdr:to>
          <xdr:col>7</xdr:col>
          <xdr:colOff>0</xdr:colOff>
          <xdr:row>4112</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0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4113</xdr:row>
          <xdr:rowOff>0</xdr:rowOff>
        </xdr:from>
        <xdr:to>
          <xdr:col>7</xdr:col>
          <xdr:colOff>0</xdr:colOff>
          <xdr:row>4113</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0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4114</xdr:row>
          <xdr:rowOff>0</xdr:rowOff>
        </xdr:from>
        <xdr:to>
          <xdr:col>7</xdr:col>
          <xdr:colOff>0</xdr:colOff>
          <xdr:row>4114</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0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4115</xdr:row>
          <xdr:rowOff>0</xdr:rowOff>
        </xdr:from>
        <xdr:to>
          <xdr:col>7</xdr:col>
          <xdr:colOff>0</xdr:colOff>
          <xdr:row>4115</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0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4116</xdr:row>
          <xdr:rowOff>0</xdr:rowOff>
        </xdr:from>
        <xdr:to>
          <xdr:col>7</xdr:col>
          <xdr:colOff>0</xdr:colOff>
          <xdr:row>4116</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0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4117</xdr:row>
          <xdr:rowOff>0</xdr:rowOff>
        </xdr:from>
        <xdr:to>
          <xdr:col>7</xdr:col>
          <xdr:colOff>0</xdr:colOff>
          <xdr:row>4117</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0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4118</xdr:row>
          <xdr:rowOff>0</xdr:rowOff>
        </xdr:from>
        <xdr:to>
          <xdr:col>7</xdr:col>
          <xdr:colOff>0</xdr:colOff>
          <xdr:row>4118</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0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4119</xdr:row>
          <xdr:rowOff>0</xdr:rowOff>
        </xdr:from>
        <xdr:to>
          <xdr:col>7</xdr:col>
          <xdr:colOff>0</xdr:colOff>
          <xdr:row>4119</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0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4120</xdr:row>
          <xdr:rowOff>0</xdr:rowOff>
        </xdr:from>
        <xdr:to>
          <xdr:col>7</xdr:col>
          <xdr:colOff>0</xdr:colOff>
          <xdr:row>4120</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0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4121</xdr:row>
          <xdr:rowOff>0</xdr:rowOff>
        </xdr:from>
        <xdr:to>
          <xdr:col>7</xdr:col>
          <xdr:colOff>0</xdr:colOff>
          <xdr:row>4121</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0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4122</xdr:row>
          <xdr:rowOff>0</xdr:rowOff>
        </xdr:from>
        <xdr:to>
          <xdr:col>7</xdr:col>
          <xdr:colOff>0</xdr:colOff>
          <xdr:row>4122</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0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4123</xdr:row>
          <xdr:rowOff>0</xdr:rowOff>
        </xdr:from>
        <xdr:to>
          <xdr:col>7</xdr:col>
          <xdr:colOff>0</xdr:colOff>
          <xdr:row>4123</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0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4124</xdr:row>
          <xdr:rowOff>0</xdr:rowOff>
        </xdr:from>
        <xdr:to>
          <xdr:col>7</xdr:col>
          <xdr:colOff>0</xdr:colOff>
          <xdr:row>4124</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0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4125</xdr:row>
          <xdr:rowOff>0</xdr:rowOff>
        </xdr:from>
        <xdr:to>
          <xdr:col>7</xdr:col>
          <xdr:colOff>0</xdr:colOff>
          <xdr:row>4125</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0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4126</xdr:row>
          <xdr:rowOff>0</xdr:rowOff>
        </xdr:from>
        <xdr:to>
          <xdr:col>7</xdr:col>
          <xdr:colOff>0</xdr:colOff>
          <xdr:row>4126</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0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4129</xdr:row>
          <xdr:rowOff>0</xdr:rowOff>
        </xdr:from>
        <xdr:to>
          <xdr:col>7</xdr:col>
          <xdr:colOff>0</xdr:colOff>
          <xdr:row>4130</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0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4136</xdr:row>
          <xdr:rowOff>0</xdr:rowOff>
        </xdr:from>
        <xdr:to>
          <xdr:col>7</xdr:col>
          <xdr:colOff>0</xdr:colOff>
          <xdr:row>4136</xdr:row>
          <xdr:rowOff>38100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0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4137</xdr:row>
          <xdr:rowOff>0</xdr:rowOff>
        </xdr:from>
        <xdr:to>
          <xdr:col>7</xdr:col>
          <xdr:colOff>0</xdr:colOff>
          <xdr:row>4137</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0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4138</xdr:row>
          <xdr:rowOff>0</xdr:rowOff>
        </xdr:from>
        <xdr:to>
          <xdr:col>7</xdr:col>
          <xdr:colOff>0</xdr:colOff>
          <xdr:row>4138</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0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4139</xdr:row>
          <xdr:rowOff>0</xdr:rowOff>
        </xdr:from>
        <xdr:to>
          <xdr:col>7</xdr:col>
          <xdr:colOff>0</xdr:colOff>
          <xdr:row>4139</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0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4140</xdr:row>
          <xdr:rowOff>0</xdr:rowOff>
        </xdr:from>
        <xdr:to>
          <xdr:col>7</xdr:col>
          <xdr:colOff>0</xdr:colOff>
          <xdr:row>4140</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0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4141</xdr:row>
          <xdr:rowOff>0</xdr:rowOff>
        </xdr:from>
        <xdr:to>
          <xdr:col>7</xdr:col>
          <xdr:colOff>0</xdr:colOff>
          <xdr:row>4141</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0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4144</xdr:row>
          <xdr:rowOff>0</xdr:rowOff>
        </xdr:from>
        <xdr:to>
          <xdr:col>7</xdr:col>
          <xdr:colOff>0</xdr:colOff>
          <xdr:row>4145</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0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4151</xdr:row>
          <xdr:rowOff>0</xdr:rowOff>
        </xdr:from>
        <xdr:to>
          <xdr:col>7</xdr:col>
          <xdr:colOff>0</xdr:colOff>
          <xdr:row>4151</xdr:row>
          <xdr:rowOff>38100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0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4152</xdr:row>
          <xdr:rowOff>0</xdr:rowOff>
        </xdr:from>
        <xdr:to>
          <xdr:col>7</xdr:col>
          <xdr:colOff>0</xdr:colOff>
          <xdr:row>4152</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0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4155</xdr:row>
          <xdr:rowOff>0</xdr:rowOff>
        </xdr:from>
        <xdr:to>
          <xdr:col>7</xdr:col>
          <xdr:colOff>0</xdr:colOff>
          <xdr:row>4156</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0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4162</xdr:row>
          <xdr:rowOff>0</xdr:rowOff>
        </xdr:from>
        <xdr:to>
          <xdr:col>7</xdr:col>
          <xdr:colOff>0</xdr:colOff>
          <xdr:row>4162</xdr:row>
          <xdr:rowOff>38100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0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4163</xdr:row>
          <xdr:rowOff>0</xdr:rowOff>
        </xdr:from>
        <xdr:to>
          <xdr:col>7</xdr:col>
          <xdr:colOff>0</xdr:colOff>
          <xdr:row>4163</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0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4164</xdr:row>
          <xdr:rowOff>0</xdr:rowOff>
        </xdr:from>
        <xdr:to>
          <xdr:col>7</xdr:col>
          <xdr:colOff>0</xdr:colOff>
          <xdr:row>4164</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0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4165</xdr:row>
          <xdr:rowOff>0</xdr:rowOff>
        </xdr:from>
        <xdr:to>
          <xdr:col>7</xdr:col>
          <xdr:colOff>0</xdr:colOff>
          <xdr:row>4165</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0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4166</xdr:row>
          <xdr:rowOff>0</xdr:rowOff>
        </xdr:from>
        <xdr:to>
          <xdr:col>7</xdr:col>
          <xdr:colOff>0</xdr:colOff>
          <xdr:row>4166</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0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4167</xdr:row>
          <xdr:rowOff>0</xdr:rowOff>
        </xdr:from>
        <xdr:to>
          <xdr:col>7</xdr:col>
          <xdr:colOff>0</xdr:colOff>
          <xdr:row>4167</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0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4168</xdr:row>
          <xdr:rowOff>0</xdr:rowOff>
        </xdr:from>
        <xdr:to>
          <xdr:col>7</xdr:col>
          <xdr:colOff>0</xdr:colOff>
          <xdr:row>4168</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0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4169</xdr:row>
          <xdr:rowOff>0</xdr:rowOff>
        </xdr:from>
        <xdr:to>
          <xdr:col>7</xdr:col>
          <xdr:colOff>0</xdr:colOff>
          <xdr:row>4169</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0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4170</xdr:row>
          <xdr:rowOff>0</xdr:rowOff>
        </xdr:from>
        <xdr:to>
          <xdr:col>7</xdr:col>
          <xdr:colOff>0</xdr:colOff>
          <xdr:row>4170</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0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4171</xdr:row>
          <xdr:rowOff>0</xdr:rowOff>
        </xdr:from>
        <xdr:to>
          <xdr:col>7</xdr:col>
          <xdr:colOff>0</xdr:colOff>
          <xdr:row>4171</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0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4172</xdr:row>
          <xdr:rowOff>0</xdr:rowOff>
        </xdr:from>
        <xdr:to>
          <xdr:col>7</xdr:col>
          <xdr:colOff>0</xdr:colOff>
          <xdr:row>4172</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0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4173</xdr:row>
          <xdr:rowOff>0</xdr:rowOff>
        </xdr:from>
        <xdr:to>
          <xdr:col>7</xdr:col>
          <xdr:colOff>0</xdr:colOff>
          <xdr:row>4173</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0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4174</xdr:row>
          <xdr:rowOff>0</xdr:rowOff>
        </xdr:from>
        <xdr:to>
          <xdr:col>7</xdr:col>
          <xdr:colOff>0</xdr:colOff>
          <xdr:row>4174</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0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4175</xdr:row>
          <xdr:rowOff>0</xdr:rowOff>
        </xdr:from>
        <xdr:to>
          <xdr:col>7</xdr:col>
          <xdr:colOff>0</xdr:colOff>
          <xdr:row>4175</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0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4176</xdr:row>
          <xdr:rowOff>0</xdr:rowOff>
        </xdr:from>
        <xdr:to>
          <xdr:col>7</xdr:col>
          <xdr:colOff>0</xdr:colOff>
          <xdr:row>4176</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0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4177</xdr:row>
          <xdr:rowOff>0</xdr:rowOff>
        </xdr:from>
        <xdr:to>
          <xdr:col>7</xdr:col>
          <xdr:colOff>0</xdr:colOff>
          <xdr:row>4177</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0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4178</xdr:row>
          <xdr:rowOff>0</xdr:rowOff>
        </xdr:from>
        <xdr:to>
          <xdr:col>7</xdr:col>
          <xdr:colOff>0</xdr:colOff>
          <xdr:row>4178</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0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4179</xdr:row>
          <xdr:rowOff>0</xdr:rowOff>
        </xdr:from>
        <xdr:to>
          <xdr:col>7</xdr:col>
          <xdr:colOff>0</xdr:colOff>
          <xdr:row>4179</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0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4180</xdr:row>
          <xdr:rowOff>0</xdr:rowOff>
        </xdr:from>
        <xdr:to>
          <xdr:col>7</xdr:col>
          <xdr:colOff>0</xdr:colOff>
          <xdr:row>4180</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0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4181</xdr:row>
          <xdr:rowOff>0</xdr:rowOff>
        </xdr:from>
        <xdr:to>
          <xdr:col>7</xdr:col>
          <xdr:colOff>0</xdr:colOff>
          <xdr:row>4181</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0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4182</xdr:row>
          <xdr:rowOff>0</xdr:rowOff>
        </xdr:from>
        <xdr:to>
          <xdr:col>7</xdr:col>
          <xdr:colOff>0</xdr:colOff>
          <xdr:row>4182</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0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4183</xdr:row>
          <xdr:rowOff>0</xdr:rowOff>
        </xdr:from>
        <xdr:to>
          <xdr:col>7</xdr:col>
          <xdr:colOff>0</xdr:colOff>
          <xdr:row>4183</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0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4184</xdr:row>
          <xdr:rowOff>0</xdr:rowOff>
        </xdr:from>
        <xdr:to>
          <xdr:col>7</xdr:col>
          <xdr:colOff>0</xdr:colOff>
          <xdr:row>4184</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0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4185</xdr:row>
          <xdr:rowOff>0</xdr:rowOff>
        </xdr:from>
        <xdr:to>
          <xdr:col>7</xdr:col>
          <xdr:colOff>0</xdr:colOff>
          <xdr:row>4185</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0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4186</xdr:row>
          <xdr:rowOff>0</xdr:rowOff>
        </xdr:from>
        <xdr:to>
          <xdr:col>7</xdr:col>
          <xdr:colOff>0</xdr:colOff>
          <xdr:row>4186</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0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4187</xdr:row>
          <xdr:rowOff>0</xdr:rowOff>
        </xdr:from>
        <xdr:to>
          <xdr:col>7</xdr:col>
          <xdr:colOff>0</xdr:colOff>
          <xdr:row>4187</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0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4188</xdr:row>
          <xdr:rowOff>0</xdr:rowOff>
        </xdr:from>
        <xdr:to>
          <xdr:col>7</xdr:col>
          <xdr:colOff>0</xdr:colOff>
          <xdr:row>4188</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0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4189</xdr:row>
          <xdr:rowOff>0</xdr:rowOff>
        </xdr:from>
        <xdr:to>
          <xdr:col>7</xdr:col>
          <xdr:colOff>0</xdr:colOff>
          <xdr:row>4189</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0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4190</xdr:row>
          <xdr:rowOff>0</xdr:rowOff>
        </xdr:from>
        <xdr:to>
          <xdr:col>7</xdr:col>
          <xdr:colOff>0</xdr:colOff>
          <xdr:row>4190</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0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4191</xdr:row>
          <xdr:rowOff>0</xdr:rowOff>
        </xdr:from>
        <xdr:to>
          <xdr:col>7</xdr:col>
          <xdr:colOff>0</xdr:colOff>
          <xdr:row>4191</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0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4192</xdr:row>
          <xdr:rowOff>0</xdr:rowOff>
        </xdr:from>
        <xdr:to>
          <xdr:col>7</xdr:col>
          <xdr:colOff>0</xdr:colOff>
          <xdr:row>4192</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0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4193</xdr:row>
          <xdr:rowOff>0</xdr:rowOff>
        </xdr:from>
        <xdr:to>
          <xdr:col>7</xdr:col>
          <xdr:colOff>0</xdr:colOff>
          <xdr:row>4193</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0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4194</xdr:row>
          <xdr:rowOff>0</xdr:rowOff>
        </xdr:from>
        <xdr:to>
          <xdr:col>7</xdr:col>
          <xdr:colOff>0</xdr:colOff>
          <xdr:row>4194</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0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4195</xdr:row>
          <xdr:rowOff>0</xdr:rowOff>
        </xdr:from>
        <xdr:to>
          <xdr:col>7</xdr:col>
          <xdr:colOff>0</xdr:colOff>
          <xdr:row>4195</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0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4196</xdr:row>
          <xdr:rowOff>0</xdr:rowOff>
        </xdr:from>
        <xdr:to>
          <xdr:col>7</xdr:col>
          <xdr:colOff>0</xdr:colOff>
          <xdr:row>4196</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0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4197</xdr:row>
          <xdr:rowOff>0</xdr:rowOff>
        </xdr:from>
        <xdr:to>
          <xdr:col>7</xdr:col>
          <xdr:colOff>0</xdr:colOff>
          <xdr:row>4197</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0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4198</xdr:row>
          <xdr:rowOff>0</xdr:rowOff>
        </xdr:from>
        <xdr:to>
          <xdr:col>7</xdr:col>
          <xdr:colOff>0</xdr:colOff>
          <xdr:row>4198</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0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4199</xdr:row>
          <xdr:rowOff>0</xdr:rowOff>
        </xdr:from>
        <xdr:to>
          <xdr:col>7</xdr:col>
          <xdr:colOff>0</xdr:colOff>
          <xdr:row>4199</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0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4200</xdr:row>
          <xdr:rowOff>0</xdr:rowOff>
        </xdr:from>
        <xdr:to>
          <xdr:col>7</xdr:col>
          <xdr:colOff>0</xdr:colOff>
          <xdr:row>4200</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0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4201</xdr:row>
          <xdr:rowOff>0</xdr:rowOff>
        </xdr:from>
        <xdr:to>
          <xdr:col>7</xdr:col>
          <xdr:colOff>0</xdr:colOff>
          <xdr:row>4201</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0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4202</xdr:row>
          <xdr:rowOff>0</xdr:rowOff>
        </xdr:from>
        <xdr:to>
          <xdr:col>7</xdr:col>
          <xdr:colOff>0</xdr:colOff>
          <xdr:row>4202</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0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4203</xdr:row>
          <xdr:rowOff>0</xdr:rowOff>
        </xdr:from>
        <xdr:to>
          <xdr:col>7</xdr:col>
          <xdr:colOff>0</xdr:colOff>
          <xdr:row>4203</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0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4204</xdr:row>
          <xdr:rowOff>0</xdr:rowOff>
        </xdr:from>
        <xdr:to>
          <xdr:col>7</xdr:col>
          <xdr:colOff>0</xdr:colOff>
          <xdr:row>4204</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0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4205</xdr:row>
          <xdr:rowOff>0</xdr:rowOff>
        </xdr:from>
        <xdr:to>
          <xdr:col>7</xdr:col>
          <xdr:colOff>0</xdr:colOff>
          <xdr:row>4205</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0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4206</xdr:row>
          <xdr:rowOff>0</xdr:rowOff>
        </xdr:from>
        <xdr:to>
          <xdr:col>7</xdr:col>
          <xdr:colOff>0</xdr:colOff>
          <xdr:row>4206</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0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4209</xdr:row>
          <xdr:rowOff>0</xdr:rowOff>
        </xdr:from>
        <xdr:to>
          <xdr:col>7</xdr:col>
          <xdr:colOff>0</xdr:colOff>
          <xdr:row>4210</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0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4216</xdr:row>
          <xdr:rowOff>0</xdr:rowOff>
        </xdr:from>
        <xdr:to>
          <xdr:col>7</xdr:col>
          <xdr:colOff>0</xdr:colOff>
          <xdr:row>4216</xdr:row>
          <xdr:rowOff>38100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0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4217</xdr:row>
          <xdr:rowOff>0</xdr:rowOff>
        </xdr:from>
        <xdr:to>
          <xdr:col>7</xdr:col>
          <xdr:colOff>0</xdr:colOff>
          <xdr:row>4217</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0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4218</xdr:row>
          <xdr:rowOff>0</xdr:rowOff>
        </xdr:from>
        <xdr:to>
          <xdr:col>7</xdr:col>
          <xdr:colOff>0</xdr:colOff>
          <xdr:row>4218</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0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4219</xdr:row>
          <xdr:rowOff>0</xdr:rowOff>
        </xdr:from>
        <xdr:to>
          <xdr:col>7</xdr:col>
          <xdr:colOff>0</xdr:colOff>
          <xdr:row>4219</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0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4220</xdr:row>
          <xdr:rowOff>0</xdr:rowOff>
        </xdr:from>
        <xdr:to>
          <xdr:col>7</xdr:col>
          <xdr:colOff>0</xdr:colOff>
          <xdr:row>4220</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0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4221</xdr:row>
          <xdr:rowOff>0</xdr:rowOff>
        </xdr:from>
        <xdr:to>
          <xdr:col>7</xdr:col>
          <xdr:colOff>0</xdr:colOff>
          <xdr:row>4221</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0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4222</xdr:row>
          <xdr:rowOff>0</xdr:rowOff>
        </xdr:from>
        <xdr:to>
          <xdr:col>7</xdr:col>
          <xdr:colOff>0</xdr:colOff>
          <xdr:row>4222</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0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4223</xdr:row>
          <xdr:rowOff>0</xdr:rowOff>
        </xdr:from>
        <xdr:to>
          <xdr:col>7</xdr:col>
          <xdr:colOff>0</xdr:colOff>
          <xdr:row>4223</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0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4224</xdr:row>
          <xdr:rowOff>0</xdr:rowOff>
        </xdr:from>
        <xdr:to>
          <xdr:col>7</xdr:col>
          <xdr:colOff>0</xdr:colOff>
          <xdr:row>4224</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0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4225</xdr:row>
          <xdr:rowOff>0</xdr:rowOff>
        </xdr:from>
        <xdr:to>
          <xdr:col>7</xdr:col>
          <xdr:colOff>0</xdr:colOff>
          <xdr:row>4225</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0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4226</xdr:row>
          <xdr:rowOff>0</xdr:rowOff>
        </xdr:from>
        <xdr:to>
          <xdr:col>7</xdr:col>
          <xdr:colOff>0</xdr:colOff>
          <xdr:row>4226</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0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4227</xdr:row>
          <xdr:rowOff>0</xdr:rowOff>
        </xdr:from>
        <xdr:to>
          <xdr:col>7</xdr:col>
          <xdr:colOff>0</xdr:colOff>
          <xdr:row>4227</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0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4228</xdr:row>
          <xdr:rowOff>0</xdr:rowOff>
        </xdr:from>
        <xdr:to>
          <xdr:col>7</xdr:col>
          <xdr:colOff>0</xdr:colOff>
          <xdr:row>4228</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0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4229</xdr:row>
          <xdr:rowOff>0</xdr:rowOff>
        </xdr:from>
        <xdr:to>
          <xdr:col>7</xdr:col>
          <xdr:colOff>0</xdr:colOff>
          <xdr:row>4229</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0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4230</xdr:row>
          <xdr:rowOff>0</xdr:rowOff>
        </xdr:from>
        <xdr:to>
          <xdr:col>7</xdr:col>
          <xdr:colOff>0</xdr:colOff>
          <xdr:row>4230</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0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4231</xdr:row>
          <xdr:rowOff>0</xdr:rowOff>
        </xdr:from>
        <xdr:to>
          <xdr:col>7</xdr:col>
          <xdr:colOff>0</xdr:colOff>
          <xdr:row>4231</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0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4232</xdr:row>
          <xdr:rowOff>0</xdr:rowOff>
        </xdr:from>
        <xdr:to>
          <xdr:col>7</xdr:col>
          <xdr:colOff>0</xdr:colOff>
          <xdr:row>4232</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0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4233</xdr:row>
          <xdr:rowOff>0</xdr:rowOff>
        </xdr:from>
        <xdr:to>
          <xdr:col>7</xdr:col>
          <xdr:colOff>0</xdr:colOff>
          <xdr:row>4233</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0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4234</xdr:row>
          <xdr:rowOff>0</xdr:rowOff>
        </xdr:from>
        <xdr:to>
          <xdr:col>7</xdr:col>
          <xdr:colOff>0</xdr:colOff>
          <xdr:row>4234</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0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4235</xdr:row>
          <xdr:rowOff>0</xdr:rowOff>
        </xdr:from>
        <xdr:to>
          <xdr:col>7</xdr:col>
          <xdr:colOff>0</xdr:colOff>
          <xdr:row>4235</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0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4236</xdr:row>
          <xdr:rowOff>0</xdr:rowOff>
        </xdr:from>
        <xdr:to>
          <xdr:col>7</xdr:col>
          <xdr:colOff>0</xdr:colOff>
          <xdr:row>4236</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0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4237</xdr:row>
          <xdr:rowOff>0</xdr:rowOff>
        </xdr:from>
        <xdr:to>
          <xdr:col>7</xdr:col>
          <xdr:colOff>0</xdr:colOff>
          <xdr:row>4237</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0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4238</xdr:row>
          <xdr:rowOff>0</xdr:rowOff>
        </xdr:from>
        <xdr:to>
          <xdr:col>7</xdr:col>
          <xdr:colOff>0</xdr:colOff>
          <xdr:row>4238</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0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4239</xdr:row>
          <xdr:rowOff>0</xdr:rowOff>
        </xdr:from>
        <xdr:to>
          <xdr:col>7</xdr:col>
          <xdr:colOff>0</xdr:colOff>
          <xdr:row>4239</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0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4240</xdr:row>
          <xdr:rowOff>0</xdr:rowOff>
        </xdr:from>
        <xdr:to>
          <xdr:col>7</xdr:col>
          <xdr:colOff>0</xdr:colOff>
          <xdr:row>4240</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0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4241</xdr:row>
          <xdr:rowOff>0</xdr:rowOff>
        </xdr:from>
        <xdr:to>
          <xdr:col>7</xdr:col>
          <xdr:colOff>0</xdr:colOff>
          <xdr:row>4241</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0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4242</xdr:row>
          <xdr:rowOff>0</xdr:rowOff>
        </xdr:from>
        <xdr:to>
          <xdr:col>7</xdr:col>
          <xdr:colOff>0</xdr:colOff>
          <xdr:row>4242</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0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4243</xdr:row>
          <xdr:rowOff>0</xdr:rowOff>
        </xdr:from>
        <xdr:to>
          <xdr:col>7</xdr:col>
          <xdr:colOff>0</xdr:colOff>
          <xdr:row>4243</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0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4244</xdr:row>
          <xdr:rowOff>0</xdr:rowOff>
        </xdr:from>
        <xdr:to>
          <xdr:col>7</xdr:col>
          <xdr:colOff>0</xdr:colOff>
          <xdr:row>4244</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0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4245</xdr:row>
          <xdr:rowOff>0</xdr:rowOff>
        </xdr:from>
        <xdr:to>
          <xdr:col>7</xdr:col>
          <xdr:colOff>0</xdr:colOff>
          <xdr:row>4245</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0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4246</xdr:row>
          <xdr:rowOff>0</xdr:rowOff>
        </xdr:from>
        <xdr:to>
          <xdr:col>7</xdr:col>
          <xdr:colOff>0</xdr:colOff>
          <xdr:row>4246</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0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4247</xdr:row>
          <xdr:rowOff>0</xdr:rowOff>
        </xdr:from>
        <xdr:to>
          <xdr:col>7</xdr:col>
          <xdr:colOff>0</xdr:colOff>
          <xdr:row>4247</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0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4248</xdr:row>
          <xdr:rowOff>0</xdr:rowOff>
        </xdr:from>
        <xdr:to>
          <xdr:col>7</xdr:col>
          <xdr:colOff>0</xdr:colOff>
          <xdr:row>4248</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0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4249</xdr:row>
          <xdr:rowOff>0</xdr:rowOff>
        </xdr:from>
        <xdr:to>
          <xdr:col>7</xdr:col>
          <xdr:colOff>0</xdr:colOff>
          <xdr:row>4249</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0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4250</xdr:row>
          <xdr:rowOff>0</xdr:rowOff>
        </xdr:from>
        <xdr:to>
          <xdr:col>7</xdr:col>
          <xdr:colOff>0</xdr:colOff>
          <xdr:row>4250</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0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4251</xdr:row>
          <xdr:rowOff>0</xdr:rowOff>
        </xdr:from>
        <xdr:to>
          <xdr:col>7</xdr:col>
          <xdr:colOff>0</xdr:colOff>
          <xdr:row>4251</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0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4252</xdr:row>
          <xdr:rowOff>0</xdr:rowOff>
        </xdr:from>
        <xdr:to>
          <xdr:col>7</xdr:col>
          <xdr:colOff>0</xdr:colOff>
          <xdr:row>4252</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0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4253</xdr:row>
          <xdr:rowOff>0</xdr:rowOff>
        </xdr:from>
        <xdr:to>
          <xdr:col>7</xdr:col>
          <xdr:colOff>0</xdr:colOff>
          <xdr:row>4253</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0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4254</xdr:row>
          <xdr:rowOff>0</xdr:rowOff>
        </xdr:from>
        <xdr:to>
          <xdr:col>7</xdr:col>
          <xdr:colOff>0</xdr:colOff>
          <xdr:row>4254</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0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4255</xdr:row>
          <xdr:rowOff>0</xdr:rowOff>
        </xdr:from>
        <xdr:to>
          <xdr:col>7</xdr:col>
          <xdr:colOff>0</xdr:colOff>
          <xdr:row>4255</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0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4256</xdr:row>
          <xdr:rowOff>0</xdr:rowOff>
        </xdr:from>
        <xdr:to>
          <xdr:col>7</xdr:col>
          <xdr:colOff>0</xdr:colOff>
          <xdr:row>4256</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0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4257</xdr:row>
          <xdr:rowOff>0</xdr:rowOff>
        </xdr:from>
        <xdr:to>
          <xdr:col>7</xdr:col>
          <xdr:colOff>0</xdr:colOff>
          <xdr:row>4257</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0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4258</xdr:row>
          <xdr:rowOff>0</xdr:rowOff>
        </xdr:from>
        <xdr:to>
          <xdr:col>7</xdr:col>
          <xdr:colOff>0</xdr:colOff>
          <xdr:row>4258</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0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4259</xdr:row>
          <xdr:rowOff>0</xdr:rowOff>
        </xdr:from>
        <xdr:to>
          <xdr:col>7</xdr:col>
          <xdr:colOff>0</xdr:colOff>
          <xdr:row>4259</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0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4260</xdr:row>
          <xdr:rowOff>0</xdr:rowOff>
        </xdr:from>
        <xdr:to>
          <xdr:col>7</xdr:col>
          <xdr:colOff>0</xdr:colOff>
          <xdr:row>4260</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0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4263</xdr:row>
          <xdr:rowOff>0</xdr:rowOff>
        </xdr:from>
        <xdr:to>
          <xdr:col>7</xdr:col>
          <xdr:colOff>0</xdr:colOff>
          <xdr:row>4264</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0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4270</xdr:row>
          <xdr:rowOff>0</xdr:rowOff>
        </xdr:from>
        <xdr:to>
          <xdr:col>7</xdr:col>
          <xdr:colOff>0</xdr:colOff>
          <xdr:row>4270</xdr:row>
          <xdr:rowOff>38100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0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4271</xdr:row>
          <xdr:rowOff>0</xdr:rowOff>
        </xdr:from>
        <xdr:to>
          <xdr:col>7</xdr:col>
          <xdr:colOff>0</xdr:colOff>
          <xdr:row>4271</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0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4272</xdr:row>
          <xdr:rowOff>0</xdr:rowOff>
        </xdr:from>
        <xdr:to>
          <xdr:col>7</xdr:col>
          <xdr:colOff>0</xdr:colOff>
          <xdr:row>4272</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0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4273</xdr:row>
          <xdr:rowOff>0</xdr:rowOff>
        </xdr:from>
        <xdr:to>
          <xdr:col>7</xdr:col>
          <xdr:colOff>0</xdr:colOff>
          <xdr:row>4273</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0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4274</xdr:row>
          <xdr:rowOff>0</xdr:rowOff>
        </xdr:from>
        <xdr:to>
          <xdr:col>7</xdr:col>
          <xdr:colOff>0</xdr:colOff>
          <xdr:row>4274</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0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4275</xdr:row>
          <xdr:rowOff>0</xdr:rowOff>
        </xdr:from>
        <xdr:to>
          <xdr:col>7</xdr:col>
          <xdr:colOff>0</xdr:colOff>
          <xdr:row>4275</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0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4276</xdr:row>
          <xdr:rowOff>0</xdr:rowOff>
        </xdr:from>
        <xdr:to>
          <xdr:col>7</xdr:col>
          <xdr:colOff>0</xdr:colOff>
          <xdr:row>4276</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0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4277</xdr:row>
          <xdr:rowOff>0</xdr:rowOff>
        </xdr:from>
        <xdr:to>
          <xdr:col>7</xdr:col>
          <xdr:colOff>0</xdr:colOff>
          <xdr:row>4277</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0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4278</xdr:row>
          <xdr:rowOff>0</xdr:rowOff>
        </xdr:from>
        <xdr:to>
          <xdr:col>7</xdr:col>
          <xdr:colOff>0</xdr:colOff>
          <xdr:row>4278</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0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4279</xdr:row>
          <xdr:rowOff>0</xdr:rowOff>
        </xdr:from>
        <xdr:to>
          <xdr:col>7</xdr:col>
          <xdr:colOff>0</xdr:colOff>
          <xdr:row>4279</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0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4280</xdr:row>
          <xdr:rowOff>0</xdr:rowOff>
        </xdr:from>
        <xdr:to>
          <xdr:col>7</xdr:col>
          <xdr:colOff>0</xdr:colOff>
          <xdr:row>4280</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0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4281</xdr:row>
          <xdr:rowOff>0</xdr:rowOff>
        </xdr:from>
        <xdr:to>
          <xdr:col>7</xdr:col>
          <xdr:colOff>0</xdr:colOff>
          <xdr:row>4281</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0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4282</xdr:row>
          <xdr:rowOff>0</xdr:rowOff>
        </xdr:from>
        <xdr:to>
          <xdr:col>7</xdr:col>
          <xdr:colOff>0</xdr:colOff>
          <xdr:row>4282</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0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4283</xdr:row>
          <xdr:rowOff>0</xdr:rowOff>
        </xdr:from>
        <xdr:to>
          <xdr:col>7</xdr:col>
          <xdr:colOff>0</xdr:colOff>
          <xdr:row>4283</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0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4284</xdr:row>
          <xdr:rowOff>0</xdr:rowOff>
        </xdr:from>
        <xdr:to>
          <xdr:col>7</xdr:col>
          <xdr:colOff>0</xdr:colOff>
          <xdr:row>4284</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0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4285</xdr:row>
          <xdr:rowOff>0</xdr:rowOff>
        </xdr:from>
        <xdr:to>
          <xdr:col>7</xdr:col>
          <xdr:colOff>0</xdr:colOff>
          <xdr:row>4285</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0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4286</xdr:row>
          <xdr:rowOff>0</xdr:rowOff>
        </xdr:from>
        <xdr:to>
          <xdr:col>7</xdr:col>
          <xdr:colOff>0</xdr:colOff>
          <xdr:row>4286</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0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4287</xdr:row>
          <xdr:rowOff>0</xdr:rowOff>
        </xdr:from>
        <xdr:to>
          <xdr:col>7</xdr:col>
          <xdr:colOff>0</xdr:colOff>
          <xdr:row>4287</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0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4288</xdr:row>
          <xdr:rowOff>0</xdr:rowOff>
        </xdr:from>
        <xdr:to>
          <xdr:col>7</xdr:col>
          <xdr:colOff>0</xdr:colOff>
          <xdr:row>4288</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0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4289</xdr:row>
          <xdr:rowOff>0</xdr:rowOff>
        </xdr:from>
        <xdr:to>
          <xdr:col>7</xdr:col>
          <xdr:colOff>0</xdr:colOff>
          <xdr:row>4289</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0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4290</xdr:row>
          <xdr:rowOff>0</xdr:rowOff>
        </xdr:from>
        <xdr:to>
          <xdr:col>7</xdr:col>
          <xdr:colOff>0</xdr:colOff>
          <xdr:row>4290</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0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4291</xdr:row>
          <xdr:rowOff>0</xdr:rowOff>
        </xdr:from>
        <xdr:to>
          <xdr:col>7</xdr:col>
          <xdr:colOff>0</xdr:colOff>
          <xdr:row>4291</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0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4292</xdr:row>
          <xdr:rowOff>0</xdr:rowOff>
        </xdr:from>
        <xdr:to>
          <xdr:col>7</xdr:col>
          <xdr:colOff>0</xdr:colOff>
          <xdr:row>4292</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0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4293</xdr:row>
          <xdr:rowOff>0</xdr:rowOff>
        </xdr:from>
        <xdr:to>
          <xdr:col>7</xdr:col>
          <xdr:colOff>0</xdr:colOff>
          <xdr:row>4293</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0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4294</xdr:row>
          <xdr:rowOff>0</xdr:rowOff>
        </xdr:from>
        <xdr:to>
          <xdr:col>7</xdr:col>
          <xdr:colOff>0</xdr:colOff>
          <xdr:row>4294</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0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4295</xdr:row>
          <xdr:rowOff>0</xdr:rowOff>
        </xdr:from>
        <xdr:to>
          <xdr:col>7</xdr:col>
          <xdr:colOff>0</xdr:colOff>
          <xdr:row>4295</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0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4296</xdr:row>
          <xdr:rowOff>0</xdr:rowOff>
        </xdr:from>
        <xdr:to>
          <xdr:col>7</xdr:col>
          <xdr:colOff>0</xdr:colOff>
          <xdr:row>4296</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0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4297</xdr:row>
          <xdr:rowOff>0</xdr:rowOff>
        </xdr:from>
        <xdr:to>
          <xdr:col>7</xdr:col>
          <xdr:colOff>0</xdr:colOff>
          <xdr:row>4297</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0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4298</xdr:row>
          <xdr:rowOff>0</xdr:rowOff>
        </xdr:from>
        <xdr:to>
          <xdr:col>7</xdr:col>
          <xdr:colOff>0</xdr:colOff>
          <xdr:row>4298</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0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4299</xdr:row>
          <xdr:rowOff>0</xdr:rowOff>
        </xdr:from>
        <xdr:to>
          <xdr:col>7</xdr:col>
          <xdr:colOff>0</xdr:colOff>
          <xdr:row>4299</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0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4300</xdr:row>
          <xdr:rowOff>0</xdr:rowOff>
        </xdr:from>
        <xdr:to>
          <xdr:col>7</xdr:col>
          <xdr:colOff>0</xdr:colOff>
          <xdr:row>4300</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0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4301</xdr:row>
          <xdr:rowOff>0</xdr:rowOff>
        </xdr:from>
        <xdr:to>
          <xdr:col>7</xdr:col>
          <xdr:colOff>0</xdr:colOff>
          <xdr:row>4301</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0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4302</xdr:row>
          <xdr:rowOff>0</xdr:rowOff>
        </xdr:from>
        <xdr:to>
          <xdr:col>7</xdr:col>
          <xdr:colOff>0</xdr:colOff>
          <xdr:row>4302</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0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4303</xdr:row>
          <xdr:rowOff>0</xdr:rowOff>
        </xdr:from>
        <xdr:to>
          <xdr:col>7</xdr:col>
          <xdr:colOff>0</xdr:colOff>
          <xdr:row>4303</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0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4304</xdr:row>
          <xdr:rowOff>0</xdr:rowOff>
        </xdr:from>
        <xdr:to>
          <xdr:col>7</xdr:col>
          <xdr:colOff>0</xdr:colOff>
          <xdr:row>4304</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0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4305</xdr:row>
          <xdr:rowOff>0</xdr:rowOff>
        </xdr:from>
        <xdr:to>
          <xdr:col>7</xdr:col>
          <xdr:colOff>0</xdr:colOff>
          <xdr:row>4305</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0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4306</xdr:row>
          <xdr:rowOff>0</xdr:rowOff>
        </xdr:from>
        <xdr:to>
          <xdr:col>7</xdr:col>
          <xdr:colOff>0</xdr:colOff>
          <xdr:row>4306</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0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4307</xdr:row>
          <xdr:rowOff>0</xdr:rowOff>
        </xdr:from>
        <xdr:to>
          <xdr:col>7</xdr:col>
          <xdr:colOff>0</xdr:colOff>
          <xdr:row>4307</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0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4308</xdr:row>
          <xdr:rowOff>0</xdr:rowOff>
        </xdr:from>
        <xdr:to>
          <xdr:col>7</xdr:col>
          <xdr:colOff>0</xdr:colOff>
          <xdr:row>4308</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0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4309</xdr:row>
          <xdr:rowOff>0</xdr:rowOff>
        </xdr:from>
        <xdr:to>
          <xdr:col>7</xdr:col>
          <xdr:colOff>0</xdr:colOff>
          <xdr:row>4309</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0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4310</xdr:row>
          <xdr:rowOff>0</xdr:rowOff>
        </xdr:from>
        <xdr:to>
          <xdr:col>7</xdr:col>
          <xdr:colOff>0</xdr:colOff>
          <xdr:row>4310</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0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4311</xdr:row>
          <xdr:rowOff>0</xdr:rowOff>
        </xdr:from>
        <xdr:to>
          <xdr:col>7</xdr:col>
          <xdr:colOff>0</xdr:colOff>
          <xdr:row>4311</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0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4312</xdr:row>
          <xdr:rowOff>0</xdr:rowOff>
        </xdr:from>
        <xdr:to>
          <xdr:col>7</xdr:col>
          <xdr:colOff>0</xdr:colOff>
          <xdr:row>4312</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0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4313</xdr:row>
          <xdr:rowOff>0</xdr:rowOff>
        </xdr:from>
        <xdr:to>
          <xdr:col>7</xdr:col>
          <xdr:colOff>0</xdr:colOff>
          <xdr:row>4313</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0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4316</xdr:row>
          <xdr:rowOff>0</xdr:rowOff>
        </xdr:from>
        <xdr:to>
          <xdr:col>7</xdr:col>
          <xdr:colOff>0</xdr:colOff>
          <xdr:row>4317</xdr:row>
          <xdr:rowOff>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0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4323</xdr:row>
          <xdr:rowOff>0</xdr:rowOff>
        </xdr:from>
        <xdr:to>
          <xdr:col>7</xdr:col>
          <xdr:colOff>0</xdr:colOff>
          <xdr:row>4323</xdr:row>
          <xdr:rowOff>38100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0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4324</xdr:row>
          <xdr:rowOff>0</xdr:rowOff>
        </xdr:from>
        <xdr:to>
          <xdr:col>7</xdr:col>
          <xdr:colOff>0</xdr:colOff>
          <xdr:row>4324</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0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4325</xdr:row>
          <xdr:rowOff>0</xdr:rowOff>
        </xdr:from>
        <xdr:to>
          <xdr:col>7</xdr:col>
          <xdr:colOff>0</xdr:colOff>
          <xdr:row>4325</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0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4326</xdr:row>
          <xdr:rowOff>0</xdr:rowOff>
        </xdr:from>
        <xdr:to>
          <xdr:col>7</xdr:col>
          <xdr:colOff>0</xdr:colOff>
          <xdr:row>4326</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0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4327</xdr:row>
          <xdr:rowOff>0</xdr:rowOff>
        </xdr:from>
        <xdr:to>
          <xdr:col>7</xdr:col>
          <xdr:colOff>0</xdr:colOff>
          <xdr:row>4327</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0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4328</xdr:row>
          <xdr:rowOff>0</xdr:rowOff>
        </xdr:from>
        <xdr:to>
          <xdr:col>7</xdr:col>
          <xdr:colOff>0</xdr:colOff>
          <xdr:row>4328</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0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4329</xdr:row>
          <xdr:rowOff>0</xdr:rowOff>
        </xdr:from>
        <xdr:to>
          <xdr:col>7</xdr:col>
          <xdr:colOff>0</xdr:colOff>
          <xdr:row>4329</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0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4330</xdr:row>
          <xdr:rowOff>0</xdr:rowOff>
        </xdr:from>
        <xdr:to>
          <xdr:col>7</xdr:col>
          <xdr:colOff>0</xdr:colOff>
          <xdr:row>4330</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0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4331</xdr:row>
          <xdr:rowOff>0</xdr:rowOff>
        </xdr:from>
        <xdr:to>
          <xdr:col>7</xdr:col>
          <xdr:colOff>0</xdr:colOff>
          <xdr:row>4331</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0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4332</xdr:row>
          <xdr:rowOff>0</xdr:rowOff>
        </xdr:from>
        <xdr:to>
          <xdr:col>7</xdr:col>
          <xdr:colOff>0</xdr:colOff>
          <xdr:row>4332</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0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4333</xdr:row>
          <xdr:rowOff>0</xdr:rowOff>
        </xdr:from>
        <xdr:to>
          <xdr:col>7</xdr:col>
          <xdr:colOff>0</xdr:colOff>
          <xdr:row>4333</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0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4334</xdr:row>
          <xdr:rowOff>0</xdr:rowOff>
        </xdr:from>
        <xdr:to>
          <xdr:col>7</xdr:col>
          <xdr:colOff>0</xdr:colOff>
          <xdr:row>4334</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0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4335</xdr:row>
          <xdr:rowOff>0</xdr:rowOff>
        </xdr:from>
        <xdr:to>
          <xdr:col>7</xdr:col>
          <xdr:colOff>0</xdr:colOff>
          <xdr:row>4335</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0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4336</xdr:row>
          <xdr:rowOff>0</xdr:rowOff>
        </xdr:from>
        <xdr:to>
          <xdr:col>7</xdr:col>
          <xdr:colOff>0</xdr:colOff>
          <xdr:row>4336</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0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4337</xdr:row>
          <xdr:rowOff>0</xdr:rowOff>
        </xdr:from>
        <xdr:to>
          <xdr:col>7</xdr:col>
          <xdr:colOff>0</xdr:colOff>
          <xdr:row>4337</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0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4338</xdr:row>
          <xdr:rowOff>0</xdr:rowOff>
        </xdr:from>
        <xdr:to>
          <xdr:col>7</xdr:col>
          <xdr:colOff>0</xdr:colOff>
          <xdr:row>4338</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0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4339</xdr:row>
          <xdr:rowOff>0</xdr:rowOff>
        </xdr:from>
        <xdr:to>
          <xdr:col>7</xdr:col>
          <xdr:colOff>0</xdr:colOff>
          <xdr:row>4339</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0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4340</xdr:row>
          <xdr:rowOff>0</xdr:rowOff>
        </xdr:from>
        <xdr:to>
          <xdr:col>7</xdr:col>
          <xdr:colOff>0</xdr:colOff>
          <xdr:row>4340</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0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4341</xdr:row>
          <xdr:rowOff>0</xdr:rowOff>
        </xdr:from>
        <xdr:to>
          <xdr:col>7</xdr:col>
          <xdr:colOff>0</xdr:colOff>
          <xdr:row>4341</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0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4342</xdr:row>
          <xdr:rowOff>0</xdr:rowOff>
        </xdr:from>
        <xdr:to>
          <xdr:col>7</xdr:col>
          <xdr:colOff>0</xdr:colOff>
          <xdr:row>4342</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0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4343</xdr:row>
          <xdr:rowOff>0</xdr:rowOff>
        </xdr:from>
        <xdr:to>
          <xdr:col>7</xdr:col>
          <xdr:colOff>0</xdr:colOff>
          <xdr:row>4343</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0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4344</xdr:row>
          <xdr:rowOff>0</xdr:rowOff>
        </xdr:from>
        <xdr:to>
          <xdr:col>7</xdr:col>
          <xdr:colOff>0</xdr:colOff>
          <xdr:row>4344</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0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4345</xdr:row>
          <xdr:rowOff>0</xdr:rowOff>
        </xdr:from>
        <xdr:to>
          <xdr:col>7</xdr:col>
          <xdr:colOff>0</xdr:colOff>
          <xdr:row>4345</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0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4346</xdr:row>
          <xdr:rowOff>0</xdr:rowOff>
        </xdr:from>
        <xdr:to>
          <xdr:col>7</xdr:col>
          <xdr:colOff>0</xdr:colOff>
          <xdr:row>4346</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0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4347</xdr:row>
          <xdr:rowOff>0</xdr:rowOff>
        </xdr:from>
        <xdr:to>
          <xdr:col>7</xdr:col>
          <xdr:colOff>0</xdr:colOff>
          <xdr:row>4347</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0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4348</xdr:row>
          <xdr:rowOff>0</xdr:rowOff>
        </xdr:from>
        <xdr:to>
          <xdr:col>7</xdr:col>
          <xdr:colOff>0</xdr:colOff>
          <xdr:row>4348</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0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4349</xdr:row>
          <xdr:rowOff>0</xdr:rowOff>
        </xdr:from>
        <xdr:to>
          <xdr:col>7</xdr:col>
          <xdr:colOff>0</xdr:colOff>
          <xdr:row>4349</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0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4350</xdr:row>
          <xdr:rowOff>0</xdr:rowOff>
        </xdr:from>
        <xdr:to>
          <xdr:col>7</xdr:col>
          <xdr:colOff>0</xdr:colOff>
          <xdr:row>4350</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0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4351</xdr:row>
          <xdr:rowOff>0</xdr:rowOff>
        </xdr:from>
        <xdr:to>
          <xdr:col>7</xdr:col>
          <xdr:colOff>0</xdr:colOff>
          <xdr:row>4351</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0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4352</xdr:row>
          <xdr:rowOff>0</xdr:rowOff>
        </xdr:from>
        <xdr:to>
          <xdr:col>7</xdr:col>
          <xdr:colOff>0</xdr:colOff>
          <xdr:row>4352</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0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4353</xdr:row>
          <xdr:rowOff>0</xdr:rowOff>
        </xdr:from>
        <xdr:to>
          <xdr:col>7</xdr:col>
          <xdr:colOff>0</xdr:colOff>
          <xdr:row>4353</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0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4354</xdr:row>
          <xdr:rowOff>0</xdr:rowOff>
        </xdr:from>
        <xdr:to>
          <xdr:col>7</xdr:col>
          <xdr:colOff>0</xdr:colOff>
          <xdr:row>4354</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0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4355</xdr:row>
          <xdr:rowOff>0</xdr:rowOff>
        </xdr:from>
        <xdr:to>
          <xdr:col>7</xdr:col>
          <xdr:colOff>0</xdr:colOff>
          <xdr:row>4355</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0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4356</xdr:row>
          <xdr:rowOff>0</xdr:rowOff>
        </xdr:from>
        <xdr:to>
          <xdr:col>7</xdr:col>
          <xdr:colOff>0</xdr:colOff>
          <xdr:row>4356</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0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4357</xdr:row>
          <xdr:rowOff>0</xdr:rowOff>
        </xdr:from>
        <xdr:to>
          <xdr:col>7</xdr:col>
          <xdr:colOff>0</xdr:colOff>
          <xdr:row>4357</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0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4358</xdr:row>
          <xdr:rowOff>0</xdr:rowOff>
        </xdr:from>
        <xdr:to>
          <xdr:col>7</xdr:col>
          <xdr:colOff>0</xdr:colOff>
          <xdr:row>4358</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0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4359</xdr:row>
          <xdr:rowOff>0</xdr:rowOff>
        </xdr:from>
        <xdr:to>
          <xdr:col>7</xdr:col>
          <xdr:colOff>0</xdr:colOff>
          <xdr:row>4359</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0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4360</xdr:row>
          <xdr:rowOff>0</xdr:rowOff>
        </xdr:from>
        <xdr:to>
          <xdr:col>7</xdr:col>
          <xdr:colOff>0</xdr:colOff>
          <xdr:row>4360</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0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4361</xdr:row>
          <xdr:rowOff>0</xdr:rowOff>
        </xdr:from>
        <xdr:to>
          <xdr:col>7</xdr:col>
          <xdr:colOff>0</xdr:colOff>
          <xdr:row>4361</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0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4362</xdr:row>
          <xdr:rowOff>0</xdr:rowOff>
        </xdr:from>
        <xdr:to>
          <xdr:col>7</xdr:col>
          <xdr:colOff>0</xdr:colOff>
          <xdr:row>4362</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0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4363</xdr:row>
          <xdr:rowOff>0</xdr:rowOff>
        </xdr:from>
        <xdr:to>
          <xdr:col>7</xdr:col>
          <xdr:colOff>0</xdr:colOff>
          <xdr:row>4363</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0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4364</xdr:row>
          <xdr:rowOff>0</xdr:rowOff>
        </xdr:from>
        <xdr:to>
          <xdr:col>7</xdr:col>
          <xdr:colOff>0</xdr:colOff>
          <xdr:row>4364</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0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4365</xdr:row>
          <xdr:rowOff>0</xdr:rowOff>
        </xdr:from>
        <xdr:to>
          <xdr:col>7</xdr:col>
          <xdr:colOff>0</xdr:colOff>
          <xdr:row>4365</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0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4366</xdr:row>
          <xdr:rowOff>0</xdr:rowOff>
        </xdr:from>
        <xdr:to>
          <xdr:col>7</xdr:col>
          <xdr:colOff>0</xdr:colOff>
          <xdr:row>4366</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0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4367</xdr:row>
          <xdr:rowOff>0</xdr:rowOff>
        </xdr:from>
        <xdr:to>
          <xdr:col>7</xdr:col>
          <xdr:colOff>0</xdr:colOff>
          <xdr:row>4367</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0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4370</xdr:row>
          <xdr:rowOff>0</xdr:rowOff>
        </xdr:from>
        <xdr:to>
          <xdr:col>7</xdr:col>
          <xdr:colOff>0</xdr:colOff>
          <xdr:row>4371</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0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4377</xdr:row>
          <xdr:rowOff>0</xdr:rowOff>
        </xdr:from>
        <xdr:to>
          <xdr:col>7</xdr:col>
          <xdr:colOff>0</xdr:colOff>
          <xdr:row>4377</xdr:row>
          <xdr:rowOff>38100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0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4378</xdr:row>
          <xdr:rowOff>0</xdr:rowOff>
        </xdr:from>
        <xdr:to>
          <xdr:col>7</xdr:col>
          <xdr:colOff>0</xdr:colOff>
          <xdr:row>4378</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0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4379</xdr:row>
          <xdr:rowOff>0</xdr:rowOff>
        </xdr:from>
        <xdr:to>
          <xdr:col>7</xdr:col>
          <xdr:colOff>0</xdr:colOff>
          <xdr:row>4379</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0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4380</xdr:row>
          <xdr:rowOff>0</xdr:rowOff>
        </xdr:from>
        <xdr:to>
          <xdr:col>7</xdr:col>
          <xdr:colOff>0</xdr:colOff>
          <xdr:row>4380</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0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4381</xdr:row>
          <xdr:rowOff>0</xdr:rowOff>
        </xdr:from>
        <xdr:to>
          <xdr:col>7</xdr:col>
          <xdr:colOff>0</xdr:colOff>
          <xdr:row>4381</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0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4384</xdr:row>
          <xdr:rowOff>0</xdr:rowOff>
        </xdr:from>
        <xdr:to>
          <xdr:col>7</xdr:col>
          <xdr:colOff>0</xdr:colOff>
          <xdr:row>4385</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0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4391</xdr:row>
          <xdr:rowOff>0</xdr:rowOff>
        </xdr:from>
        <xdr:to>
          <xdr:col>7</xdr:col>
          <xdr:colOff>0</xdr:colOff>
          <xdr:row>4391</xdr:row>
          <xdr:rowOff>38100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0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4392</xdr:row>
          <xdr:rowOff>0</xdr:rowOff>
        </xdr:from>
        <xdr:to>
          <xdr:col>7</xdr:col>
          <xdr:colOff>0</xdr:colOff>
          <xdr:row>4392</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0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4393</xdr:row>
          <xdr:rowOff>0</xdr:rowOff>
        </xdr:from>
        <xdr:to>
          <xdr:col>7</xdr:col>
          <xdr:colOff>0</xdr:colOff>
          <xdr:row>4393</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0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4394</xdr:row>
          <xdr:rowOff>0</xdr:rowOff>
        </xdr:from>
        <xdr:to>
          <xdr:col>7</xdr:col>
          <xdr:colOff>0</xdr:colOff>
          <xdr:row>4394</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0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4395</xdr:row>
          <xdr:rowOff>0</xdr:rowOff>
        </xdr:from>
        <xdr:to>
          <xdr:col>7</xdr:col>
          <xdr:colOff>0</xdr:colOff>
          <xdr:row>4395</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0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4396</xdr:row>
          <xdr:rowOff>0</xdr:rowOff>
        </xdr:from>
        <xdr:to>
          <xdr:col>7</xdr:col>
          <xdr:colOff>0</xdr:colOff>
          <xdr:row>4396</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0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4397</xdr:row>
          <xdr:rowOff>0</xdr:rowOff>
        </xdr:from>
        <xdr:to>
          <xdr:col>7</xdr:col>
          <xdr:colOff>0</xdr:colOff>
          <xdr:row>4397</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0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4398</xdr:row>
          <xdr:rowOff>0</xdr:rowOff>
        </xdr:from>
        <xdr:to>
          <xdr:col>7</xdr:col>
          <xdr:colOff>0</xdr:colOff>
          <xdr:row>4398</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0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4399</xdr:row>
          <xdr:rowOff>0</xdr:rowOff>
        </xdr:from>
        <xdr:to>
          <xdr:col>7</xdr:col>
          <xdr:colOff>0</xdr:colOff>
          <xdr:row>4399</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0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4400</xdr:row>
          <xdr:rowOff>0</xdr:rowOff>
        </xdr:from>
        <xdr:to>
          <xdr:col>7</xdr:col>
          <xdr:colOff>0</xdr:colOff>
          <xdr:row>4400</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0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4401</xdr:row>
          <xdr:rowOff>0</xdr:rowOff>
        </xdr:from>
        <xdr:to>
          <xdr:col>7</xdr:col>
          <xdr:colOff>0</xdr:colOff>
          <xdr:row>4401</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0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4402</xdr:row>
          <xdr:rowOff>0</xdr:rowOff>
        </xdr:from>
        <xdr:to>
          <xdr:col>7</xdr:col>
          <xdr:colOff>0</xdr:colOff>
          <xdr:row>4402</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0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4403</xdr:row>
          <xdr:rowOff>0</xdr:rowOff>
        </xdr:from>
        <xdr:to>
          <xdr:col>7</xdr:col>
          <xdr:colOff>0</xdr:colOff>
          <xdr:row>4403</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0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4404</xdr:row>
          <xdr:rowOff>0</xdr:rowOff>
        </xdr:from>
        <xdr:to>
          <xdr:col>7</xdr:col>
          <xdr:colOff>0</xdr:colOff>
          <xdr:row>4404</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0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4405</xdr:row>
          <xdr:rowOff>0</xdr:rowOff>
        </xdr:from>
        <xdr:to>
          <xdr:col>7</xdr:col>
          <xdr:colOff>0</xdr:colOff>
          <xdr:row>4405</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0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4406</xdr:row>
          <xdr:rowOff>0</xdr:rowOff>
        </xdr:from>
        <xdr:to>
          <xdr:col>7</xdr:col>
          <xdr:colOff>0</xdr:colOff>
          <xdr:row>4406</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0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4407</xdr:row>
          <xdr:rowOff>0</xdr:rowOff>
        </xdr:from>
        <xdr:to>
          <xdr:col>7</xdr:col>
          <xdr:colOff>0</xdr:colOff>
          <xdr:row>4407</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0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4408</xdr:row>
          <xdr:rowOff>0</xdr:rowOff>
        </xdr:from>
        <xdr:to>
          <xdr:col>7</xdr:col>
          <xdr:colOff>0</xdr:colOff>
          <xdr:row>4408</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0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4409</xdr:row>
          <xdr:rowOff>0</xdr:rowOff>
        </xdr:from>
        <xdr:to>
          <xdr:col>7</xdr:col>
          <xdr:colOff>0</xdr:colOff>
          <xdr:row>4409</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0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4410</xdr:row>
          <xdr:rowOff>0</xdr:rowOff>
        </xdr:from>
        <xdr:to>
          <xdr:col>7</xdr:col>
          <xdr:colOff>0</xdr:colOff>
          <xdr:row>4410</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0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4411</xdr:row>
          <xdr:rowOff>0</xdr:rowOff>
        </xdr:from>
        <xdr:to>
          <xdr:col>7</xdr:col>
          <xdr:colOff>0</xdr:colOff>
          <xdr:row>4411</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0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4412</xdr:row>
          <xdr:rowOff>0</xdr:rowOff>
        </xdr:from>
        <xdr:to>
          <xdr:col>7</xdr:col>
          <xdr:colOff>0</xdr:colOff>
          <xdr:row>4412</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0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4413</xdr:row>
          <xdr:rowOff>0</xdr:rowOff>
        </xdr:from>
        <xdr:to>
          <xdr:col>7</xdr:col>
          <xdr:colOff>0</xdr:colOff>
          <xdr:row>4413</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0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4414</xdr:row>
          <xdr:rowOff>0</xdr:rowOff>
        </xdr:from>
        <xdr:to>
          <xdr:col>7</xdr:col>
          <xdr:colOff>0</xdr:colOff>
          <xdr:row>4414</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0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4415</xdr:row>
          <xdr:rowOff>0</xdr:rowOff>
        </xdr:from>
        <xdr:to>
          <xdr:col>7</xdr:col>
          <xdr:colOff>0</xdr:colOff>
          <xdr:row>4415</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0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4416</xdr:row>
          <xdr:rowOff>0</xdr:rowOff>
        </xdr:from>
        <xdr:to>
          <xdr:col>7</xdr:col>
          <xdr:colOff>0</xdr:colOff>
          <xdr:row>4416</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0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4417</xdr:row>
          <xdr:rowOff>0</xdr:rowOff>
        </xdr:from>
        <xdr:to>
          <xdr:col>7</xdr:col>
          <xdr:colOff>0</xdr:colOff>
          <xdr:row>4417</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0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4418</xdr:row>
          <xdr:rowOff>0</xdr:rowOff>
        </xdr:from>
        <xdr:to>
          <xdr:col>7</xdr:col>
          <xdr:colOff>0</xdr:colOff>
          <xdr:row>4418</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0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4419</xdr:row>
          <xdr:rowOff>0</xdr:rowOff>
        </xdr:from>
        <xdr:to>
          <xdr:col>7</xdr:col>
          <xdr:colOff>0</xdr:colOff>
          <xdr:row>4419</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0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4420</xdr:row>
          <xdr:rowOff>0</xdr:rowOff>
        </xdr:from>
        <xdr:to>
          <xdr:col>7</xdr:col>
          <xdr:colOff>0</xdr:colOff>
          <xdr:row>4420</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0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4421</xdr:row>
          <xdr:rowOff>0</xdr:rowOff>
        </xdr:from>
        <xdr:to>
          <xdr:col>7</xdr:col>
          <xdr:colOff>0</xdr:colOff>
          <xdr:row>4421</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0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4422</xdr:row>
          <xdr:rowOff>0</xdr:rowOff>
        </xdr:from>
        <xdr:to>
          <xdr:col>7</xdr:col>
          <xdr:colOff>0</xdr:colOff>
          <xdr:row>4422</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0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4423</xdr:row>
          <xdr:rowOff>0</xdr:rowOff>
        </xdr:from>
        <xdr:to>
          <xdr:col>7</xdr:col>
          <xdr:colOff>0</xdr:colOff>
          <xdr:row>4423</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0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4424</xdr:row>
          <xdr:rowOff>0</xdr:rowOff>
        </xdr:from>
        <xdr:to>
          <xdr:col>7</xdr:col>
          <xdr:colOff>0</xdr:colOff>
          <xdr:row>4424</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0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4425</xdr:row>
          <xdr:rowOff>0</xdr:rowOff>
        </xdr:from>
        <xdr:to>
          <xdr:col>7</xdr:col>
          <xdr:colOff>0</xdr:colOff>
          <xdr:row>4425</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0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4426</xdr:row>
          <xdr:rowOff>0</xdr:rowOff>
        </xdr:from>
        <xdr:to>
          <xdr:col>7</xdr:col>
          <xdr:colOff>0</xdr:colOff>
          <xdr:row>4426</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0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4427</xdr:row>
          <xdr:rowOff>0</xdr:rowOff>
        </xdr:from>
        <xdr:to>
          <xdr:col>7</xdr:col>
          <xdr:colOff>0</xdr:colOff>
          <xdr:row>4427</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0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4428</xdr:row>
          <xdr:rowOff>0</xdr:rowOff>
        </xdr:from>
        <xdr:to>
          <xdr:col>7</xdr:col>
          <xdr:colOff>0</xdr:colOff>
          <xdr:row>4428</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0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4429</xdr:row>
          <xdr:rowOff>0</xdr:rowOff>
        </xdr:from>
        <xdr:to>
          <xdr:col>7</xdr:col>
          <xdr:colOff>0</xdr:colOff>
          <xdr:row>4429</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0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4430</xdr:row>
          <xdr:rowOff>0</xdr:rowOff>
        </xdr:from>
        <xdr:to>
          <xdr:col>7</xdr:col>
          <xdr:colOff>0</xdr:colOff>
          <xdr:row>4430</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0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4431</xdr:row>
          <xdr:rowOff>0</xdr:rowOff>
        </xdr:from>
        <xdr:to>
          <xdr:col>7</xdr:col>
          <xdr:colOff>0</xdr:colOff>
          <xdr:row>4431</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0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4432</xdr:row>
          <xdr:rowOff>0</xdr:rowOff>
        </xdr:from>
        <xdr:to>
          <xdr:col>7</xdr:col>
          <xdr:colOff>0</xdr:colOff>
          <xdr:row>4432</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0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4433</xdr:row>
          <xdr:rowOff>0</xdr:rowOff>
        </xdr:from>
        <xdr:to>
          <xdr:col>7</xdr:col>
          <xdr:colOff>0</xdr:colOff>
          <xdr:row>4433</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0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4434</xdr:row>
          <xdr:rowOff>0</xdr:rowOff>
        </xdr:from>
        <xdr:to>
          <xdr:col>7</xdr:col>
          <xdr:colOff>0</xdr:colOff>
          <xdr:row>4434</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0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4435</xdr:row>
          <xdr:rowOff>0</xdr:rowOff>
        </xdr:from>
        <xdr:to>
          <xdr:col>7</xdr:col>
          <xdr:colOff>0</xdr:colOff>
          <xdr:row>4435</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0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4436</xdr:row>
          <xdr:rowOff>0</xdr:rowOff>
        </xdr:from>
        <xdr:to>
          <xdr:col>7</xdr:col>
          <xdr:colOff>0</xdr:colOff>
          <xdr:row>4436</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0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4437</xdr:row>
          <xdr:rowOff>0</xdr:rowOff>
        </xdr:from>
        <xdr:to>
          <xdr:col>7</xdr:col>
          <xdr:colOff>0</xdr:colOff>
          <xdr:row>4437</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0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4438</xdr:row>
          <xdr:rowOff>0</xdr:rowOff>
        </xdr:from>
        <xdr:to>
          <xdr:col>7</xdr:col>
          <xdr:colOff>0</xdr:colOff>
          <xdr:row>4438</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0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4439</xdr:row>
          <xdr:rowOff>0</xdr:rowOff>
        </xdr:from>
        <xdr:to>
          <xdr:col>7</xdr:col>
          <xdr:colOff>0</xdr:colOff>
          <xdr:row>4439</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0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4440</xdr:row>
          <xdr:rowOff>0</xdr:rowOff>
        </xdr:from>
        <xdr:to>
          <xdr:col>7</xdr:col>
          <xdr:colOff>0</xdr:colOff>
          <xdr:row>4440</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0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4441</xdr:row>
          <xdr:rowOff>0</xdr:rowOff>
        </xdr:from>
        <xdr:to>
          <xdr:col>7</xdr:col>
          <xdr:colOff>0</xdr:colOff>
          <xdr:row>4441</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0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4442</xdr:row>
          <xdr:rowOff>0</xdr:rowOff>
        </xdr:from>
        <xdr:to>
          <xdr:col>7</xdr:col>
          <xdr:colOff>0</xdr:colOff>
          <xdr:row>4442</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0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4443</xdr:row>
          <xdr:rowOff>0</xdr:rowOff>
        </xdr:from>
        <xdr:to>
          <xdr:col>7</xdr:col>
          <xdr:colOff>0</xdr:colOff>
          <xdr:row>4443</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0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4444</xdr:row>
          <xdr:rowOff>0</xdr:rowOff>
        </xdr:from>
        <xdr:to>
          <xdr:col>7</xdr:col>
          <xdr:colOff>0</xdr:colOff>
          <xdr:row>4444</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0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4445</xdr:row>
          <xdr:rowOff>0</xdr:rowOff>
        </xdr:from>
        <xdr:to>
          <xdr:col>7</xdr:col>
          <xdr:colOff>0</xdr:colOff>
          <xdr:row>4445</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0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4446</xdr:row>
          <xdr:rowOff>0</xdr:rowOff>
        </xdr:from>
        <xdr:to>
          <xdr:col>7</xdr:col>
          <xdr:colOff>0</xdr:colOff>
          <xdr:row>4446</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0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4447</xdr:row>
          <xdr:rowOff>0</xdr:rowOff>
        </xdr:from>
        <xdr:to>
          <xdr:col>7</xdr:col>
          <xdr:colOff>0</xdr:colOff>
          <xdr:row>4447</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0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4448</xdr:row>
          <xdr:rowOff>0</xdr:rowOff>
        </xdr:from>
        <xdr:to>
          <xdr:col>7</xdr:col>
          <xdr:colOff>0</xdr:colOff>
          <xdr:row>4448</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0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4451</xdr:row>
          <xdr:rowOff>0</xdr:rowOff>
        </xdr:from>
        <xdr:to>
          <xdr:col>7</xdr:col>
          <xdr:colOff>0</xdr:colOff>
          <xdr:row>4452</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0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4458</xdr:row>
          <xdr:rowOff>0</xdr:rowOff>
        </xdr:from>
        <xdr:to>
          <xdr:col>7</xdr:col>
          <xdr:colOff>0</xdr:colOff>
          <xdr:row>4458</xdr:row>
          <xdr:rowOff>38100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0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4459</xdr:row>
          <xdr:rowOff>0</xdr:rowOff>
        </xdr:from>
        <xdr:to>
          <xdr:col>7</xdr:col>
          <xdr:colOff>0</xdr:colOff>
          <xdr:row>4459</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0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4460</xdr:row>
          <xdr:rowOff>0</xdr:rowOff>
        </xdr:from>
        <xdr:to>
          <xdr:col>7</xdr:col>
          <xdr:colOff>0</xdr:colOff>
          <xdr:row>4460</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0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4461</xdr:row>
          <xdr:rowOff>0</xdr:rowOff>
        </xdr:from>
        <xdr:to>
          <xdr:col>7</xdr:col>
          <xdr:colOff>0</xdr:colOff>
          <xdr:row>4461</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0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4462</xdr:row>
          <xdr:rowOff>0</xdr:rowOff>
        </xdr:from>
        <xdr:to>
          <xdr:col>7</xdr:col>
          <xdr:colOff>0</xdr:colOff>
          <xdr:row>4462</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0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4463</xdr:row>
          <xdr:rowOff>0</xdr:rowOff>
        </xdr:from>
        <xdr:to>
          <xdr:col>7</xdr:col>
          <xdr:colOff>0</xdr:colOff>
          <xdr:row>4463</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0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4464</xdr:row>
          <xdr:rowOff>0</xdr:rowOff>
        </xdr:from>
        <xdr:to>
          <xdr:col>7</xdr:col>
          <xdr:colOff>0</xdr:colOff>
          <xdr:row>4464</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0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4467</xdr:row>
          <xdr:rowOff>0</xdr:rowOff>
        </xdr:from>
        <xdr:to>
          <xdr:col>7</xdr:col>
          <xdr:colOff>0</xdr:colOff>
          <xdr:row>4468</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0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4474</xdr:row>
          <xdr:rowOff>0</xdr:rowOff>
        </xdr:from>
        <xdr:to>
          <xdr:col>7</xdr:col>
          <xdr:colOff>0</xdr:colOff>
          <xdr:row>4474</xdr:row>
          <xdr:rowOff>38100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0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4475</xdr:row>
          <xdr:rowOff>0</xdr:rowOff>
        </xdr:from>
        <xdr:to>
          <xdr:col>7</xdr:col>
          <xdr:colOff>0</xdr:colOff>
          <xdr:row>4475</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0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4476</xdr:row>
          <xdr:rowOff>0</xdr:rowOff>
        </xdr:from>
        <xdr:to>
          <xdr:col>7</xdr:col>
          <xdr:colOff>0</xdr:colOff>
          <xdr:row>4476</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0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4477</xdr:row>
          <xdr:rowOff>0</xdr:rowOff>
        </xdr:from>
        <xdr:to>
          <xdr:col>7</xdr:col>
          <xdr:colOff>0</xdr:colOff>
          <xdr:row>4477</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0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4478</xdr:row>
          <xdr:rowOff>0</xdr:rowOff>
        </xdr:from>
        <xdr:to>
          <xdr:col>7</xdr:col>
          <xdr:colOff>0</xdr:colOff>
          <xdr:row>4478</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0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4479</xdr:row>
          <xdr:rowOff>0</xdr:rowOff>
        </xdr:from>
        <xdr:to>
          <xdr:col>7</xdr:col>
          <xdr:colOff>0</xdr:colOff>
          <xdr:row>4479</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0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4480</xdr:row>
          <xdr:rowOff>0</xdr:rowOff>
        </xdr:from>
        <xdr:to>
          <xdr:col>7</xdr:col>
          <xdr:colOff>0</xdr:colOff>
          <xdr:row>4480</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0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4481</xdr:row>
          <xdr:rowOff>0</xdr:rowOff>
        </xdr:from>
        <xdr:to>
          <xdr:col>7</xdr:col>
          <xdr:colOff>0</xdr:colOff>
          <xdr:row>4481</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0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4482</xdr:row>
          <xdr:rowOff>0</xdr:rowOff>
        </xdr:from>
        <xdr:to>
          <xdr:col>7</xdr:col>
          <xdr:colOff>0</xdr:colOff>
          <xdr:row>4482</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0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4483</xdr:row>
          <xdr:rowOff>0</xdr:rowOff>
        </xdr:from>
        <xdr:to>
          <xdr:col>7</xdr:col>
          <xdr:colOff>0</xdr:colOff>
          <xdr:row>4483</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0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4484</xdr:row>
          <xdr:rowOff>0</xdr:rowOff>
        </xdr:from>
        <xdr:to>
          <xdr:col>7</xdr:col>
          <xdr:colOff>0</xdr:colOff>
          <xdr:row>4484</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0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4485</xdr:row>
          <xdr:rowOff>0</xdr:rowOff>
        </xdr:from>
        <xdr:to>
          <xdr:col>7</xdr:col>
          <xdr:colOff>0</xdr:colOff>
          <xdr:row>4485</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0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4486</xdr:row>
          <xdr:rowOff>0</xdr:rowOff>
        </xdr:from>
        <xdr:to>
          <xdr:col>7</xdr:col>
          <xdr:colOff>0</xdr:colOff>
          <xdr:row>4486</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0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4487</xdr:row>
          <xdr:rowOff>0</xdr:rowOff>
        </xdr:from>
        <xdr:to>
          <xdr:col>7</xdr:col>
          <xdr:colOff>0</xdr:colOff>
          <xdr:row>4487</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0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4488</xdr:row>
          <xdr:rowOff>0</xdr:rowOff>
        </xdr:from>
        <xdr:to>
          <xdr:col>7</xdr:col>
          <xdr:colOff>0</xdr:colOff>
          <xdr:row>4488</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0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4489</xdr:row>
          <xdr:rowOff>0</xdr:rowOff>
        </xdr:from>
        <xdr:to>
          <xdr:col>7</xdr:col>
          <xdr:colOff>0</xdr:colOff>
          <xdr:row>4489</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0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4490</xdr:row>
          <xdr:rowOff>0</xdr:rowOff>
        </xdr:from>
        <xdr:to>
          <xdr:col>7</xdr:col>
          <xdr:colOff>0</xdr:colOff>
          <xdr:row>4490</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0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4491</xdr:row>
          <xdr:rowOff>0</xdr:rowOff>
        </xdr:from>
        <xdr:to>
          <xdr:col>7</xdr:col>
          <xdr:colOff>0</xdr:colOff>
          <xdr:row>4491</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0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4492</xdr:row>
          <xdr:rowOff>0</xdr:rowOff>
        </xdr:from>
        <xdr:to>
          <xdr:col>7</xdr:col>
          <xdr:colOff>0</xdr:colOff>
          <xdr:row>4492</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0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4493</xdr:row>
          <xdr:rowOff>0</xdr:rowOff>
        </xdr:from>
        <xdr:to>
          <xdr:col>7</xdr:col>
          <xdr:colOff>0</xdr:colOff>
          <xdr:row>4493</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0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4494</xdr:row>
          <xdr:rowOff>0</xdr:rowOff>
        </xdr:from>
        <xdr:to>
          <xdr:col>7</xdr:col>
          <xdr:colOff>0</xdr:colOff>
          <xdr:row>4494</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0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4495</xdr:row>
          <xdr:rowOff>0</xdr:rowOff>
        </xdr:from>
        <xdr:to>
          <xdr:col>7</xdr:col>
          <xdr:colOff>0</xdr:colOff>
          <xdr:row>4495</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0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4496</xdr:row>
          <xdr:rowOff>0</xdr:rowOff>
        </xdr:from>
        <xdr:to>
          <xdr:col>7</xdr:col>
          <xdr:colOff>0</xdr:colOff>
          <xdr:row>4496</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0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4497</xdr:row>
          <xdr:rowOff>0</xdr:rowOff>
        </xdr:from>
        <xdr:to>
          <xdr:col>7</xdr:col>
          <xdr:colOff>0</xdr:colOff>
          <xdr:row>4497</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0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4498</xdr:row>
          <xdr:rowOff>0</xdr:rowOff>
        </xdr:from>
        <xdr:to>
          <xdr:col>7</xdr:col>
          <xdr:colOff>0</xdr:colOff>
          <xdr:row>4498</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0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4499</xdr:row>
          <xdr:rowOff>0</xdr:rowOff>
        </xdr:from>
        <xdr:to>
          <xdr:col>7</xdr:col>
          <xdr:colOff>0</xdr:colOff>
          <xdr:row>4499</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0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4500</xdr:row>
          <xdr:rowOff>0</xdr:rowOff>
        </xdr:from>
        <xdr:to>
          <xdr:col>7</xdr:col>
          <xdr:colOff>0</xdr:colOff>
          <xdr:row>4500</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0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4501</xdr:row>
          <xdr:rowOff>0</xdr:rowOff>
        </xdr:from>
        <xdr:to>
          <xdr:col>7</xdr:col>
          <xdr:colOff>0</xdr:colOff>
          <xdr:row>4501</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0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4502</xdr:row>
          <xdr:rowOff>0</xdr:rowOff>
        </xdr:from>
        <xdr:to>
          <xdr:col>7</xdr:col>
          <xdr:colOff>0</xdr:colOff>
          <xdr:row>4502</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0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4503</xdr:row>
          <xdr:rowOff>0</xdr:rowOff>
        </xdr:from>
        <xdr:to>
          <xdr:col>7</xdr:col>
          <xdr:colOff>0</xdr:colOff>
          <xdr:row>4503</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0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4504</xdr:row>
          <xdr:rowOff>0</xdr:rowOff>
        </xdr:from>
        <xdr:to>
          <xdr:col>7</xdr:col>
          <xdr:colOff>0</xdr:colOff>
          <xdr:row>4504</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0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4505</xdr:row>
          <xdr:rowOff>0</xdr:rowOff>
        </xdr:from>
        <xdr:to>
          <xdr:col>7</xdr:col>
          <xdr:colOff>0</xdr:colOff>
          <xdr:row>4505</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0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4506</xdr:row>
          <xdr:rowOff>0</xdr:rowOff>
        </xdr:from>
        <xdr:to>
          <xdr:col>7</xdr:col>
          <xdr:colOff>0</xdr:colOff>
          <xdr:row>4506</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4507</xdr:row>
          <xdr:rowOff>0</xdr:rowOff>
        </xdr:from>
        <xdr:to>
          <xdr:col>7</xdr:col>
          <xdr:colOff>0</xdr:colOff>
          <xdr:row>4507</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4510</xdr:row>
          <xdr:rowOff>0</xdr:rowOff>
        </xdr:from>
        <xdr:to>
          <xdr:col>7</xdr:col>
          <xdr:colOff>0</xdr:colOff>
          <xdr:row>4511</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4517</xdr:row>
          <xdr:rowOff>0</xdr:rowOff>
        </xdr:from>
        <xdr:to>
          <xdr:col>7</xdr:col>
          <xdr:colOff>0</xdr:colOff>
          <xdr:row>4517</xdr:row>
          <xdr:rowOff>38100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4518</xdr:row>
          <xdr:rowOff>0</xdr:rowOff>
        </xdr:from>
        <xdr:to>
          <xdr:col>7</xdr:col>
          <xdr:colOff>0</xdr:colOff>
          <xdr:row>4518</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4521</xdr:row>
          <xdr:rowOff>0</xdr:rowOff>
        </xdr:from>
        <xdr:to>
          <xdr:col>7</xdr:col>
          <xdr:colOff>0</xdr:colOff>
          <xdr:row>4522</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4528</xdr:row>
          <xdr:rowOff>0</xdr:rowOff>
        </xdr:from>
        <xdr:to>
          <xdr:col>7</xdr:col>
          <xdr:colOff>0</xdr:colOff>
          <xdr:row>4528</xdr:row>
          <xdr:rowOff>38100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4529</xdr:row>
          <xdr:rowOff>0</xdr:rowOff>
        </xdr:from>
        <xdr:to>
          <xdr:col>7</xdr:col>
          <xdr:colOff>0</xdr:colOff>
          <xdr:row>4529</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4534</xdr:row>
          <xdr:rowOff>0</xdr:rowOff>
        </xdr:from>
        <xdr:to>
          <xdr:col>1</xdr:col>
          <xdr:colOff>809625</xdr:colOff>
          <xdr:row>4535</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9460" name="Button 4" hidden="1">
              <a:extLst>
                <a:ext uri="{63B3BB69-23CF-44E3-9099-C40C66FF867C}">
                  <a14:compatExt spid="_x0000_s19460"/>
                </a:ext>
                <a:ext uri="{FF2B5EF4-FFF2-40B4-BE49-F238E27FC236}">
                  <a16:creationId xmlns:a16="http://schemas.microsoft.com/office/drawing/2014/main" id="{00000000-0008-0000-0200-000004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9459" name="Button 3" hidden="1">
              <a:extLst>
                <a:ext uri="{63B3BB69-23CF-44E3-9099-C40C66FF867C}">
                  <a14:compatExt spid="_x0000_s19459"/>
                </a:ext>
                <a:ext uri="{FF2B5EF4-FFF2-40B4-BE49-F238E27FC236}">
                  <a16:creationId xmlns:a16="http://schemas.microsoft.com/office/drawing/2014/main" id="{00000000-0008-0000-0200-000003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9458" name="Button 2"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0000000}" name="Table46" displayName="Table46" ref="A1022:F1023"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09000000}" name="Table111" displayName="Table111" ref="A2128:F2129"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63000000}" name="Table102" displayName="Table102" ref="A2029:F2030"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3" xr:uid="{00000000-000C-0000-FFFF-FFFF64000000}" name="Table173" displayName="Table173" ref="A3240:F3241"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65000000}" name="Table125" displayName="Table125" ref="A2348:F2349"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66000000}" name="Table32" displayName="Table32" ref="A789:F839"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00000000-000C-0000-FFFF-FFFF67000000}" name="Table174" displayName="Table174" ref="A3251:F3263"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68000000}" name="Table117" displayName="Table117" ref="A2234:F2236"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2" xr:uid="{00000000-000C-0000-FFFF-FFFF69000000}" name="Table232" displayName="Table232" ref="A4529:F4530"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6A000000}" name="Table121" displayName="Table121" ref="A2279:F2294"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8" xr:uid="{00000000-000C-0000-FFFF-FFFF6B000000}" name="Table198" displayName="Table198" ref="A3531:F3533"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 xr:uid="{00000000-000C-0000-FFFF-FFFF6C000000}" name="Table177" displayName="Table177" ref="A3295:F3296"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A000000}" name="Table10" displayName="Table10" ref="A111:F118"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00000000-000C-0000-FFFF-FFFF6D000000}" name="Table168" displayName="Table168" ref="A3129:F3130"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00000000-000C-0000-FFFF-FFFF6E000000}" name="Table172" displayName="Table172" ref="A3227:F3230"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6F000000}" name="Table13" displayName="Table13" ref="A161:F171"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70000000}" name="Table14" displayName="Table14" ref="A181:F244" totalsRowShown="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00000000-000C-0000-FFFF-FFFF71000000}" name="Table154" displayName="Table154" ref="A2831:F2832" totalsRowShown="0">
  <tableColumns count="6">
    <tableColumn id="1" xr3:uid="{00000000-0010-0000-7100-000001000000}" name="CÓDIGO CATÁLOGO"/>
    <tableColumn id="2" xr3:uid="{00000000-0010-0000-7100-000002000000}" name="ARTÍCULO"/>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0" xr:uid="{00000000-000C-0000-FFFF-FFFF72000000}" name="Table210" displayName="Table210" ref="A3827:F3847" totalsRowShown="0">
  <tableColumns count="6">
    <tableColumn id="1" xr3:uid="{00000000-0010-0000-7200-000001000000}" name="CÓDIGO CATÁLOGO"/>
    <tableColumn id="2" xr3:uid="{00000000-0010-0000-7200-000002000000}" name="ARTÍCULO"/>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1" xr:uid="{00000000-000C-0000-FFFF-FFFF73000000}" name="Table221" displayName="Table221" ref="A4137:F4142" totalsRowShown="0">
  <tableColumns count="6">
    <tableColumn id="1" xr3:uid="{00000000-0010-0000-7300-000001000000}" name="CÓDIGO CATÁLOGO"/>
    <tableColumn id="2" xr3:uid="{00000000-0010-0000-7300-000002000000}" name="ARTÍCULO"/>
    <tableColumn id="3" xr3:uid="{00000000-0010-0000-7300-000003000000}" name="UNIDAD DE MEDIDA"/>
    <tableColumn id="4" xr3:uid="{00000000-0010-0000-7300-000004000000}" name="CANTIDAD TOTAL ESTIMADA"/>
    <tableColumn id="5" xr3:uid="{00000000-0010-0000-7300-000005000000}" name="PRECIO UNITARIO ESTIMADO"/>
    <tableColumn id="6" xr3:uid="{00000000-0010-0000-7300-000006000000}" name="MONTO TOTAL ESTIMADO"/>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0" xr:uid="{00000000-000C-0000-FFFF-FFFF74000000}" name="Table220" displayName="Table220" ref="A4083:F4127" totalsRowShown="0">
  <tableColumns count="6">
    <tableColumn id="1" xr3:uid="{00000000-0010-0000-7400-000001000000}" name="CÓDIGO CATÁLOGO"/>
    <tableColumn id="2" xr3:uid="{00000000-0010-0000-7400-000002000000}" name="ARTÍCULO"/>
    <tableColumn id="3" xr3:uid="{00000000-0010-0000-7400-000003000000}" name="UNIDAD DE MEDIDA"/>
    <tableColumn id="4" xr3:uid="{00000000-0010-0000-7400-000004000000}" name="CANTIDAD TOTAL ESTIMADA"/>
    <tableColumn id="5" xr3:uid="{00000000-0010-0000-7400-000005000000}" name="PRECIO UNITARIO ESTIMADO"/>
    <tableColumn id="6" xr3:uid="{00000000-0010-0000-7400-000006000000}" name="MONTO TOTAL ESTIMADO"/>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75000000}" name="Table35" displayName="Table35" ref="A876:F878" totalsRowShown="0">
  <tableColumns count="6">
    <tableColumn id="1" xr3:uid="{00000000-0010-0000-7500-000001000000}" name="CÓDIGO CATÁLOGO"/>
    <tableColumn id="2" xr3:uid="{00000000-0010-0000-7500-000002000000}" name="ARTÍCULO"/>
    <tableColumn id="3" xr3:uid="{00000000-0010-0000-7500-000003000000}" name="UNIDAD DE MEDIDA"/>
    <tableColumn id="4" xr3:uid="{00000000-0010-0000-7500-000004000000}" name="CANTIDAD TOTAL ESTIMADA"/>
    <tableColumn id="5" xr3:uid="{00000000-0010-0000-7500-000005000000}" name="PRECIO UNITARIO ESTIMADO"/>
    <tableColumn id="6" xr3:uid="{00000000-0010-0000-7500-000006000000}" name="MONTO TOTAL ESTIMADO"/>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00000000-000C-0000-FFFF-FFFF76000000}" name="Table152" displayName="Table152" ref="A2803:F2805" totalsRowShown="0">
  <tableColumns count="6">
    <tableColumn id="1" xr3:uid="{00000000-0010-0000-7600-000001000000}" name="CÓDIGO CATÁLOGO"/>
    <tableColumn id="2" xr3:uid="{00000000-0010-0000-7600-000002000000}" name="ARTÍCULO"/>
    <tableColumn id="3" xr3:uid="{00000000-0010-0000-7600-000003000000}" name="UNIDAD DE MEDIDA"/>
    <tableColumn id="4" xr3:uid="{00000000-0010-0000-7600-000004000000}" name="CANTIDAD TOTAL ESTIMADA"/>
    <tableColumn id="5" xr3:uid="{00000000-0010-0000-7600-000005000000}" name="PRECIO UNITARIO ESTIMADO"/>
    <tableColumn id="6" xr3:uid="{00000000-0010-0000-76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0B000000}" name="Table131" displayName="Table131" ref="A2425:F2449"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00000000-000C-0000-FFFF-FFFF77000000}" name="Table148" displayName="Table148" ref="A2736:F2737" totalsRowShown="0">
  <tableColumns count="6">
    <tableColumn id="1" xr3:uid="{00000000-0010-0000-7700-000001000000}" name="CÓDIGO CATÁLOGO"/>
    <tableColumn id="2" xr3:uid="{00000000-0010-0000-7700-000002000000}" name="ARTÍCULO"/>
    <tableColumn id="3" xr3:uid="{00000000-0010-0000-7700-000003000000}" name="UNIDAD DE MEDIDA"/>
    <tableColumn id="4" xr3:uid="{00000000-0010-0000-7700-000004000000}" name="CANTIDAD TOTAL ESTIMADA"/>
    <tableColumn id="5" xr3:uid="{00000000-0010-0000-7700-000005000000}" name="PRECIO UNITARIO ESTIMADO"/>
    <tableColumn id="6" xr3:uid="{00000000-0010-0000-7700-000006000000}" name="MONTO TOTAL ESTIMADO"/>
  </tableColumns>
  <tableStyleInfo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78000000}" name="Table17" displayName="Table17" ref="A276:F277" totalsRowShown="0">
  <tableColumns count="6">
    <tableColumn id="1" xr3:uid="{00000000-0010-0000-7800-000001000000}" name="CÓDIGO CATÁLOGO"/>
    <tableColumn id="2" xr3:uid="{00000000-0010-0000-7800-000002000000}" name="ARTÍCULO"/>
    <tableColumn id="3" xr3:uid="{00000000-0010-0000-7800-000003000000}" name="UNIDAD DE MEDIDA"/>
    <tableColumn id="4" xr3:uid="{00000000-0010-0000-7800-000004000000}" name="CANTIDAD TOTAL ESTIMADA"/>
    <tableColumn id="5" xr3:uid="{00000000-0010-0000-7800-000005000000}" name="PRECIO UNITARIO ESTIMADO"/>
    <tableColumn id="6" xr3:uid="{00000000-0010-0000-7800-000006000000}" name="MONTO TOTAL ESTIMADO"/>
  </tableColumns>
  <tableStyleInfo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79000000}" name="Table116" displayName="Table116" ref="A2223:F2224" totalsRowShown="0">
  <tableColumns count="6">
    <tableColumn id="1" xr3:uid="{00000000-0010-0000-7900-000001000000}" name="CÓDIGO CATÁLOGO"/>
    <tableColumn id="2" xr3:uid="{00000000-0010-0000-7900-000002000000}" name="ARTÍCULO"/>
    <tableColumn id="3" xr3:uid="{00000000-0010-0000-7900-000003000000}" name="UNIDAD DE MEDIDA"/>
    <tableColumn id="4" xr3:uid="{00000000-0010-0000-7900-000004000000}" name="CANTIDAD TOTAL ESTIMADA"/>
    <tableColumn id="5" xr3:uid="{00000000-0010-0000-7900-000005000000}" name="PRECIO UNITARIO ESTIMADO"/>
    <tableColumn id="6" xr3:uid="{00000000-0010-0000-7900-000006000000}" name="MONTO TOTAL ESTIMADO"/>
  </tableColumns>
  <tableStyleInfo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7A000000}" name="Table112" displayName="Table112" ref="A2139:F2140" totalsRowShown="0">
  <tableColumns count="6">
    <tableColumn id="1" xr3:uid="{00000000-0010-0000-7A00-000001000000}" name="CÓDIGO CATÁLOGO"/>
    <tableColumn id="2" xr3:uid="{00000000-0010-0000-7A00-000002000000}" name="ARTÍCULO"/>
    <tableColumn id="3" xr3:uid="{00000000-0010-0000-7A00-000003000000}" name="UNIDAD DE MEDIDA"/>
    <tableColumn id="4" xr3:uid="{00000000-0010-0000-7A00-000004000000}" name="CANTIDAD TOTAL ESTIMADA"/>
    <tableColumn id="5" xr3:uid="{00000000-0010-0000-7A00-000005000000}" name="PRECIO UNITARIO ESTIMADO"/>
    <tableColumn id="6" xr3:uid="{00000000-0010-0000-7A00-000006000000}" name="MONTO TOTAL ESTIMADO"/>
  </tableColumns>
  <tableStyleInfo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7B000000}" name="Table82" displayName="Table82" ref="A1640:F1641" totalsRowShown="0">
  <tableColumns count="6">
    <tableColumn id="1" xr3:uid="{00000000-0010-0000-7B00-000001000000}" name="CÓDIGO CATÁLOGO"/>
    <tableColumn id="2" xr3:uid="{00000000-0010-0000-7B00-000002000000}" name="ARTÍCULO"/>
    <tableColumn id="3" xr3:uid="{00000000-0010-0000-7B00-000003000000}" name="UNIDAD DE MEDIDA"/>
    <tableColumn id="4" xr3:uid="{00000000-0010-0000-7B00-000004000000}" name="CANTIDAD TOTAL ESTIMADA"/>
    <tableColumn id="5" xr3:uid="{00000000-0010-0000-7B00-000005000000}" name="PRECIO UNITARIO ESTIMADO"/>
    <tableColumn id="6" xr3:uid="{00000000-0010-0000-7B00-000006000000}" name="MONTO TOTAL ESTIMADO"/>
  </tableColumns>
  <tableStyleInfo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7C000000}" name="Table24" displayName="Table24" ref="A531:F574" totalsRowShown="0">
  <tableColumns count="6">
    <tableColumn id="1" xr3:uid="{00000000-0010-0000-7C00-000001000000}" name="CÓDIGO CATÁLOGO"/>
    <tableColumn id="2" xr3:uid="{00000000-0010-0000-7C00-000002000000}" name="ARTÍCULO"/>
    <tableColumn id="3" xr3:uid="{00000000-0010-0000-7C00-000003000000}" name="UNIDAD DE MEDIDA"/>
    <tableColumn id="4" xr3:uid="{00000000-0010-0000-7C00-000004000000}" name="CANTIDAD TOTAL ESTIMADA"/>
    <tableColumn id="5" xr3:uid="{00000000-0010-0000-7C00-000005000000}" name="PRECIO UNITARIO ESTIMADO"/>
    <tableColumn id="6" xr3:uid="{00000000-0010-0000-7C00-000006000000}" name="MONTO TOTAL ESTIMADO"/>
  </tableColumns>
  <tableStyleInfo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7D000000}" name="Table77" displayName="Table77" ref="A1561:F1562" totalsRowShown="0">
  <tableColumns count="6">
    <tableColumn id="1" xr3:uid="{00000000-0010-0000-7D00-000001000000}" name="CÓDIGO CATÁLOGO"/>
    <tableColumn id="2" xr3:uid="{00000000-0010-0000-7D00-000002000000}" name="ARTÍCULO"/>
    <tableColumn id="3" xr3:uid="{00000000-0010-0000-7D00-000003000000}" name="UNIDAD DE MEDIDA"/>
    <tableColumn id="4" xr3:uid="{00000000-0010-0000-7D00-000004000000}" name="CANTIDAD TOTAL ESTIMADA"/>
    <tableColumn id="5" xr3:uid="{00000000-0010-0000-7D00-000005000000}" name="PRECIO UNITARIO ESTIMADO"/>
    <tableColumn id="6" xr3:uid="{00000000-0010-0000-7D00-000006000000}" name="MONTO TOTAL ESTIMADO"/>
  </tableColumns>
  <tableStyleInfo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7E000000}" name="Table101" displayName="Table101" ref="A2018:F2019" totalsRowShown="0">
  <tableColumns count="6">
    <tableColumn id="1" xr3:uid="{00000000-0010-0000-7E00-000001000000}" name="CÓDIGO CATÁLOGO"/>
    <tableColumn id="2" xr3:uid="{00000000-0010-0000-7E00-000002000000}" name="ARTÍCULO"/>
    <tableColumn id="3" xr3:uid="{00000000-0010-0000-7E00-000003000000}" name="UNIDAD DE MEDIDA"/>
    <tableColumn id="4" xr3:uid="{00000000-0010-0000-7E00-000004000000}" name="CANTIDAD TOTAL ESTIMADA"/>
    <tableColumn id="5" xr3:uid="{00000000-0010-0000-7E00-000005000000}" name="PRECIO UNITARIO ESTIMADO"/>
    <tableColumn id="6" xr3:uid="{00000000-0010-0000-7E00-000006000000}" name="MONTO TOTAL ESTIMADO"/>
  </tableColumns>
  <tableStyleInfo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7F000000}" name="Table120" displayName="Table120" ref="A2268:F2269" totalsRowShown="0">
  <tableColumns count="6">
    <tableColumn id="1" xr3:uid="{00000000-0010-0000-7F00-000001000000}" name="CÓDIGO CATÁLOGO"/>
    <tableColumn id="2" xr3:uid="{00000000-0010-0000-7F00-000002000000}" name="ARTÍCULO"/>
    <tableColumn id="3" xr3:uid="{00000000-0010-0000-7F00-000003000000}" name="UNIDAD DE MEDIDA"/>
    <tableColumn id="4" xr3:uid="{00000000-0010-0000-7F00-000004000000}" name="CANTIDAD TOTAL ESTIMADA"/>
    <tableColumn id="5" xr3:uid="{00000000-0010-0000-7F00-000005000000}" name="PRECIO UNITARIO ESTIMADO"/>
    <tableColumn id="6" xr3:uid="{00000000-0010-0000-7F00-000006000000}" name="MONTO TOTAL ESTIMADO"/>
  </tableColumns>
  <tableStyleInfo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80000000}" name="Table81" displayName="Table81" ref="A1629:F1630" totalsRowShown="0">
  <tableColumns count="6">
    <tableColumn id="1" xr3:uid="{00000000-0010-0000-8000-000001000000}" name="CÓDIGO CATÁLOGO"/>
    <tableColumn id="2" xr3:uid="{00000000-0010-0000-8000-000002000000}" name="ARTÍCULO"/>
    <tableColumn id="3" xr3:uid="{00000000-0010-0000-8000-000003000000}" name="UNIDAD DE MEDIDA"/>
    <tableColumn id="4" xr3:uid="{00000000-0010-0000-8000-000004000000}" name="CANTIDAD TOTAL ESTIMADA"/>
    <tableColumn id="5" xr3:uid="{00000000-0010-0000-8000-000005000000}" name="PRECIO UNITARIO ESTIMADO"/>
    <tableColumn id="6" xr3:uid="{00000000-0010-0000-80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00000000-000C-0000-FFFF-FFFF0C000000}" name="Table153" displayName="Table153" ref="A2815:F2821"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 xr:uid="{00000000-000C-0000-FFFF-FFFF81000000}" name="Table223" displayName="Table223" ref="A4163:F4207" totalsRowShown="0">
  <tableColumns count="6">
    <tableColumn id="1" xr3:uid="{00000000-0010-0000-8100-000001000000}" name="CÓDIGO CATÁLOGO"/>
    <tableColumn id="2" xr3:uid="{00000000-0010-0000-8100-000002000000}" name="ARTÍCULO"/>
    <tableColumn id="3" xr3:uid="{00000000-0010-0000-8100-000003000000}" name="UNIDAD DE MEDIDA"/>
    <tableColumn id="4" xr3:uid="{00000000-0010-0000-8100-000004000000}" name="CANTIDAD TOTAL ESTIMADA"/>
    <tableColumn id="5" xr3:uid="{00000000-0010-0000-8100-000005000000}" name="PRECIO UNITARIO ESTIMADO"/>
    <tableColumn id="6" xr3:uid="{00000000-0010-0000-8100-000006000000}" name="MONTO TOTAL ESTIMADO"/>
  </tableColumns>
  <tableStyleInfo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00000000-000C-0000-FFFF-FFFF82000000}" name="Table158" displayName="Table158" ref="A2946:F2980" totalsRowShown="0">
  <tableColumns count="6">
    <tableColumn id="1" xr3:uid="{00000000-0010-0000-8200-000001000000}" name="CÓDIGO CATÁLOGO"/>
    <tableColumn id="2" xr3:uid="{00000000-0010-0000-8200-000002000000}" name="ARTÍCULO"/>
    <tableColumn id="3" xr3:uid="{00000000-0010-0000-8200-000003000000}" name="UNIDAD DE MEDIDA"/>
    <tableColumn id="4" xr3:uid="{00000000-0010-0000-8200-000004000000}" name="CANTIDAD TOTAL ESTIMADA"/>
    <tableColumn id="5" xr3:uid="{00000000-0010-0000-8200-000005000000}" name="PRECIO UNITARIO ESTIMADO"/>
    <tableColumn id="6" xr3:uid="{00000000-0010-0000-8200-000006000000}" name="MONTO TOTAL ESTIMADO"/>
  </tableColumns>
  <tableStyleInfo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00000000-000C-0000-FFFF-FFFF83000000}" name="Table147" displayName="Table147" ref="A2725:F2726" totalsRowShown="0">
  <tableColumns count="6">
    <tableColumn id="1" xr3:uid="{00000000-0010-0000-8300-000001000000}" name="CÓDIGO CATÁLOGO"/>
    <tableColumn id="2" xr3:uid="{00000000-0010-0000-8300-000002000000}" name="ARTÍCULO"/>
    <tableColumn id="3" xr3:uid="{00000000-0010-0000-8300-000003000000}" name="UNIDAD DE MEDIDA"/>
    <tableColumn id="4" xr3:uid="{00000000-0010-0000-8300-000004000000}" name="CANTIDAD TOTAL ESTIMADA"/>
    <tableColumn id="5" xr3:uid="{00000000-0010-0000-8300-000005000000}" name="PRECIO UNITARIO ESTIMADO"/>
    <tableColumn id="6" xr3:uid="{00000000-0010-0000-8300-000006000000}" name="MONTO TOTAL ESTIMADO"/>
  </tableColumns>
  <tableStyleInfo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8" xr:uid="{00000000-000C-0000-FFFF-FFFF84000000}" name="Table178" displayName="Table178" ref="A3306:F3307" totalsRowShown="0">
  <tableColumns count="6">
    <tableColumn id="1" xr3:uid="{00000000-0010-0000-8400-000001000000}" name="CÓDIGO CATÁLOGO"/>
    <tableColumn id="2" xr3:uid="{00000000-0010-0000-8400-000002000000}" name="ARTÍCULO"/>
    <tableColumn id="3" xr3:uid="{00000000-0010-0000-8400-000003000000}" name="UNIDAD DE MEDIDA"/>
    <tableColumn id="4" xr3:uid="{00000000-0010-0000-8400-000004000000}" name="CANTIDAD TOTAL ESTIMADA"/>
    <tableColumn id="5" xr3:uid="{00000000-0010-0000-8400-000005000000}" name="PRECIO UNITARIO ESTIMADO"/>
    <tableColumn id="6" xr3:uid="{00000000-0010-0000-8400-000006000000}" name="MONTO TOTAL ESTIMADO"/>
  </tableColumns>
  <tableStyleInfo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00000000-000C-0000-FFFF-FFFF85000000}" name="Table160" displayName="Table160" ref="A3011:F3013" totalsRowShown="0">
  <tableColumns count="6">
    <tableColumn id="1" xr3:uid="{00000000-0010-0000-8500-000001000000}" name="CÓDIGO CATÁLOGO"/>
    <tableColumn id="2" xr3:uid="{00000000-0010-0000-8500-000002000000}" name="ARTÍCULO"/>
    <tableColumn id="3" xr3:uid="{00000000-0010-0000-8500-000003000000}" name="UNIDAD DE MEDIDA"/>
    <tableColumn id="4" xr3:uid="{00000000-0010-0000-8500-000004000000}" name="CANTIDAD TOTAL ESTIMADA"/>
    <tableColumn id="5" xr3:uid="{00000000-0010-0000-8500-000005000000}" name="PRECIO UNITARIO ESTIMADO"/>
    <tableColumn id="6" xr3:uid="{00000000-0010-0000-8500-000006000000}" name="MONTO TOTAL ESTIMADO"/>
  </tableColumns>
  <tableStyleInfo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6" xr:uid="{00000000-000C-0000-FFFF-FFFF86000000}" name="Table186" displayName="Table186" ref="A3394:F3395" totalsRowShown="0">
  <tableColumns count="6">
    <tableColumn id="1" xr3:uid="{00000000-0010-0000-8600-000001000000}" name="CÓDIGO CATÁLOGO"/>
    <tableColumn id="2" xr3:uid="{00000000-0010-0000-8600-000002000000}" name="ARTÍCULO"/>
    <tableColumn id="3" xr3:uid="{00000000-0010-0000-8600-000003000000}" name="UNIDAD DE MEDIDA"/>
    <tableColumn id="4" xr3:uid="{00000000-0010-0000-8600-000004000000}" name="CANTIDAD TOTAL ESTIMADA"/>
    <tableColumn id="5" xr3:uid="{00000000-0010-0000-8600-000005000000}" name="PRECIO UNITARIO ESTIMADO"/>
    <tableColumn id="6" xr3:uid="{00000000-0010-0000-8600-000006000000}" name="MONTO TOTAL ESTIMADO"/>
  </tableColumns>
  <tableStyleInfo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87000000}" name="Table113" displayName="Table113" ref="A2150:F2191" totalsRowShown="0">
  <tableColumns count="6">
    <tableColumn id="1" xr3:uid="{00000000-0010-0000-8700-000001000000}" name="CÓDIGO CATÁLOGO"/>
    <tableColumn id="2" xr3:uid="{00000000-0010-0000-8700-000002000000}" name="ARTÍCULO"/>
    <tableColumn id="3" xr3:uid="{00000000-0010-0000-8700-000003000000}" name="UNIDAD DE MEDIDA"/>
    <tableColumn id="4" xr3:uid="{00000000-0010-0000-8700-000004000000}" name="CANTIDAD TOTAL ESTIMADA"/>
    <tableColumn id="5" xr3:uid="{00000000-0010-0000-8700-000005000000}" name="PRECIO UNITARIO ESTIMADO"/>
    <tableColumn id="6" xr3:uid="{00000000-0010-0000-8700-000006000000}" name="MONTO TOTAL ESTIMADO"/>
  </tableColumns>
  <tableStyleInfo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88000000}" name="Table114" displayName="Table114" ref="A2201:F2202" totalsRowShown="0">
  <tableColumns count="6">
    <tableColumn id="1" xr3:uid="{00000000-0010-0000-8800-000001000000}" name="CÓDIGO CATÁLOGO"/>
    <tableColumn id="2" xr3:uid="{00000000-0010-0000-8800-000002000000}" name="ARTÍCULO"/>
    <tableColumn id="3" xr3:uid="{00000000-0010-0000-8800-000003000000}" name="UNIDAD DE MEDIDA"/>
    <tableColumn id="4" xr3:uid="{00000000-0010-0000-8800-000004000000}" name="CANTIDAD TOTAL ESTIMADA"/>
    <tableColumn id="5" xr3:uid="{00000000-0010-0000-8800-000005000000}" name="PRECIO UNITARIO ESTIMADO"/>
    <tableColumn id="6" xr3:uid="{00000000-0010-0000-8800-000006000000}" name="MONTO TOTAL ESTIMADO"/>
  </tableColumns>
  <tableStyleInfo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89000000}" name="Table53" displayName="Table53" ref="A1170:F1175" totalsRowShown="0">
  <tableColumns count="6">
    <tableColumn id="1" xr3:uid="{00000000-0010-0000-8900-000001000000}" name="CÓDIGO CATÁLOGO"/>
    <tableColumn id="2" xr3:uid="{00000000-0010-0000-8900-000002000000}" name="ARTÍCULO"/>
    <tableColumn id="3" xr3:uid="{00000000-0010-0000-8900-000003000000}" name="UNIDAD DE MEDIDA"/>
    <tableColumn id="4" xr3:uid="{00000000-0010-0000-8900-000004000000}" name="CANTIDAD TOTAL ESTIMADA"/>
    <tableColumn id="5" xr3:uid="{00000000-0010-0000-8900-000005000000}" name="PRECIO UNITARIO ESTIMADO"/>
    <tableColumn id="6" xr3:uid="{00000000-0010-0000-8900-000006000000}" name="MONTO TOTAL ESTIMADO"/>
  </tableColumns>
  <tableStyleInfo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8A000000}" name="Table47" displayName="Table47" ref="A1033:F1038" totalsRowShown="0">
  <tableColumns count="6">
    <tableColumn id="1" xr3:uid="{00000000-0010-0000-8A00-000001000000}" name="CÓDIGO CATÁLOGO"/>
    <tableColumn id="2" xr3:uid="{00000000-0010-0000-8A00-000002000000}" name="ARTÍCULO"/>
    <tableColumn id="3" xr3:uid="{00000000-0010-0000-8A00-000003000000}" name="UNIDAD DE MEDIDA"/>
    <tableColumn id="4" xr3:uid="{00000000-0010-0000-8A00-000004000000}" name="CANTIDAD TOTAL ESTIMADA"/>
    <tableColumn id="5" xr3:uid="{00000000-0010-0000-8A00-000005000000}" name="PRECIO UNITARIO ESTIMADO"/>
    <tableColumn id="6" xr3:uid="{00000000-0010-0000-8A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0D000000}" name="Table122" displayName="Table122" ref="A2304:F2315"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00000000-000C-0000-FFFF-FFFF8B000000}" name="Table164" displayName="Table164" ref="A3072:F3078" totalsRowShown="0">
  <tableColumns count="6">
    <tableColumn id="1" xr3:uid="{00000000-0010-0000-8B00-000001000000}" name="CÓDIGO CATÁLOGO"/>
    <tableColumn id="2" xr3:uid="{00000000-0010-0000-8B00-000002000000}" name="ARTÍCULO"/>
    <tableColumn id="3" xr3:uid="{00000000-0010-0000-8B00-000003000000}" name="UNIDAD DE MEDIDA"/>
    <tableColumn id="4" xr3:uid="{00000000-0010-0000-8B00-000004000000}" name="CANTIDAD TOTAL ESTIMADA"/>
    <tableColumn id="5" xr3:uid="{00000000-0010-0000-8B00-000005000000}" name="PRECIO UNITARIO ESTIMADO"/>
    <tableColumn id="6" xr3:uid="{00000000-0010-0000-8B00-000006000000}" name="MONTO TOTAL ESTIMADO"/>
  </tableColumns>
  <tableStyleInfo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00000000-000C-0000-FFFF-FFFF8C000000}" name="Table146" displayName="Table146" ref="A2712:F2715" totalsRowShown="0">
  <tableColumns count="6">
    <tableColumn id="1" xr3:uid="{00000000-0010-0000-8C00-000001000000}" name="CÓDIGO CATÁLOGO"/>
    <tableColumn id="2" xr3:uid="{00000000-0010-0000-8C00-000002000000}" name="ARTÍCULO"/>
    <tableColumn id="3" xr3:uid="{00000000-0010-0000-8C00-000003000000}" name="UNIDAD DE MEDIDA"/>
    <tableColumn id="4" xr3:uid="{00000000-0010-0000-8C00-000004000000}" name="CANTIDAD TOTAL ESTIMADA"/>
    <tableColumn id="5" xr3:uid="{00000000-0010-0000-8C00-000005000000}" name="PRECIO UNITARIO ESTIMADO"/>
    <tableColumn id="6" xr3:uid="{00000000-0010-0000-8C00-000006000000}" name="MONTO TOTAL ESTIMADO"/>
  </tableColumns>
  <tableStyleInfo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8D000000}" name="Table61" displayName="Table61" ref="A1340:F1341" totalsRowShown="0">
  <tableColumns count="6">
    <tableColumn id="1" xr3:uid="{00000000-0010-0000-8D00-000001000000}" name="CÓDIGO CATÁLOGO"/>
    <tableColumn id="2" xr3:uid="{00000000-0010-0000-8D00-000002000000}" name="ARTÍCULO"/>
    <tableColumn id="3" xr3:uid="{00000000-0010-0000-8D00-000003000000}" name="UNIDAD DE MEDIDA"/>
    <tableColumn id="4" xr3:uid="{00000000-0010-0000-8D00-000004000000}" name="CANTIDAD TOTAL ESTIMADA"/>
    <tableColumn id="5" xr3:uid="{00000000-0010-0000-8D00-000005000000}" name="PRECIO UNITARIO ESTIMADO"/>
    <tableColumn id="6" xr3:uid="{00000000-0010-0000-8D00-000006000000}" name="MONTO TOTAL ESTIMADO"/>
  </tableColumns>
  <tableStyleInfo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8E000000}" name="Table118" displayName="Table118" ref="A2246:F2247" totalsRowShown="0">
  <tableColumns count="6">
    <tableColumn id="1" xr3:uid="{00000000-0010-0000-8E00-000001000000}" name="CÓDIGO CATÁLOGO"/>
    <tableColumn id="2" xr3:uid="{00000000-0010-0000-8E00-000002000000}" name="ARTÍCULO"/>
    <tableColumn id="3" xr3:uid="{00000000-0010-0000-8E00-000003000000}" name="UNIDAD DE MEDIDA"/>
    <tableColumn id="4" xr3:uid="{00000000-0010-0000-8E00-000004000000}" name="CANTIDAD TOTAL ESTIMADA"/>
    <tableColumn id="5" xr3:uid="{00000000-0010-0000-8E00-000005000000}" name="PRECIO UNITARIO ESTIMADO"/>
    <tableColumn id="6" xr3:uid="{00000000-0010-0000-8E00-000006000000}" name="MONTO TOTAL ESTIMADO"/>
  </tableColumns>
  <tableStyleInfo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8F000000}" name="Table79" displayName="Table79" ref="A1596:F1605" totalsRowShown="0">
  <tableColumns count="6">
    <tableColumn id="1" xr3:uid="{00000000-0010-0000-8F00-000001000000}" name="CÓDIGO CATÁLOGO"/>
    <tableColumn id="2" xr3:uid="{00000000-0010-0000-8F00-000002000000}" name="ARTÍCULO"/>
    <tableColumn id="3" xr3:uid="{00000000-0010-0000-8F00-000003000000}" name="UNIDAD DE MEDIDA"/>
    <tableColumn id="4" xr3:uid="{00000000-0010-0000-8F00-000004000000}" name="CANTIDAD TOTAL ESTIMADA"/>
    <tableColumn id="5" xr3:uid="{00000000-0010-0000-8F00-000005000000}" name="PRECIO UNITARIO ESTIMADO"/>
    <tableColumn id="6" xr3:uid="{00000000-0010-0000-8F00-000006000000}" name="MONTO TOTAL ESTIMADO"/>
  </tableColumns>
  <tableStyleInfo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90000000}" name="Table127" displayName="Table127" ref="A2378:F2379" totalsRowShown="0">
  <tableColumns count="6">
    <tableColumn id="1" xr3:uid="{00000000-0010-0000-9000-000001000000}" name="CÓDIGO CATÁLOGO"/>
    <tableColumn id="2" xr3:uid="{00000000-0010-0000-9000-000002000000}" name="ARTÍCULO"/>
    <tableColumn id="3" xr3:uid="{00000000-0010-0000-9000-000003000000}" name="UNIDAD DE MEDIDA"/>
    <tableColumn id="4" xr3:uid="{00000000-0010-0000-9000-000004000000}" name="CANTIDAD TOTAL ESTIMADA"/>
    <tableColumn id="5" xr3:uid="{00000000-0010-0000-9000-000005000000}" name="PRECIO UNITARIO ESTIMADO"/>
    <tableColumn id="6" xr3:uid="{00000000-0010-0000-9000-000006000000}" name="MONTO TOTAL ESTIMADO"/>
  </tableColumns>
  <tableStyleInfo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91000000}" name="Table109" displayName="Table109" ref="A2106:F2107" totalsRowShown="0">
  <tableColumns count="6">
    <tableColumn id="1" xr3:uid="{00000000-0010-0000-9100-000001000000}" name="CÓDIGO CATÁLOGO"/>
    <tableColumn id="2" xr3:uid="{00000000-0010-0000-9100-000002000000}" name="ARTÍCULO"/>
    <tableColumn id="3" xr3:uid="{00000000-0010-0000-9100-000003000000}" name="UNIDAD DE MEDIDA"/>
    <tableColumn id="4" xr3:uid="{00000000-0010-0000-9100-000004000000}" name="CANTIDAD TOTAL ESTIMADA"/>
    <tableColumn id="5" xr3:uid="{00000000-0010-0000-9100-000005000000}" name="PRECIO UNITARIO ESTIMADO"/>
    <tableColumn id="6" xr3:uid="{00000000-0010-0000-9100-000006000000}" name="MONTO TOTAL ESTIMADO"/>
  </tableColumns>
  <tableStyleInfo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92000000}" name="Table76" displayName="Table76" ref="A1546:F1551" totalsRowShown="0">
  <tableColumns count="6">
    <tableColumn id="1" xr3:uid="{00000000-0010-0000-9200-000001000000}" name="CÓDIGO CATÁLOGO"/>
    <tableColumn id="2" xr3:uid="{00000000-0010-0000-9200-000002000000}" name="ARTÍCULO"/>
    <tableColumn id="3" xr3:uid="{00000000-0010-0000-9200-000003000000}" name="UNIDAD DE MEDIDA"/>
    <tableColumn id="4" xr3:uid="{00000000-0010-0000-9200-000004000000}" name="CANTIDAD TOTAL ESTIMADA"/>
    <tableColumn id="5" xr3:uid="{00000000-0010-0000-9200-000005000000}" name="PRECIO UNITARIO ESTIMADO"/>
    <tableColumn id="6" xr3:uid="{00000000-0010-0000-9200-000006000000}" name="MONTO TOTAL ESTIMADO"/>
  </tableColumns>
  <tableStyleInfo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93000000}" name="Table11" displayName="Table11" ref="A128:F140" totalsRowShown="0">
  <tableColumns count="6">
    <tableColumn id="1" xr3:uid="{00000000-0010-0000-9300-000001000000}" name="CÓDIGO CATÁLOGO"/>
    <tableColumn id="2" xr3:uid="{00000000-0010-0000-9300-000002000000}" name="ARTÍCULO"/>
    <tableColumn id="3" xr3:uid="{00000000-0010-0000-9300-000003000000}" name="UNIDAD DE MEDIDA"/>
    <tableColumn id="4" xr3:uid="{00000000-0010-0000-9300-000004000000}" name="CANTIDAD TOTAL ESTIMADA"/>
    <tableColumn id="5" xr3:uid="{00000000-0010-0000-9300-000005000000}" name="PRECIO UNITARIO ESTIMADO"/>
    <tableColumn id="6" xr3:uid="{00000000-0010-0000-9300-000006000000}" name="MONTO TOTAL ESTIMADO"/>
  </tableColumns>
  <tableStyleInfo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0" xr:uid="{00000000-000C-0000-FFFF-FFFF94000000}" name="Table180" displayName="Table180" ref="A3328:F3329" totalsRowShown="0">
  <tableColumns count="6">
    <tableColumn id="1" xr3:uid="{00000000-0010-0000-9400-000001000000}" name="CÓDIGO CATÁLOGO"/>
    <tableColumn id="2" xr3:uid="{00000000-0010-0000-9400-000002000000}" name="ARTÍCULO"/>
    <tableColumn id="3" xr3:uid="{00000000-0010-0000-9400-000003000000}" name="UNIDAD DE MEDIDA"/>
    <tableColumn id="4" xr3:uid="{00000000-0010-0000-9400-000004000000}" name="CANTIDAD TOTAL ESTIMADA"/>
    <tableColumn id="5" xr3:uid="{00000000-0010-0000-9400-000005000000}" name="PRECIO UNITARIO ESTIMADO"/>
    <tableColumn id="6" xr3:uid="{00000000-0010-0000-94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4" xr:uid="{00000000-000C-0000-FFFF-FFFF0E000000}" name="Table214" displayName="Table214" ref="A3897:F3979"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00000000-000C-0000-FFFF-FFFF95000000}" name="Table167" displayName="Table167" ref="A3118:F3119" totalsRowShown="0">
  <tableColumns count="6">
    <tableColumn id="1" xr3:uid="{00000000-0010-0000-9500-000001000000}" name="CÓDIGO CATÁLOGO"/>
    <tableColumn id="2" xr3:uid="{00000000-0010-0000-9500-000002000000}" name="ARTÍCULO"/>
    <tableColumn id="3" xr3:uid="{00000000-0010-0000-9500-000003000000}" name="UNIDAD DE MEDIDA"/>
    <tableColumn id="4" xr3:uid="{00000000-0010-0000-9500-000004000000}" name="CANTIDAD TOTAL ESTIMADA"/>
    <tableColumn id="5" xr3:uid="{00000000-0010-0000-9500-000005000000}" name="PRECIO UNITARIO ESTIMADO"/>
    <tableColumn id="6" xr3:uid="{00000000-0010-0000-9500-000006000000}" name="MONTO TOTAL ESTIMADO"/>
  </tableColumns>
  <tableStyleInfo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96000000}" name="Table80" displayName="Table80" ref="A1615:F1619" totalsRowShown="0">
  <tableColumns count="6">
    <tableColumn id="1" xr3:uid="{00000000-0010-0000-9600-000001000000}" name="CÓDIGO CATÁLOGO"/>
    <tableColumn id="2" xr3:uid="{00000000-0010-0000-9600-000002000000}" name="ARTÍCULO"/>
    <tableColumn id="3" xr3:uid="{00000000-0010-0000-9600-000003000000}" name="UNIDAD DE MEDIDA"/>
    <tableColumn id="4" xr3:uid="{00000000-0010-0000-9600-000004000000}" name="CANTIDAD TOTAL ESTIMADA"/>
    <tableColumn id="5" xr3:uid="{00000000-0010-0000-9600-000005000000}" name="PRECIO UNITARIO ESTIMADO"/>
    <tableColumn id="6" xr3:uid="{00000000-0010-0000-9600-000006000000}" name="MONTO TOTAL ESTIMADO"/>
  </tableColumns>
  <tableStyleInfo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97000000}" name="Table19" displayName="Table19" ref="A317:F318" totalsRowShown="0">
  <tableColumns count="6">
    <tableColumn id="1" xr3:uid="{00000000-0010-0000-9700-000001000000}" name="CÓDIGO CATÁLOGO"/>
    <tableColumn id="2" xr3:uid="{00000000-0010-0000-9700-000002000000}" name="ARTÍCULO"/>
    <tableColumn id="3" xr3:uid="{00000000-0010-0000-9700-000003000000}" name="UNIDAD DE MEDIDA"/>
    <tableColumn id="4" xr3:uid="{00000000-0010-0000-9700-000004000000}" name="CANTIDAD TOTAL ESTIMADA"/>
    <tableColumn id="5" xr3:uid="{00000000-0010-0000-9700-000005000000}" name="PRECIO UNITARIO ESTIMADO"/>
    <tableColumn id="6" xr3:uid="{00000000-0010-0000-9700-000006000000}" name="MONTO TOTAL ESTIMADO"/>
  </tableColumns>
  <tableStyleInfo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98000000}" name="Table74" displayName="Table74" ref="A1499:F1519" totalsRowShown="0">
  <tableColumns count="6">
    <tableColumn id="1" xr3:uid="{00000000-0010-0000-9800-000001000000}" name="CÓDIGO CATÁLOGO"/>
    <tableColumn id="2" xr3:uid="{00000000-0010-0000-9800-000002000000}" name="ARTÍCULO"/>
    <tableColumn id="3" xr3:uid="{00000000-0010-0000-9800-000003000000}" name="UNIDAD DE MEDIDA"/>
    <tableColumn id="4" xr3:uid="{00000000-0010-0000-9800-000004000000}" name="CANTIDAD TOTAL ESTIMADA"/>
    <tableColumn id="5" xr3:uid="{00000000-0010-0000-9800-000005000000}" name="PRECIO UNITARIO ESTIMADO"/>
    <tableColumn id="6" xr3:uid="{00000000-0010-0000-9800-000006000000}" name="MONTO TOTAL ESTIMADO"/>
  </tableColumns>
  <tableStyleInfo showFirstColumn="0" showLastColumn="0" showRowStripes="1"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4" xr:uid="{00000000-000C-0000-FFFF-FFFF99000000}" name="Table184" displayName="Table184" ref="A3372:F3373" totalsRowShown="0">
  <tableColumns count="6">
    <tableColumn id="1" xr3:uid="{00000000-0010-0000-9900-000001000000}" name="CÓDIGO CATÁLOGO"/>
    <tableColumn id="2" xr3:uid="{00000000-0010-0000-9900-000002000000}" name="ARTÍCULO"/>
    <tableColumn id="3" xr3:uid="{00000000-0010-0000-9900-000003000000}" name="UNIDAD DE MEDIDA"/>
    <tableColumn id="4" xr3:uid="{00000000-0010-0000-9900-000004000000}" name="CANTIDAD TOTAL ESTIMADA"/>
    <tableColumn id="5" xr3:uid="{00000000-0010-0000-9900-000005000000}" name="PRECIO UNITARIO ESTIMADO"/>
    <tableColumn id="6" xr3:uid="{00000000-0010-0000-9900-000006000000}" name="MONTO TOTAL ESTIMADO"/>
  </tableColumns>
  <tableStyleInfo showFirstColumn="0" showLastColumn="0" showRowStripes="1"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9A000000}" name="Table63" displayName="Table63" ref="A1364:F1365" totalsRowShown="0">
  <tableColumns count="6">
    <tableColumn id="1" xr3:uid="{00000000-0010-0000-9A00-000001000000}" name="CÓDIGO CATÁLOGO"/>
    <tableColumn id="2" xr3:uid="{00000000-0010-0000-9A00-000002000000}" name="ARTÍCULO"/>
    <tableColumn id="3" xr3:uid="{00000000-0010-0000-9A00-000003000000}" name="UNIDAD DE MEDIDA"/>
    <tableColumn id="4" xr3:uid="{00000000-0010-0000-9A00-000004000000}" name="CANTIDAD TOTAL ESTIMADA"/>
    <tableColumn id="5" xr3:uid="{00000000-0010-0000-9A00-000005000000}" name="PRECIO UNITARIO ESTIMADO"/>
    <tableColumn id="6" xr3:uid="{00000000-0010-0000-9A00-000006000000}" name="MONTO TOTAL ESTIMADO"/>
  </tableColumns>
  <tableStyleInfo showFirstColumn="0" showLastColumn="0" showRowStripes="1"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7" xr:uid="{00000000-000C-0000-FFFF-FFFF9B000000}" name="Table207" displayName="Table207" ref="A3793:F3794" totalsRowShown="0">
  <tableColumns count="6">
    <tableColumn id="1" xr3:uid="{00000000-0010-0000-9B00-000001000000}" name="CÓDIGO CATÁLOGO"/>
    <tableColumn id="2" xr3:uid="{00000000-0010-0000-9B00-000002000000}" name="ARTÍCULO"/>
    <tableColumn id="3" xr3:uid="{00000000-0010-0000-9B00-000003000000}" name="UNIDAD DE MEDIDA"/>
    <tableColumn id="4" xr3:uid="{00000000-0010-0000-9B00-000004000000}" name="CANTIDAD TOTAL ESTIMADA"/>
    <tableColumn id="5" xr3:uid="{00000000-0010-0000-9B00-000005000000}" name="PRECIO UNITARIO ESTIMADO"/>
    <tableColumn id="6" xr3:uid="{00000000-0010-0000-9B00-000006000000}" name="MONTO TOTAL ESTIMADO"/>
  </tableColumns>
  <tableStyleInfo showFirstColumn="0" showLastColumn="0" showRowStripes="1"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9C000000}" name="Table71" displayName="Table71" ref="A1458:F1459" totalsRowShown="0">
  <tableColumns count="6">
    <tableColumn id="1" xr3:uid="{00000000-0010-0000-9C00-000001000000}" name="CÓDIGO CATÁLOGO"/>
    <tableColumn id="2" xr3:uid="{00000000-0010-0000-9C00-000002000000}" name="ARTÍCULO"/>
    <tableColumn id="3" xr3:uid="{00000000-0010-0000-9C00-000003000000}" name="UNIDAD DE MEDIDA"/>
    <tableColumn id="4" xr3:uid="{00000000-0010-0000-9C00-000004000000}" name="CANTIDAD TOTAL ESTIMADA"/>
    <tableColumn id="5" xr3:uid="{00000000-0010-0000-9C00-000005000000}" name="PRECIO UNITARIO ESTIMADO"/>
    <tableColumn id="6" xr3:uid="{00000000-0010-0000-9C00-000006000000}" name="MONTO TOTAL ESTIMADO"/>
  </tableColumns>
  <tableStyleInfo showFirstColumn="0" showLastColumn="0" showRowStripes="1"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9D000000}" name="Table57" displayName="Table57" ref="A1229:F1269" totalsRowShown="0">
  <tableColumns count="6">
    <tableColumn id="1" xr3:uid="{00000000-0010-0000-9D00-000001000000}" name="CÓDIGO CATÁLOGO"/>
    <tableColumn id="2" xr3:uid="{00000000-0010-0000-9D00-000002000000}" name="ARTÍCULO"/>
    <tableColumn id="3" xr3:uid="{00000000-0010-0000-9D00-000003000000}" name="UNIDAD DE MEDIDA"/>
    <tableColumn id="4" xr3:uid="{00000000-0010-0000-9D00-000004000000}" name="CANTIDAD TOTAL ESTIMADA"/>
    <tableColumn id="5" xr3:uid="{00000000-0010-0000-9D00-000005000000}" name="PRECIO UNITARIO ESTIMADO"/>
    <tableColumn id="6" xr3:uid="{00000000-0010-0000-9D00-000006000000}" name="MONTO TOTAL ESTIMADO"/>
  </tableColumns>
  <tableStyleInfo showFirstColumn="0" showLastColumn="0" showRowStripes="1"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9E000000}" name="Table45" displayName="Table45" ref="A1011:F1012" totalsRowShown="0">
  <tableColumns count="6">
    <tableColumn id="1" xr3:uid="{00000000-0010-0000-9E00-000001000000}" name="CÓDIGO CATÁLOGO"/>
    <tableColumn id="2" xr3:uid="{00000000-0010-0000-9E00-000002000000}" name="ARTÍCULO"/>
    <tableColumn id="3" xr3:uid="{00000000-0010-0000-9E00-000003000000}" name="UNIDAD DE MEDIDA"/>
    <tableColumn id="4" xr3:uid="{00000000-0010-0000-9E00-000004000000}" name="CANTIDAD TOTAL ESTIMADA"/>
    <tableColumn id="5" xr3:uid="{00000000-0010-0000-9E00-000005000000}" name="PRECIO UNITARIO ESTIMADO"/>
    <tableColumn id="6" xr3:uid="{00000000-0010-0000-9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 xr:uid="{00000000-000C-0000-FFFF-FFFF0F000000}" name="Table190" displayName="Table190" ref="A3441:F3442"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9F000000}" name="Table27" displayName="Table27" ref="A624:F663" totalsRowShown="0">
  <tableColumns count="6">
    <tableColumn id="1" xr3:uid="{00000000-0010-0000-9F00-000001000000}" name="CÓDIGO CATÁLOGO"/>
    <tableColumn id="2" xr3:uid="{00000000-0010-0000-9F00-000002000000}" name="ARTÍCULO"/>
    <tableColumn id="3" xr3:uid="{00000000-0010-0000-9F00-000003000000}" name="UNIDAD DE MEDIDA"/>
    <tableColumn id="4" xr3:uid="{00000000-0010-0000-9F00-000004000000}" name="CANTIDAD TOTAL ESTIMADA"/>
    <tableColumn id="5" xr3:uid="{00000000-0010-0000-9F00-000005000000}" name="PRECIO UNITARIO ESTIMADO"/>
    <tableColumn id="6" xr3:uid="{00000000-0010-0000-9F00-000006000000}" name="MONTO TOTAL ESTIMADO"/>
  </tableColumns>
  <tableStyleInfo showFirstColumn="0" showLastColumn="0" showRowStripes="1"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A0000000}" name="Table98" displayName="Table98" ref="A1983:F1984" totalsRowShown="0">
  <tableColumns count="6">
    <tableColumn id="1" xr3:uid="{00000000-0010-0000-A000-000001000000}" name="CÓDIGO CATÁLOGO"/>
    <tableColumn id="2" xr3:uid="{00000000-0010-0000-A000-000002000000}" name="ARTÍCULO"/>
    <tableColumn id="3" xr3:uid="{00000000-0010-0000-A000-000003000000}" name="UNIDAD DE MEDIDA"/>
    <tableColumn id="4" xr3:uid="{00000000-0010-0000-A000-000004000000}" name="CANTIDAD TOTAL ESTIMADA"/>
    <tableColumn id="5" xr3:uid="{00000000-0010-0000-A000-000005000000}" name="PRECIO UNITARIO ESTIMADO"/>
    <tableColumn id="6" xr3:uid="{00000000-0010-0000-A000-000006000000}" name="MONTO TOTAL ESTIMADO"/>
  </tableColumns>
  <tableStyleInfo showFirstColumn="0" showLastColumn="0" showRowStripes="1"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A1000000}" name="Table130" displayName="Table130" ref="A2414:F2415" totalsRowShown="0">
  <tableColumns count="6">
    <tableColumn id="1" xr3:uid="{00000000-0010-0000-A100-000001000000}" name="CÓDIGO CATÁLOGO"/>
    <tableColumn id="2" xr3:uid="{00000000-0010-0000-A100-000002000000}" name="ARTÍCULO"/>
    <tableColumn id="3" xr3:uid="{00000000-0010-0000-A100-000003000000}" name="UNIDAD DE MEDIDA"/>
    <tableColumn id="4" xr3:uid="{00000000-0010-0000-A100-000004000000}" name="CANTIDAD TOTAL ESTIMADA"/>
    <tableColumn id="5" xr3:uid="{00000000-0010-0000-A100-000005000000}" name="PRECIO UNITARIO ESTIMADO"/>
    <tableColumn id="6" xr3:uid="{00000000-0010-0000-A100-000006000000}" name="MONTO TOTAL ESTIMADO"/>
  </tableColumns>
  <tableStyleInfo showFirstColumn="0" showLastColumn="0" showRowStripes="1"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A2000000}" name="Table124" displayName="Table124" ref="A2337:F2338" totalsRowShown="0">
  <tableColumns count="6">
    <tableColumn id="1" xr3:uid="{00000000-0010-0000-A200-000001000000}" name="CÓDIGO CATÁLOGO"/>
    <tableColumn id="2" xr3:uid="{00000000-0010-0000-A200-000002000000}" name="ARTÍCULO"/>
    <tableColumn id="3" xr3:uid="{00000000-0010-0000-A200-000003000000}" name="UNIDAD DE MEDIDA"/>
    <tableColumn id="4" xr3:uid="{00000000-0010-0000-A200-000004000000}" name="CANTIDAD TOTAL ESTIMADA"/>
    <tableColumn id="5" xr3:uid="{00000000-0010-0000-A200-000005000000}" name="PRECIO UNITARIO ESTIMADO"/>
    <tableColumn id="6" xr3:uid="{00000000-0010-0000-A200-000006000000}" name="MONTO TOTAL ESTIMADO"/>
  </tableColumns>
  <tableStyleInfo showFirstColumn="0" showLastColumn="0" showRowStripes="1"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A3000000}" name="Table40" displayName="Table40" ref="A952:F953" totalsRowShown="0">
  <tableColumns count="6">
    <tableColumn id="1" xr3:uid="{00000000-0010-0000-A300-000001000000}" name="CÓDIGO CATÁLOGO"/>
    <tableColumn id="2" xr3:uid="{00000000-0010-0000-A300-000002000000}" name="ARTÍCULO"/>
    <tableColumn id="3" xr3:uid="{00000000-0010-0000-A300-000003000000}" name="UNIDAD DE MEDIDA"/>
    <tableColumn id="4" xr3:uid="{00000000-0010-0000-A300-000004000000}" name="CANTIDAD TOTAL ESTIMADA"/>
    <tableColumn id="5" xr3:uid="{00000000-0010-0000-A300-000005000000}" name="PRECIO UNITARIO ESTIMADO"/>
    <tableColumn id="6" xr3:uid="{00000000-0010-0000-A300-000006000000}" name="MONTO TOTAL ESTIMADO"/>
  </tableColumns>
  <tableStyleInfo showFirstColumn="0" showLastColumn="0" showRowStripes="1" showColumnStripes="0"/>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A4000000}" name="Table96" displayName="Table96" ref="A1945:F1957" totalsRowShown="0">
  <tableColumns count="6">
    <tableColumn id="1" xr3:uid="{00000000-0010-0000-A400-000001000000}" name="CÓDIGO CATÁLOGO"/>
    <tableColumn id="2" xr3:uid="{00000000-0010-0000-A400-000002000000}" name="ARTÍCULO"/>
    <tableColumn id="3" xr3:uid="{00000000-0010-0000-A400-000003000000}" name="UNIDAD DE MEDIDA"/>
    <tableColumn id="4" xr3:uid="{00000000-0010-0000-A400-000004000000}" name="CANTIDAD TOTAL ESTIMADA"/>
    <tableColumn id="5" xr3:uid="{00000000-0010-0000-A400-000005000000}" name="PRECIO UNITARIO ESTIMADO"/>
    <tableColumn id="6" xr3:uid="{00000000-0010-0000-A400-000006000000}" name="MONTO TOTAL ESTIMADO"/>
  </tableColumns>
  <tableStyleInfo showFirstColumn="0" showLastColumn="0" showRowStripes="1" showColumnStripes="0"/>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6" xr:uid="{00000000-000C-0000-FFFF-FFFFA5000000}" name="Table206" displayName="Table206" ref="A3782:F3783" totalsRowShown="0">
  <tableColumns count="6">
    <tableColumn id="1" xr3:uid="{00000000-0010-0000-A500-000001000000}" name="CÓDIGO CATÁLOGO"/>
    <tableColumn id="2" xr3:uid="{00000000-0010-0000-A500-000002000000}" name="ARTÍCULO"/>
    <tableColumn id="3" xr3:uid="{00000000-0010-0000-A500-000003000000}" name="UNIDAD DE MEDIDA"/>
    <tableColumn id="4" xr3:uid="{00000000-0010-0000-A500-000004000000}" name="CANTIDAD TOTAL ESTIMADA"/>
    <tableColumn id="5" xr3:uid="{00000000-0010-0000-A500-000005000000}" name="PRECIO UNITARIO ESTIMADO"/>
    <tableColumn id="6" xr3:uid="{00000000-0010-0000-A500-000006000000}" name="MONTO TOTAL ESTIMADO"/>
  </tableColumns>
  <tableStyleInfo showFirstColumn="0" showLastColumn="0" showRowStripes="1" showColumnStripes="0"/>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0000000-000C-0000-FFFF-FFFFA6000000}" name="Table134" displayName="Table134" ref="A2481:F2482" totalsRowShown="0">
  <tableColumns count="6">
    <tableColumn id="1" xr3:uid="{00000000-0010-0000-A600-000001000000}" name="CÓDIGO CATÁLOGO"/>
    <tableColumn id="2" xr3:uid="{00000000-0010-0000-A600-000002000000}" name="ARTÍCULO"/>
    <tableColumn id="3" xr3:uid="{00000000-0010-0000-A600-000003000000}" name="UNIDAD DE MEDIDA"/>
    <tableColumn id="4" xr3:uid="{00000000-0010-0000-A600-000004000000}" name="CANTIDAD TOTAL ESTIMADA"/>
    <tableColumn id="5" xr3:uid="{00000000-0010-0000-A600-000005000000}" name="PRECIO UNITARIO ESTIMADO"/>
    <tableColumn id="6" xr3:uid="{00000000-0010-0000-A600-000006000000}" name="MONTO TOTAL ESTIMADO"/>
  </tableColumns>
  <tableStyleInfo showFirstColumn="0" showLastColumn="0" showRowStripes="1" showColumnStripes="0"/>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A7000000}" name="Table48" displayName="Table48" ref="A1048:F1096" totalsRowShown="0">
  <tableColumns count="6">
    <tableColumn id="1" xr3:uid="{00000000-0010-0000-A700-000001000000}" name="CÓDIGO CATÁLOGO"/>
    <tableColumn id="2" xr3:uid="{00000000-0010-0000-A700-000002000000}" name="ARTÍCULO"/>
    <tableColumn id="3" xr3:uid="{00000000-0010-0000-A700-000003000000}" name="UNIDAD DE MEDIDA"/>
    <tableColumn id="4" xr3:uid="{00000000-0010-0000-A700-000004000000}" name="CANTIDAD TOTAL ESTIMADA"/>
    <tableColumn id="5" xr3:uid="{00000000-0010-0000-A700-000005000000}" name="PRECIO UNITARIO ESTIMADO"/>
    <tableColumn id="6" xr3:uid="{00000000-0010-0000-A700-000006000000}" name="MONTO TOTAL ESTIMADO"/>
  </tableColumns>
  <tableStyleInfo showFirstColumn="0" showLastColumn="0" showRowStripes="1" showColumnStripes="0"/>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9" xr:uid="{00000000-000C-0000-FFFF-FFFFA8000000}" name="Table199" displayName="Table199" ref="A3543:F3544" totalsRowShown="0">
  <tableColumns count="6">
    <tableColumn id="1" xr3:uid="{00000000-0010-0000-A800-000001000000}" name="CÓDIGO CATÁLOGO"/>
    <tableColumn id="2" xr3:uid="{00000000-0010-0000-A800-000002000000}" name="ARTÍCULO"/>
    <tableColumn id="3" xr3:uid="{00000000-0010-0000-A800-000003000000}" name="UNIDAD DE MEDIDA"/>
    <tableColumn id="4" xr3:uid="{00000000-0010-0000-A800-000004000000}" name="CANTIDAD TOTAL ESTIMADA"/>
    <tableColumn id="5" xr3:uid="{00000000-0010-0000-A800-000005000000}" name="PRECIO UNITARIO ESTIMADO"/>
    <tableColumn id="6" xr3:uid="{00000000-0010-0000-A8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10000000}" name="Table99" displayName="Table99" ref="A1994:F1995"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A9000000}" name="Table50" displayName="Table50" ref="A1132:F1134" totalsRowShown="0">
  <tableColumns count="6">
    <tableColumn id="1" xr3:uid="{00000000-0010-0000-A900-000001000000}" name="CÓDIGO CATÁLOGO"/>
    <tableColumn id="2" xr3:uid="{00000000-0010-0000-A900-000002000000}" name="ARTÍCULO"/>
    <tableColumn id="3" xr3:uid="{00000000-0010-0000-A900-000003000000}" name="UNIDAD DE MEDIDA"/>
    <tableColumn id="4" xr3:uid="{00000000-0010-0000-A900-000004000000}" name="CANTIDAD TOTAL ESTIMADA"/>
    <tableColumn id="5" xr3:uid="{00000000-0010-0000-A900-000005000000}" name="PRECIO UNITARIO ESTIMADO"/>
    <tableColumn id="6" xr3:uid="{00000000-0010-0000-A900-000006000000}" name="MONTO TOTAL ESTIMADO"/>
  </tableColumns>
  <tableStyleInfo showFirstColumn="0" showLastColumn="0" showRowStripes="1" showColumnStripes="0"/>
</table>
</file>

<file path=xl/tables/table1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7" xr:uid="{00000000-000C-0000-FFFF-FFFFAA000000}" name="Table217" displayName="Table217" ref="A4014:F4028" totalsRowShown="0">
  <tableColumns count="6">
    <tableColumn id="1" xr3:uid="{00000000-0010-0000-AA00-000001000000}" name="CÓDIGO CATÁLOGO"/>
    <tableColumn id="2" xr3:uid="{00000000-0010-0000-AA00-000002000000}" name="ARTÍCULO"/>
    <tableColumn id="3" xr3:uid="{00000000-0010-0000-AA00-000003000000}" name="UNIDAD DE MEDIDA"/>
    <tableColumn id="4" xr3:uid="{00000000-0010-0000-AA00-000004000000}" name="CANTIDAD TOTAL ESTIMADA"/>
    <tableColumn id="5" xr3:uid="{00000000-0010-0000-AA00-000005000000}" name="PRECIO UNITARIO ESTIMADO"/>
    <tableColumn id="6" xr3:uid="{00000000-0010-0000-AA00-000006000000}" name="MONTO TOTAL ESTIMADO"/>
  </tableColumns>
  <tableStyleInfo showFirstColumn="0" showLastColumn="0" showRowStripes="1" showColumnStripes="0"/>
</table>
</file>

<file path=xl/tables/table1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AB000000}" name="Table68" displayName="Table68" ref="A1419:F1420" totalsRowShown="0">
  <tableColumns count="6">
    <tableColumn id="1" xr3:uid="{00000000-0010-0000-AB00-000001000000}" name="CÓDIGO CATÁLOGO"/>
    <tableColumn id="2" xr3:uid="{00000000-0010-0000-AB00-000002000000}" name="ARTÍCULO"/>
    <tableColumn id="3" xr3:uid="{00000000-0010-0000-AB00-000003000000}" name="UNIDAD DE MEDIDA"/>
    <tableColumn id="4" xr3:uid="{00000000-0010-0000-AB00-000004000000}" name="CANTIDAD TOTAL ESTIMADA"/>
    <tableColumn id="5" xr3:uid="{00000000-0010-0000-AB00-000005000000}" name="PRECIO UNITARIO ESTIMADO"/>
    <tableColumn id="6" xr3:uid="{00000000-0010-0000-AB00-000006000000}" name="MONTO TOTAL ESTIMADO"/>
  </tableColumns>
  <tableStyleInfo showFirstColumn="0" showLastColumn="0" showRowStripes="1" showColumnStripes="0"/>
</table>
</file>

<file path=xl/tables/table1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2" xr:uid="{00000000-000C-0000-FFFF-FFFFAC000000}" name="Table222" displayName="Table222" ref="A4152:F4153" totalsRowShown="0">
  <tableColumns count="6">
    <tableColumn id="1" xr3:uid="{00000000-0010-0000-AC00-000001000000}" name="CÓDIGO CATÁLOGO"/>
    <tableColumn id="2" xr3:uid="{00000000-0010-0000-AC00-000002000000}" name="ARTÍCULO"/>
    <tableColumn id="3" xr3:uid="{00000000-0010-0000-AC00-000003000000}" name="UNIDAD DE MEDIDA"/>
    <tableColumn id="4" xr3:uid="{00000000-0010-0000-AC00-000004000000}" name="CANTIDAD TOTAL ESTIMADA"/>
    <tableColumn id="5" xr3:uid="{00000000-0010-0000-AC00-000005000000}" name="PRECIO UNITARIO ESTIMADO"/>
    <tableColumn id="6" xr3:uid="{00000000-0010-0000-AC00-000006000000}" name="MONTO TOTAL ESTIMADO"/>
  </tableColumns>
  <tableStyleInfo showFirstColumn="0" showLastColumn="0" showRowStripes="1" showColumnStripes="0"/>
</table>
</file>

<file path=xl/tables/table1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AD000000}" name="Table92" displayName="Table92" ref="A1889:F1892" totalsRowShown="0">
  <tableColumns count="6">
    <tableColumn id="1" xr3:uid="{00000000-0010-0000-AD00-000001000000}" name="CÓDIGO CATÁLOGO"/>
    <tableColumn id="2" xr3:uid="{00000000-0010-0000-AD00-000002000000}" name="ARTÍCULO"/>
    <tableColumn id="3" xr3:uid="{00000000-0010-0000-AD00-000003000000}" name="UNIDAD DE MEDIDA"/>
    <tableColumn id="4" xr3:uid="{00000000-0010-0000-AD00-000004000000}" name="CANTIDAD TOTAL ESTIMADA"/>
    <tableColumn id="5" xr3:uid="{00000000-0010-0000-AD00-000005000000}" name="PRECIO UNITARIO ESTIMADO"/>
    <tableColumn id="6" xr3:uid="{00000000-0010-0000-AD00-000006000000}" name="MONTO TOTAL ESTIMADO"/>
  </tableColumns>
  <tableStyleInfo showFirstColumn="0" showLastColumn="0" showRowStripes="1" showColumnStripes="0"/>
</table>
</file>

<file path=xl/tables/table1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AE000000}" name="Table70" displayName="Table70" ref="A1441:F1448" totalsRowShown="0">
  <tableColumns count="6">
    <tableColumn id="1" xr3:uid="{00000000-0010-0000-AE00-000001000000}" name="CÓDIGO CATÁLOGO"/>
    <tableColumn id="2" xr3:uid="{00000000-0010-0000-AE00-000002000000}" name="ARTÍCULO"/>
    <tableColumn id="3" xr3:uid="{00000000-0010-0000-AE00-000003000000}" name="UNIDAD DE MEDIDA"/>
    <tableColumn id="4" xr3:uid="{00000000-0010-0000-AE00-000004000000}" name="CANTIDAD TOTAL ESTIMADA"/>
    <tableColumn id="5" xr3:uid="{00000000-0010-0000-AE00-000005000000}" name="PRECIO UNITARIO ESTIMADO"/>
    <tableColumn id="6" xr3:uid="{00000000-0010-0000-AE00-000006000000}" name="MONTO TOTAL ESTIMADO"/>
  </tableColumns>
  <tableStyleInfo showFirstColumn="0" showLastColumn="0" showRowStripes="1" showColumnStripes="0"/>
</table>
</file>

<file path=xl/tables/table1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AF000000}" name="Table97" displayName="Table97" ref="A1967:F1973" totalsRowShown="0">
  <tableColumns count="6">
    <tableColumn id="1" xr3:uid="{00000000-0010-0000-AF00-000001000000}" name="CÓDIGO CATÁLOGO"/>
    <tableColumn id="2" xr3:uid="{00000000-0010-0000-AF00-000002000000}" name="ARTÍCULO"/>
    <tableColumn id="3" xr3:uid="{00000000-0010-0000-AF00-000003000000}" name="UNIDAD DE MEDIDA"/>
    <tableColumn id="4" xr3:uid="{00000000-0010-0000-AF00-000004000000}" name="CANTIDAD TOTAL ESTIMADA"/>
    <tableColumn id="5" xr3:uid="{00000000-0010-0000-AF00-000005000000}" name="PRECIO UNITARIO ESTIMADO"/>
    <tableColumn id="6" xr3:uid="{00000000-0010-0000-AF00-000006000000}" name="MONTO TOTAL ESTIMADO"/>
  </tableColumns>
  <tableStyleInfo showFirstColumn="0" showLastColumn="0" showRowStripes="1" showColumnStripes="0"/>
</table>
</file>

<file path=xl/tables/table1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B0000000}" name="Table132" displayName="Table132" ref="A2459:F2460" totalsRowShown="0">
  <tableColumns count="6">
    <tableColumn id="1" xr3:uid="{00000000-0010-0000-B000-000001000000}" name="CÓDIGO CATÁLOGO"/>
    <tableColumn id="2" xr3:uid="{00000000-0010-0000-B000-000002000000}" name="ARTÍCULO"/>
    <tableColumn id="3" xr3:uid="{00000000-0010-0000-B000-000003000000}" name="UNIDAD DE MEDIDA"/>
    <tableColumn id="4" xr3:uid="{00000000-0010-0000-B000-000004000000}" name="CANTIDAD TOTAL ESTIMADA"/>
    <tableColumn id="5" xr3:uid="{00000000-0010-0000-B000-000005000000}" name="PRECIO UNITARIO ESTIMADO"/>
    <tableColumn id="6" xr3:uid="{00000000-0010-0000-B000-000006000000}" name="MONTO TOTAL ESTIMADO"/>
  </tableColumns>
  <tableStyleInfo showFirstColumn="0" showLastColumn="0" showRowStripes="1" showColumnStripes="0"/>
</table>
</file>

<file path=xl/tables/table1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2" xr:uid="{00000000-000C-0000-FFFF-FFFFB1000000}" name="Table212" displayName="Table212" ref="A3868:F3876" totalsRowShown="0">
  <tableColumns count="6">
    <tableColumn id="1" xr3:uid="{00000000-0010-0000-B100-000001000000}" name="CÓDIGO CATÁLOGO"/>
    <tableColumn id="2" xr3:uid="{00000000-0010-0000-B100-000002000000}" name="ARTÍCULO"/>
    <tableColumn id="3" xr3:uid="{00000000-0010-0000-B100-000003000000}" name="UNIDAD DE MEDIDA"/>
    <tableColumn id="4" xr3:uid="{00000000-0010-0000-B100-000004000000}" name="CANTIDAD TOTAL ESTIMADA"/>
    <tableColumn id="5" xr3:uid="{00000000-0010-0000-B100-000005000000}" name="PRECIO UNITARIO ESTIMADO"/>
    <tableColumn id="6" xr3:uid="{00000000-0010-0000-B100-000006000000}" name="MONTO TOTAL ESTIMADO"/>
  </tableColumns>
  <tableStyleInfo showFirstColumn="0" showLastColumn="0" showRowStripes="1" showColumnStripes="0"/>
</table>
</file>

<file path=xl/tables/table1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5" xr:uid="{00000000-000C-0000-FFFF-FFFFB2000000}" name="Table175" displayName="Table175" ref="A3273:F3274" totalsRowShown="0">
  <tableColumns count="6">
    <tableColumn id="1" xr3:uid="{00000000-0010-0000-B200-000001000000}" name="CÓDIGO CATÁLOGO"/>
    <tableColumn id="2" xr3:uid="{00000000-0010-0000-B200-000002000000}" name="ARTÍCULO"/>
    <tableColumn id="3" xr3:uid="{00000000-0010-0000-B200-000003000000}" name="UNIDAD DE MEDIDA"/>
    <tableColumn id="4" xr3:uid="{00000000-0010-0000-B200-000004000000}" name="CANTIDAD TOTAL ESTIMADA"/>
    <tableColumn id="5" xr3:uid="{00000000-0010-0000-B200-000005000000}" name="PRECIO UNITARIO ESTIMADO"/>
    <tableColumn id="6" xr3:uid="{00000000-0010-0000-B2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11000000}" name="Table65" displayName="Table65" ref="A1386:F1387"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00000000-000C-0000-FFFF-FFFFB3000000}" name="Table170" displayName="Table170" ref="A3154:F3205" totalsRowShown="0">
  <tableColumns count="6">
    <tableColumn id="1" xr3:uid="{00000000-0010-0000-B300-000001000000}" name="CÓDIGO CATÁLOGO"/>
    <tableColumn id="2" xr3:uid="{00000000-0010-0000-B300-000002000000}" name="ARTÍCULO"/>
    <tableColumn id="3" xr3:uid="{00000000-0010-0000-B300-000003000000}" name="UNIDAD DE MEDIDA"/>
    <tableColumn id="4" xr3:uid="{00000000-0010-0000-B300-000004000000}" name="CANTIDAD TOTAL ESTIMADA"/>
    <tableColumn id="5" xr3:uid="{00000000-0010-0000-B300-000005000000}" name="PRECIO UNITARIO ESTIMADO"/>
    <tableColumn id="6" xr3:uid="{00000000-0010-0000-B300-000006000000}" name="MONTO TOTAL ESTIMADO"/>
  </tableColumns>
  <tableStyleInfo showFirstColumn="0" showLastColumn="0" showRowStripes="1" showColumnStripes="0"/>
</table>
</file>

<file path=xl/tables/table1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B4000000}" name="Table37" displayName="Table37" ref="A900:F902" totalsRowShown="0">
  <tableColumns count="6">
    <tableColumn id="1" xr3:uid="{00000000-0010-0000-B400-000001000000}" name="CÓDIGO CATÁLOGO"/>
    <tableColumn id="2" xr3:uid="{00000000-0010-0000-B400-000002000000}" name="ARTÍCULO"/>
    <tableColumn id="3" xr3:uid="{00000000-0010-0000-B400-000003000000}" name="UNIDAD DE MEDIDA"/>
    <tableColumn id="4" xr3:uid="{00000000-0010-0000-B400-000004000000}" name="CANTIDAD TOTAL ESTIMADA"/>
    <tableColumn id="5" xr3:uid="{00000000-0010-0000-B400-000005000000}" name="PRECIO UNITARIO ESTIMADO"/>
    <tableColumn id="6" xr3:uid="{00000000-0010-0000-B400-000006000000}" name="MONTO TOTAL ESTIMADO"/>
  </tableColumns>
  <tableStyleInfo showFirstColumn="0" showLastColumn="0" showRowStripes="1" showColumnStripes="0"/>
</table>
</file>

<file path=xl/tables/table1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B5000000}" name="Table41" displayName="Table41" ref="A963:F964" totalsRowShown="0">
  <tableColumns count="6">
    <tableColumn id="1" xr3:uid="{00000000-0010-0000-B500-000001000000}" name="CÓDIGO CATÁLOGO"/>
    <tableColumn id="2" xr3:uid="{00000000-0010-0000-B500-000002000000}" name="ARTÍCULO"/>
    <tableColumn id="3" xr3:uid="{00000000-0010-0000-B500-000003000000}" name="UNIDAD DE MEDIDA"/>
    <tableColumn id="4" xr3:uid="{00000000-0010-0000-B500-000004000000}" name="CANTIDAD TOTAL ESTIMADA"/>
    <tableColumn id="5" xr3:uid="{00000000-0010-0000-B500-000005000000}" name="PRECIO UNITARIO ESTIMADO"/>
    <tableColumn id="6" xr3:uid="{00000000-0010-0000-B500-000006000000}" name="MONTO TOTAL ESTIMADO"/>
  </tableColumns>
  <tableStyleInfo showFirstColumn="0" showLastColumn="0" showRowStripes="1" showColumnStripes="0"/>
</table>
</file>

<file path=xl/tables/table1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B6000000}" name="Table139" displayName="Table139" ref="A2550:F2551" totalsRowShown="0">
  <tableColumns count="6">
    <tableColumn id="1" xr3:uid="{00000000-0010-0000-B600-000001000000}" name="CÓDIGO CATÁLOGO"/>
    <tableColumn id="2" xr3:uid="{00000000-0010-0000-B600-000002000000}" name="ARTÍCULO"/>
    <tableColumn id="3" xr3:uid="{00000000-0010-0000-B600-000003000000}" name="UNIDAD DE MEDIDA"/>
    <tableColumn id="4" xr3:uid="{00000000-0010-0000-B600-000004000000}" name="CANTIDAD TOTAL ESTIMADA"/>
    <tableColumn id="5" xr3:uid="{00000000-0010-0000-B600-000005000000}" name="PRECIO UNITARIO ESTIMADO"/>
    <tableColumn id="6" xr3:uid="{00000000-0010-0000-B600-000006000000}" name="MONTO TOTAL ESTIMADO"/>
  </tableColumns>
  <tableStyleInfo showFirstColumn="0" showLastColumn="0" showRowStripes="1" showColumnStripes="0"/>
</table>
</file>

<file path=xl/tables/table1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B7000000}" name="Table51" displayName="Table51" ref="A1144:F1149" totalsRowShown="0">
  <tableColumns count="6">
    <tableColumn id="1" xr3:uid="{00000000-0010-0000-B700-000001000000}" name="CÓDIGO CATÁLOGO"/>
    <tableColumn id="2" xr3:uid="{00000000-0010-0000-B700-000002000000}" name="ARTÍCULO"/>
    <tableColumn id="3" xr3:uid="{00000000-0010-0000-B700-000003000000}" name="UNIDAD DE MEDIDA"/>
    <tableColumn id="4" xr3:uid="{00000000-0010-0000-B700-000004000000}" name="CANTIDAD TOTAL ESTIMADA"/>
    <tableColumn id="5" xr3:uid="{00000000-0010-0000-B700-000005000000}" name="PRECIO UNITARIO ESTIMADO"/>
    <tableColumn id="6" xr3:uid="{00000000-0010-0000-B700-000006000000}" name="MONTO TOTAL ESTIMADO"/>
  </tableColumns>
  <tableStyleInfo showFirstColumn="0" showLastColumn="0" showRowStripes="1" showColumnStripes="0"/>
</table>
</file>

<file path=xl/tables/table1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B8000000}" name="Table100" displayName="Table100" ref="A2005:F2008" totalsRowShown="0">
  <tableColumns count="6">
    <tableColumn id="1" xr3:uid="{00000000-0010-0000-B800-000001000000}" name="CÓDIGO CATÁLOGO"/>
    <tableColumn id="2" xr3:uid="{00000000-0010-0000-B800-000002000000}" name="ARTÍCULO"/>
    <tableColumn id="3" xr3:uid="{00000000-0010-0000-B800-000003000000}" name="UNIDAD DE MEDIDA"/>
    <tableColumn id="4" xr3:uid="{00000000-0010-0000-B800-000004000000}" name="CANTIDAD TOTAL ESTIMADA"/>
    <tableColumn id="5" xr3:uid="{00000000-0010-0000-B800-000005000000}" name="PRECIO UNITARIO ESTIMADO"/>
    <tableColumn id="6" xr3:uid="{00000000-0010-0000-B800-000006000000}" name="MONTO TOTAL ESTIMADO"/>
  </tableColumns>
  <tableStyleInfo showFirstColumn="0" showLastColumn="0" showRowStripes="1" showColumnStripes="0"/>
</table>
</file>

<file path=xl/tables/table1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B9000000}" name="Table16" displayName="Table16" ref="A265:F266" totalsRowShown="0">
  <tableColumns count="6">
    <tableColumn id="1" xr3:uid="{00000000-0010-0000-B900-000001000000}" name="CÓDIGO CATÁLOGO"/>
    <tableColumn id="2" xr3:uid="{00000000-0010-0000-B900-000002000000}" name="ARTÍCULO"/>
    <tableColumn id="3" xr3:uid="{00000000-0010-0000-B900-000003000000}" name="UNIDAD DE MEDIDA"/>
    <tableColumn id="4" xr3:uid="{00000000-0010-0000-B900-000004000000}" name="CANTIDAD TOTAL ESTIMADA"/>
    <tableColumn id="5" xr3:uid="{00000000-0010-0000-B900-000005000000}" name="PRECIO UNITARIO ESTIMADO"/>
    <tableColumn id="6" xr3:uid="{00000000-0010-0000-B900-000006000000}" name="MONTO TOTAL ESTIMADO"/>
  </tableColumns>
  <tableStyleInfo showFirstColumn="0" showLastColumn="0" showRowStripes="1" showColumnStripes="0"/>
</table>
</file>

<file path=xl/tables/table1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BA000000}" name="Table89" displayName="Table89" ref="A1851:F1853" totalsRowShown="0">
  <tableColumns count="6">
    <tableColumn id="1" xr3:uid="{00000000-0010-0000-BA00-000001000000}" name="CÓDIGO CATÁLOGO"/>
    <tableColumn id="2" xr3:uid="{00000000-0010-0000-BA00-000002000000}" name="ARTÍCULO"/>
    <tableColumn id="3" xr3:uid="{00000000-0010-0000-BA00-000003000000}" name="UNIDAD DE MEDIDA"/>
    <tableColumn id="4" xr3:uid="{00000000-0010-0000-BA00-000004000000}" name="CANTIDAD TOTAL ESTIMADA"/>
    <tableColumn id="5" xr3:uid="{00000000-0010-0000-BA00-000005000000}" name="PRECIO UNITARIO ESTIMADO"/>
    <tableColumn id="6" xr3:uid="{00000000-0010-0000-BA00-000006000000}" name="MONTO TOTAL ESTIMADO"/>
  </tableColumns>
  <tableStyleInfo showFirstColumn="0" showLastColumn="0" showRowStripes="1" showColumnStripes="0"/>
</table>
</file>

<file path=xl/tables/table1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6" xr:uid="{00000000-000C-0000-FFFF-FFFFBB000000}" name="Table216" displayName="Table216" ref="A4003:F4004" totalsRowShown="0">
  <tableColumns count="6">
    <tableColumn id="1" xr3:uid="{00000000-0010-0000-BB00-000001000000}" name="CÓDIGO CATÁLOGO"/>
    <tableColumn id="2" xr3:uid="{00000000-0010-0000-BB00-000002000000}" name="ARTÍCULO"/>
    <tableColumn id="3" xr3:uid="{00000000-0010-0000-BB00-000003000000}" name="UNIDAD DE MEDIDA"/>
    <tableColumn id="4" xr3:uid="{00000000-0010-0000-BB00-000004000000}" name="CANTIDAD TOTAL ESTIMADA"/>
    <tableColumn id="5" xr3:uid="{00000000-0010-0000-BB00-000005000000}" name="PRECIO UNITARIO ESTIMADO"/>
    <tableColumn id="6" xr3:uid="{00000000-0010-0000-BB00-000006000000}" name="MONTO TOTAL ESTIMADO"/>
  </tableColumns>
  <tableStyleInfo showFirstColumn="0" showLastColumn="0" showRowStripes="1" showColumnStripes="0"/>
</table>
</file>

<file path=xl/tables/table1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BC000000}" name="Table52" displayName="Table52" ref="A1159:F1160" totalsRowShown="0">
  <tableColumns count="6">
    <tableColumn id="1" xr3:uid="{00000000-0010-0000-BC00-000001000000}" name="CÓDIGO CATÁLOGO"/>
    <tableColumn id="2" xr3:uid="{00000000-0010-0000-BC00-000002000000}" name="ARTÍCULO"/>
    <tableColumn id="3" xr3:uid="{00000000-0010-0000-BC00-000003000000}" name="UNIDAD DE MEDIDA"/>
    <tableColumn id="4" xr3:uid="{00000000-0010-0000-BC00-000004000000}" name="CANTIDAD TOTAL ESTIMADA"/>
    <tableColumn id="5" xr3:uid="{00000000-0010-0000-BC00-000005000000}" name="PRECIO UNITARIO ESTIMADO"/>
    <tableColumn id="6" xr3:uid="{00000000-0010-0000-BC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1" xr:uid="{00000000-000C-0000-FFFF-FFFF12000000}" name="Table181" displayName="Table181" ref="A3339:F3340"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1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BD000000}" name="Table31" displayName="Table31" ref="A771:F779" totalsRowShown="0">
  <tableColumns count="6">
    <tableColumn id="1" xr3:uid="{00000000-0010-0000-BD00-000001000000}" name="CÓDIGO CATÁLOGO"/>
    <tableColumn id="2" xr3:uid="{00000000-0010-0000-BD00-000002000000}" name="ARTÍCULO"/>
    <tableColumn id="3" xr3:uid="{00000000-0010-0000-BD00-000003000000}" name="UNIDAD DE MEDIDA"/>
    <tableColumn id="4" xr3:uid="{00000000-0010-0000-BD00-000004000000}" name="CANTIDAD TOTAL ESTIMADA"/>
    <tableColumn id="5" xr3:uid="{00000000-0010-0000-BD00-000005000000}" name="PRECIO UNITARIO ESTIMADO"/>
    <tableColumn id="6" xr3:uid="{00000000-0010-0000-BD00-000006000000}" name="MONTO TOTAL ESTIMADO"/>
  </tableColumns>
  <tableStyleInfo showFirstColumn="0" showLastColumn="0" showRowStripes="1" showColumnStripes="0"/>
</table>
</file>

<file path=xl/tables/table1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8" xr:uid="{00000000-000C-0000-FFFF-FFFFBE000000}" name="Table208" displayName="Table208" ref="A3804:F3806" totalsRowShown="0">
  <tableColumns count="6">
    <tableColumn id="1" xr3:uid="{00000000-0010-0000-BE00-000001000000}" name="CÓDIGO CATÁLOGO"/>
    <tableColumn id="2" xr3:uid="{00000000-0010-0000-BE00-000002000000}" name="ARTÍCULO"/>
    <tableColumn id="3" xr3:uid="{00000000-0010-0000-BE00-000003000000}" name="UNIDAD DE MEDIDA"/>
    <tableColumn id="4" xr3:uid="{00000000-0010-0000-BE00-000004000000}" name="CANTIDAD TOTAL ESTIMADA"/>
    <tableColumn id="5" xr3:uid="{00000000-0010-0000-BE00-000005000000}" name="PRECIO UNITARIO ESTIMADO"/>
    <tableColumn id="6" xr3:uid="{00000000-0010-0000-BE00-000006000000}" name="MONTO TOTAL ESTIMADO"/>
  </tableColumns>
  <tableStyleInfo showFirstColumn="0" showLastColumn="0" showRowStripes="1" showColumnStripes="0"/>
</table>
</file>

<file path=xl/tables/table1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9" xr:uid="{00000000-000C-0000-FFFF-FFFFBF000000}" name="Table229" displayName="Table229" ref="A4459:F4465" totalsRowShown="0">
  <tableColumns count="6">
    <tableColumn id="1" xr3:uid="{00000000-0010-0000-BF00-000001000000}" name="CÓDIGO CATÁLOGO"/>
    <tableColumn id="2" xr3:uid="{00000000-0010-0000-BF00-000002000000}" name="ARTÍCULO"/>
    <tableColumn id="3" xr3:uid="{00000000-0010-0000-BF00-000003000000}" name="UNIDAD DE MEDIDA"/>
    <tableColumn id="4" xr3:uid="{00000000-0010-0000-BF00-000004000000}" name="CANTIDAD TOTAL ESTIMADA"/>
    <tableColumn id="5" xr3:uid="{00000000-0010-0000-BF00-000005000000}" name="PRECIO UNITARIO ESTIMADO"/>
    <tableColumn id="6" xr3:uid="{00000000-0010-0000-BF00-000006000000}" name="MONTO TOTAL ESTIMADO"/>
  </tableColumns>
  <tableStyleInfo showFirstColumn="0" showLastColumn="0" showRowStripes="1" showColumnStripes="0"/>
</table>
</file>

<file path=xl/tables/table1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9" xr:uid="{00000000-000C-0000-FFFF-FFFFC0000000}" name="Table209" displayName="Table209" ref="A3816:F3817" totalsRowShown="0">
  <tableColumns count="6">
    <tableColumn id="1" xr3:uid="{00000000-0010-0000-C000-000001000000}" name="CÓDIGO CATÁLOGO"/>
    <tableColumn id="2" xr3:uid="{00000000-0010-0000-C000-000002000000}" name="ARTÍCULO"/>
    <tableColumn id="3" xr3:uid="{00000000-0010-0000-C000-000003000000}" name="UNIDAD DE MEDIDA"/>
    <tableColumn id="4" xr3:uid="{00000000-0010-0000-C000-000004000000}" name="CANTIDAD TOTAL ESTIMADA"/>
    <tableColumn id="5" xr3:uid="{00000000-0010-0000-C000-000005000000}" name="PRECIO UNITARIO ESTIMADO"/>
    <tableColumn id="6" xr3:uid="{00000000-0010-0000-C000-000006000000}" name="MONTO TOTAL ESTIMADO"/>
  </tableColumns>
  <tableStyleInfo showFirstColumn="0" showLastColumn="0" showRowStripes="1" showColumnStripes="0"/>
</table>
</file>

<file path=xl/tables/table1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C1000000}" name="Table15" displayName="Table15" ref="A254:F255" totalsRowShown="0">
  <tableColumns count="6">
    <tableColumn id="1" xr3:uid="{00000000-0010-0000-C100-000001000000}" name="CÓDIGO CATÁLOGO"/>
    <tableColumn id="2" xr3:uid="{00000000-0010-0000-C100-000002000000}" name="ARTÍCULO"/>
    <tableColumn id="3" xr3:uid="{00000000-0010-0000-C100-000003000000}" name="UNIDAD DE MEDIDA"/>
    <tableColumn id="4" xr3:uid="{00000000-0010-0000-C100-000004000000}" name="CANTIDAD TOTAL ESTIMADA"/>
    <tableColumn id="5" xr3:uid="{00000000-0010-0000-C100-000005000000}" name="PRECIO UNITARIO ESTIMADO"/>
    <tableColumn id="6" xr3:uid="{00000000-0010-0000-C100-000006000000}" name="MONTO TOTAL ESTIMADO"/>
  </tableColumns>
  <tableStyleInfo showFirstColumn="0" showLastColumn="0" showRowStripes="1" showColumnStripes="0"/>
</table>
</file>

<file path=xl/tables/table1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C2000000}" name="Table5" displayName="Table5" ref="A33:F34" totalsRowShown="0">
  <tableColumns count="6">
    <tableColumn id="1" xr3:uid="{00000000-0010-0000-C200-000001000000}" name="CÓDIGO CATÁLOGO"/>
    <tableColumn id="2" xr3:uid="{00000000-0010-0000-C200-000002000000}" name="ARTÍCULO"/>
    <tableColumn id="3" xr3:uid="{00000000-0010-0000-C200-000003000000}" name="UNIDAD DE MEDIDA"/>
    <tableColumn id="4" xr3:uid="{00000000-0010-0000-C200-000004000000}" name="CANTIDAD TOTAL ESTIMADA"/>
    <tableColumn id="5" xr3:uid="{00000000-0010-0000-C200-000005000000}" name="PRECIO UNITARIO ESTIMADO"/>
    <tableColumn id="6" xr3:uid="{00000000-0010-0000-C200-000006000000}" name="MONTO TOTAL ESTIMADO"/>
  </tableColumns>
  <tableStyleInfo showFirstColumn="0" showLastColumn="0" showRowStripes="1" showColumnStripes="0"/>
</table>
</file>

<file path=xl/tables/table1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00000000-000C-0000-FFFF-FFFFC3000000}" name="Table166" displayName="Table166" ref="A3099:F3108" totalsRowShown="0">
  <tableColumns count="6">
    <tableColumn id="1" xr3:uid="{00000000-0010-0000-C300-000001000000}" name="CÓDIGO CATÁLOGO"/>
    <tableColumn id="2" xr3:uid="{00000000-0010-0000-C300-000002000000}" name="ARTÍCULO"/>
    <tableColumn id="3" xr3:uid="{00000000-0010-0000-C300-000003000000}" name="UNIDAD DE MEDIDA"/>
    <tableColumn id="4" xr3:uid="{00000000-0010-0000-C300-000004000000}" name="CANTIDAD TOTAL ESTIMADA"/>
    <tableColumn id="5" xr3:uid="{00000000-0010-0000-C300-000005000000}" name="PRECIO UNITARIO ESTIMADO"/>
    <tableColumn id="6" xr3:uid="{00000000-0010-0000-C300-000006000000}" name="MONTO TOTAL ESTIMADO"/>
  </tableColumns>
  <tableStyleInfo showFirstColumn="0" showLastColumn="0" showRowStripes="1" showColumnStripes="0"/>
</table>
</file>

<file path=xl/tables/table1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C4000000}" name="Table29" displayName="Table29" ref="A718:F723" totalsRowShown="0">
  <tableColumns count="6">
    <tableColumn id="1" xr3:uid="{00000000-0010-0000-C400-000001000000}" name="CÓDIGO CATÁLOGO"/>
    <tableColumn id="2" xr3:uid="{00000000-0010-0000-C400-000002000000}" name="ARTÍCULO"/>
    <tableColumn id="3" xr3:uid="{00000000-0010-0000-C400-000003000000}" name="UNIDAD DE MEDIDA"/>
    <tableColumn id="4" xr3:uid="{00000000-0010-0000-C400-000004000000}" name="CANTIDAD TOTAL ESTIMADA"/>
    <tableColumn id="5" xr3:uid="{00000000-0010-0000-C400-000005000000}" name="PRECIO UNITARIO ESTIMADO"/>
    <tableColumn id="6" xr3:uid="{00000000-0010-0000-C400-000006000000}" name="MONTO TOTAL ESTIMADO"/>
  </tableColumns>
  <tableStyleInfo showFirstColumn="0" showLastColumn="0" showRowStripes="1" showColumnStripes="0"/>
</table>
</file>

<file path=xl/tables/table1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8" xr:uid="{00000000-000C-0000-FFFF-FFFFC5000000}" name="Table188" displayName="Table188" ref="A3417:F3419" totalsRowShown="0">
  <tableColumns count="6">
    <tableColumn id="1" xr3:uid="{00000000-0010-0000-C500-000001000000}" name="CÓDIGO CATÁLOGO"/>
    <tableColumn id="2" xr3:uid="{00000000-0010-0000-C500-000002000000}" name="ARTÍCULO"/>
    <tableColumn id="3" xr3:uid="{00000000-0010-0000-C500-000003000000}" name="UNIDAD DE MEDIDA"/>
    <tableColumn id="4" xr3:uid="{00000000-0010-0000-C500-000004000000}" name="CANTIDAD TOTAL ESTIMADA"/>
    <tableColumn id="5" xr3:uid="{00000000-0010-0000-C500-000005000000}" name="PRECIO UNITARIO ESTIMADO"/>
    <tableColumn id="6" xr3:uid="{00000000-0010-0000-C500-000006000000}" name="MONTO TOTAL ESTIMADO"/>
  </tableColumns>
  <tableStyleInfo showFirstColumn="0" showLastColumn="0" showRowStripes="1" showColumnStripes="0"/>
</table>
</file>

<file path=xl/tables/table1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C6000000}" name="Table85" displayName="Table85" ref="A1696:F1755" totalsRowShown="0">
  <tableColumns count="6">
    <tableColumn id="1" xr3:uid="{00000000-0010-0000-C600-000001000000}" name="CÓDIGO CATÁLOGO"/>
    <tableColumn id="2" xr3:uid="{00000000-0010-0000-C600-000002000000}" name="ARTÍCULO"/>
    <tableColumn id="3" xr3:uid="{00000000-0010-0000-C600-000003000000}" name="UNIDAD DE MEDIDA"/>
    <tableColumn id="4" xr3:uid="{00000000-0010-0000-C600-000004000000}" name="CANTIDAD TOTAL ESTIMADA"/>
    <tableColumn id="5" xr3:uid="{00000000-0010-0000-C600-000005000000}" name="PRECIO UNITARIO ESTIMADO"/>
    <tableColumn id="6" xr3:uid="{00000000-0010-0000-C6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1" xr:uid="{00000000-000C-0000-FFFF-FFFF01000000}" name="Table201" displayName="Table201" ref="A3565:F3681"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13000000}" name="Table126" displayName="Table126" ref="A2359:F2368"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C7000000}" name="Table103" displayName="Table103" ref="A2040:F2041" totalsRowShown="0">
  <tableColumns count="6">
    <tableColumn id="1" xr3:uid="{00000000-0010-0000-C700-000001000000}" name="CÓDIGO CATÁLOGO"/>
    <tableColumn id="2" xr3:uid="{00000000-0010-0000-C700-000002000000}" name="ARTÍCULO"/>
    <tableColumn id="3" xr3:uid="{00000000-0010-0000-C700-000003000000}" name="UNIDAD DE MEDIDA"/>
    <tableColumn id="4" xr3:uid="{00000000-0010-0000-C700-000004000000}" name="CANTIDAD TOTAL ESTIMADA"/>
    <tableColumn id="5" xr3:uid="{00000000-0010-0000-C700-000005000000}" name="PRECIO UNITARIO ESTIMADO"/>
    <tableColumn id="6" xr3:uid="{00000000-0010-0000-C700-000006000000}" name="MONTO TOTAL ESTIMADO"/>
  </tableColumns>
  <tableStyleInfo showFirstColumn="0" showLastColumn="0" showRowStripes="1" showColumnStripes="0"/>
</table>
</file>

<file path=xl/tables/table2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C8000000}" name="Table33" displayName="Table33" ref="A849:F855" totalsRowShown="0">
  <tableColumns count="6">
    <tableColumn id="1" xr3:uid="{00000000-0010-0000-C800-000001000000}" name="CÓDIGO CATÁLOGO"/>
    <tableColumn id="2" xr3:uid="{00000000-0010-0000-C800-000002000000}" name="ARTÍCULO"/>
    <tableColumn id="3" xr3:uid="{00000000-0010-0000-C800-000003000000}" name="UNIDAD DE MEDIDA"/>
    <tableColumn id="4" xr3:uid="{00000000-0010-0000-C800-000004000000}" name="CANTIDAD TOTAL ESTIMADA"/>
    <tableColumn id="5" xr3:uid="{00000000-0010-0000-C800-000005000000}" name="PRECIO UNITARIO ESTIMADO"/>
    <tableColumn id="6" xr3:uid="{00000000-0010-0000-C800-000006000000}" name="MONTO TOTAL ESTIMADO"/>
  </tableColumns>
  <tableStyleInfo showFirstColumn="0" showLastColumn="0" showRowStripes="1" showColumnStripes="0"/>
</table>
</file>

<file path=xl/tables/table2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C9000000}" name="Table30" displayName="Table30" ref="A733:F761" totalsRowShown="0">
  <tableColumns count="6">
    <tableColumn id="1" xr3:uid="{00000000-0010-0000-C900-000001000000}" name="CÓDIGO CATÁLOGO"/>
    <tableColumn id="2" xr3:uid="{00000000-0010-0000-C900-000002000000}" name="ARTÍCULO"/>
    <tableColumn id="3" xr3:uid="{00000000-0010-0000-C900-000003000000}" name="UNIDAD DE MEDIDA"/>
    <tableColumn id="4" xr3:uid="{00000000-0010-0000-C900-000004000000}" name="CANTIDAD TOTAL ESTIMADA"/>
    <tableColumn id="5" xr3:uid="{00000000-0010-0000-C900-000005000000}" name="PRECIO UNITARIO ESTIMADO"/>
    <tableColumn id="6" xr3:uid="{00000000-0010-0000-C900-000006000000}" name="MONTO TOTAL ESTIMADO"/>
  </tableColumns>
  <tableStyleInfo showFirstColumn="0" showLastColumn="0" showRowStripes="1" showColumnStripes="0"/>
</table>
</file>

<file path=xl/tables/table2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CA000000}" name="Table18" displayName="Table18" ref="A287:F307" totalsRowShown="0">
  <tableColumns count="6">
    <tableColumn id="1" xr3:uid="{00000000-0010-0000-CA00-000001000000}" name="CÓDIGO CATÁLOGO"/>
    <tableColumn id="2" xr3:uid="{00000000-0010-0000-CA00-000002000000}" name="ARTÍCULO"/>
    <tableColumn id="3" xr3:uid="{00000000-0010-0000-CA00-000003000000}" name="UNIDAD DE MEDIDA"/>
    <tableColumn id="4" xr3:uid="{00000000-0010-0000-CA00-000004000000}" name="CANTIDAD TOTAL ESTIMADA"/>
    <tableColumn id="5" xr3:uid="{00000000-0010-0000-CA00-000005000000}" name="PRECIO UNITARIO ESTIMADO"/>
    <tableColumn id="6" xr3:uid="{00000000-0010-0000-CA00-000006000000}" name="MONTO TOTAL ESTIMADO"/>
  </tableColumns>
  <tableStyleInfo showFirstColumn="0" showLastColumn="0" showRowStripes="1" showColumnStripes="0"/>
</table>
</file>

<file path=xl/tables/table2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CB000000}" name="Table36" displayName="Table36" ref="A888:F890" totalsRowShown="0">
  <tableColumns count="6">
    <tableColumn id="1" xr3:uid="{00000000-0010-0000-CB00-000001000000}" name="CÓDIGO CATÁLOGO"/>
    <tableColumn id="2" xr3:uid="{00000000-0010-0000-CB00-000002000000}" name="ARTÍCULO"/>
    <tableColumn id="3" xr3:uid="{00000000-0010-0000-CB00-000003000000}" name="UNIDAD DE MEDIDA"/>
    <tableColumn id="4" xr3:uid="{00000000-0010-0000-CB00-000004000000}" name="CANTIDAD TOTAL ESTIMADA"/>
    <tableColumn id="5" xr3:uid="{00000000-0010-0000-CB00-000005000000}" name="PRECIO UNITARIO ESTIMADO"/>
    <tableColumn id="6" xr3:uid="{00000000-0010-0000-CB00-000006000000}" name="MONTO TOTAL ESTIMADO"/>
  </tableColumns>
  <tableStyleInfo showFirstColumn="0" showLastColumn="0" showRowStripes="1" showColumnStripes="0"/>
</table>
</file>

<file path=xl/tables/table2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9" xr:uid="{00000000-000C-0000-FFFF-FFFFCC000000}" name="Table219" displayName="Table219" ref="A4049:F4073" totalsRowShown="0">
  <tableColumns count="6">
    <tableColumn id="1" xr3:uid="{00000000-0010-0000-CC00-000001000000}" name="CÓDIGO CATÁLOGO"/>
    <tableColumn id="2" xr3:uid="{00000000-0010-0000-CC00-000002000000}" name="ARTÍCULO"/>
    <tableColumn id="3" xr3:uid="{00000000-0010-0000-CC00-000003000000}" name="UNIDAD DE MEDIDA"/>
    <tableColumn id="4" xr3:uid="{00000000-0010-0000-CC00-000004000000}" name="CANTIDAD TOTAL ESTIMADA"/>
    <tableColumn id="5" xr3:uid="{00000000-0010-0000-CC00-000005000000}" name="PRECIO UNITARIO ESTIMADO"/>
    <tableColumn id="6" xr3:uid="{00000000-0010-0000-CC00-000006000000}" name="MONTO TOTAL ESTIMADO"/>
  </tableColumns>
  <tableStyleInfo showFirstColumn="0" showLastColumn="0" showRowStripes="1" showColumnStripes="0"/>
</table>
</file>

<file path=xl/tables/table2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CD000000}" name="Table4" displayName="Table4" ref="A22:F23" totalsRowShown="0">
  <tableColumns count="6">
    <tableColumn id="1" xr3:uid="{00000000-0010-0000-CD00-000001000000}" name="CÓDIGO CATÁLOGO"/>
    <tableColumn id="2" xr3:uid="{00000000-0010-0000-CD00-000002000000}" name="ARTÍCULO"/>
    <tableColumn id="3" xr3:uid="{00000000-0010-0000-CD00-000003000000}" name="UNIDAD DE MEDIDA"/>
    <tableColumn id="4" xr3:uid="{00000000-0010-0000-CD00-000004000000}" name="CANTIDAD TOTAL ESTIMADA"/>
    <tableColumn id="5" xr3:uid="{00000000-0010-0000-CD00-000005000000}" name="PRECIO UNITARIO ESTIMADO"/>
    <tableColumn id="6" xr3:uid="{00000000-0010-0000-CD00-000006000000}" name="MONTO TOTAL ESTIMADO"/>
  </tableColumns>
  <tableStyleInfo showFirstColumn="0" showLastColumn="0" showRowStripes="1" showColumnStripes="0"/>
</table>
</file>

<file path=xl/tables/table2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5" xr:uid="{00000000-000C-0000-FFFF-FFFFCE000000}" name="Table225" displayName="Table225" ref="A4271:F4314" totalsRowShown="0">
  <tableColumns count="6">
    <tableColumn id="1" xr3:uid="{00000000-0010-0000-CE00-000001000000}" name="CÓDIGO CATÁLOGO"/>
    <tableColumn id="2" xr3:uid="{00000000-0010-0000-CE00-000002000000}" name="ARTÍCULO"/>
    <tableColumn id="3" xr3:uid="{00000000-0010-0000-CE00-000003000000}" name="UNIDAD DE MEDIDA"/>
    <tableColumn id="4" xr3:uid="{00000000-0010-0000-CE00-000004000000}" name="CANTIDAD TOTAL ESTIMADA"/>
    <tableColumn id="5" xr3:uid="{00000000-0010-0000-CE00-000005000000}" name="PRECIO UNITARIO ESTIMADO"/>
    <tableColumn id="6" xr3:uid="{00000000-0010-0000-CE00-000006000000}" name="MONTO TOTAL ESTIMADO"/>
  </tableColumns>
  <tableStyleInfo showFirstColumn="0" showLastColumn="0" showRowStripes="1" showColumnStripes="0"/>
</table>
</file>

<file path=xl/tables/table2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00000000-000C-0000-FFFF-FFFFCF000000}" name="Table141" displayName="Table141" ref="A2574:F2575" totalsRowShown="0">
  <tableColumns count="6">
    <tableColumn id="1" xr3:uid="{00000000-0010-0000-CF00-000001000000}" name="CÓDIGO CATÁLOGO"/>
    <tableColumn id="2" xr3:uid="{00000000-0010-0000-CF00-000002000000}" name="ARTÍCULO"/>
    <tableColumn id="3" xr3:uid="{00000000-0010-0000-CF00-000003000000}" name="UNIDAD DE MEDIDA"/>
    <tableColumn id="4" xr3:uid="{00000000-0010-0000-CF00-000004000000}" name="CANTIDAD TOTAL ESTIMADA"/>
    <tableColumn id="5" xr3:uid="{00000000-0010-0000-CF00-000005000000}" name="PRECIO UNITARIO ESTIMADO"/>
    <tableColumn id="6" xr3:uid="{00000000-0010-0000-CF00-000006000000}" name="MONTO TOTAL ESTIMADO"/>
  </tableColumns>
  <tableStyleInfo showFirstColumn="0" showLastColumn="0" showRowStripes="1" showColumnStripes="0"/>
</table>
</file>

<file path=xl/tables/table2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D0000000}" name="Table12" displayName="Table12" ref="A150:F151" totalsRowShown="0">
  <tableColumns count="6">
    <tableColumn id="1" xr3:uid="{00000000-0010-0000-D000-000001000000}" name="CÓDIGO CATÁLOGO"/>
    <tableColumn id="2" xr3:uid="{00000000-0010-0000-D000-000002000000}" name="ARTÍCULO"/>
    <tableColumn id="3" xr3:uid="{00000000-0010-0000-D000-000003000000}" name="UNIDAD DE MEDIDA"/>
    <tableColumn id="4" xr3:uid="{00000000-0010-0000-D000-000004000000}" name="CANTIDAD TOTAL ESTIMADA"/>
    <tableColumn id="5" xr3:uid="{00000000-0010-0000-D000-000005000000}" name="PRECIO UNITARIO ESTIMADO"/>
    <tableColumn id="6" xr3:uid="{00000000-0010-0000-D0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6" xr:uid="{00000000-000C-0000-FFFF-FFFF14000000}" name="Table176" displayName="Table176" ref="A3284:F3285"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D1000000}" name="Table107" displayName="Table107" ref="A2084:F2085" totalsRowShown="0">
  <tableColumns count="6">
    <tableColumn id="1" xr3:uid="{00000000-0010-0000-D100-000001000000}" name="CÓDIGO CATÁLOGO"/>
    <tableColumn id="2" xr3:uid="{00000000-0010-0000-D100-000002000000}" name="ARTÍCULO"/>
    <tableColumn id="3" xr3:uid="{00000000-0010-0000-D100-000003000000}" name="UNIDAD DE MEDIDA"/>
    <tableColumn id="4" xr3:uid="{00000000-0010-0000-D100-000004000000}" name="CANTIDAD TOTAL ESTIMADA"/>
    <tableColumn id="5" xr3:uid="{00000000-0010-0000-D100-000005000000}" name="PRECIO UNITARIO ESTIMADO"/>
    <tableColumn id="6" xr3:uid="{00000000-0010-0000-D100-000006000000}" name="MONTO TOTAL ESTIMADO"/>
  </tableColumns>
  <tableStyleInfo showFirstColumn="0" showLastColumn="0" showRowStripes="1" showColumnStripes="0"/>
</table>
</file>

<file path=xl/tables/table2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D2000000}" name="Table83" displayName="Table83" ref="A1651:F1675" totalsRowShown="0">
  <tableColumns count="6">
    <tableColumn id="1" xr3:uid="{00000000-0010-0000-D200-000001000000}" name="CÓDIGO CATÁLOGO"/>
    <tableColumn id="2" xr3:uid="{00000000-0010-0000-D200-000002000000}" name="ARTÍCULO"/>
    <tableColumn id="3" xr3:uid="{00000000-0010-0000-D200-000003000000}" name="UNIDAD DE MEDIDA"/>
    <tableColumn id="4" xr3:uid="{00000000-0010-0000-D200-000004000000}" name="CANTIDAD TOTAL ESTIMADA"/>
    <tableColumn id="5" xr3:uid="{00000000-0010-0000-D200-000005000000}" name="PRECIO UNITARIO ESTIMADO"/>
    <tableColumn id="6" xr3:uid="{00000000-0010-0000-D200-000006000000}" name="MONTO TOTAL ESTIMADO"/>
  </tableColumns>
  <tableStyleInfo showFirstColumn="0" showLastColumn="0" showRowStripes="1" showColumnStripes="0"/>
</table>
</file>

<file path=xl/tables/table2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D3000000}" name="Table73" displayName="Table73" ref="A1488:F1489" totalsRowShown="0">
  <tableColumns count="6">
    <tableColumn id="1" xr3:uid="{00000000-0010-0000-D300-000001000000}" name="CÓDIGO CATÁLOGO"/>
    <tableColumn id="2" xr3:uid="{00000000-0010-0000-D300-000002000000}" name="ARTÍCULO"/>
    <tableColumn id="3" xr3:uid="{00000000-0010-0000-D300-000003000000}" name="UNIDAD DE MEDIDA"/>
    <tableColumn id="4" xr3:uid="{00000000-0010-0000-D300-000004000000}" name="CANTIDAD TOTAL ESTIMADA"/>
    <tableColumn id="5" xr3:uid="{00000000-0010-0000-D300-000005000000}" name="PRECIO UNITARIO ESTIMADO"/>
    <tableColumn id="6" xr3:uid="{00000000-0010-0000-D300-000006000000}" name="MONTO TOTAL ESTIMADO"/>
  </tableColumns>
  <tableStyleInfo showFirstColumn="0" showLastColumn="0" showRowStripes="1" showColumnStripes="0"/>
</table>
</file>

<file path=xl/tables/table2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D4000000}" name="Table25" displayName="Table25" ref="A584:F603" totalsRowShown="0">
  <tableColumns count="6">
    <tableColumn id="1" xr3:uid="{00000000-0010-0000-D400-000001000000}" name="CÓDIGO CATÁLOGO"/>
    <tableColumn id="2" xr3:uid="{00000000-0010-0000-D400-000002000000}" name="ARTÍCULO"/>
    <tableColumn id="3" xr3:uid="{00000000-0010-0000-D400-000003000000}" name="UNIDAD DE MEDIDA"/>
    <tableColumn id="4" xr3:uid="{00000000-0010-0000-D400-000004000000}" name="CANTIDAD TOTAL ESTIMADA"/>
    <tableColumn id="5" xr3:uid="{00000000-0010-0000-D400-000005000000}" name="PRECIO UNITARIO ESTIMADO"/>
    <tableColumn id="6" xr3:uid="{00000000-0010-0000-D400-000006000000}" name="MONTO TOTAL ESTIMADO"/>
  </tableColumns>
  <tableStyleInfo showFirstColumn="0" showLastColumn="0" showRowStripes="1" showColumnStripes="0"/>
</table>
</file>

<file path=xl/tables/table2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7" xr:uid="{00000000-000C-0000-FFFF-FFFFD5000000}" name="Table197" displayName="Table197" ref="A3520:F3521" totalsRowShown="0">
  <tableColumns count="6">
    <tableColumn id="1" xr3:uid="{00000000-0010-0000-D500-000001000000}" name="CÓDIGO CATÁLOGO"/>
    <tableColumn id="2" xr3:uid="{00000000-0010-0000-D500-000002000000}" name="ARTÍCULO"/>
    <tableColumn id="3" xr3:uid="{00000000-0010-0000-D500-000003000000}" name="UNIDAD DE MEDIDA"/>
    <tableColumn id="4" xr3:uid="{00000000-0010-0000-D500-000004000000}" name="CANTIDAD TOTAL ESTIMADA"/>
    <tableColumn id="5" xr3:uid="{00000000-0010-0000-D500-000005000000}" name="PRECIO UNITARIO ESTIMADO"/>
    <tableColumn id="6" xr3:uid="{00000000-0010-0000-D500-000006000000}" name="MONTO TOTAL ESTIMADO"/>
  </tableColumns>
  <tableStyleInfo showFirstColumn="0" showLastColumn="0" showRowStripes="1" showColumnStripes="0"/>
</table>
</file>

<file path=xl/tables/table2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4" xr:uid="{00000000-000C-0000-FFFF-FFFFD6000000}" name="Table204" displayName="Table204" ref="A3717:F3760" totalsRowShown="0">
  <tableColumns count="6">
    <tableColumn id="1" xr3:uid="{00000000-0010-0000-D600-000001000000}" name="CÓDIGO CATÁLOGO"/>
    <tableColumn id="2" xr3:uid="{00000000-0010-0000-D600-000002000000}" name="ARTÍCULO"/>
    <tableColumn id="3" xr3:uid="{00000000-0010-0000-D600-000003000000}" name="UNIDAD DE MEDIDA"/>
    <tableColumn id="4" xr3:uid="{00000000-0010-0000-D600-000004000000}" name="CANTIDAD TOTAL ESTIMADA"/>
    <tableColumn id="5" xr3:uid="{00000000-0010-0000-D600-000005000000}" name="PRECIO UNITARIO ESTIMADO"/>
    <tableColumn id="6" xr3:uid="{00000000-0010-0000-D600-000006000000}" name="MONTO TOTAL ESTIMADO"/>
  </tableColumns>
  <tableStyleInfo showFirstColumn="0" showLastColumn="0" showRowStripes="1" showColumnStripes="0"/>
</table>
</file>

<file path=xl/tables/table2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 xr:uid="{00000000-000C-0000-FFFF-FFFFD7000000}" name="Table189" displayName="Table189" ref="A3429:F3431" totalsRowShown="0">
  <tableColumns count="6">
    <tableColumn id="1" xr3:uid="{00000000-0010-0000-D700-000001000000}" name="CÓDIGO CATÁLOGO"/>
    <tableColumn id="2" xr3:uid="{00000000-0010-0000-D700-000002000000}" name="ARTÍCULO"/>
    <tableColumn id="3" xr3:uid="{00000000-0010-0000-D700-000003000000}" name="UNIDAD DE MEDIDA"/>
    <tableColumn id="4" xr3:uid="{00000000-0010-0000-D700-000004000000}" name="CANTIDAD TOTAL ESTIMADA"/>
    <tableColumn id="5" xr3:uid="{00000000-0010-0000-D700-000005000000}" name="PRECIO UNITARIO ESTIMADO"/>
    <tableColumn id="6" xr3:uid="{00000000-0010-0000-D700-000006000000}" name="MONTO TOTAL ESTIMADO"/>
  </tableColumns>
  <tableStyleInfo showFirstColumn="0" showLastColumn="0" showRowStripes="1" showColumnStripes="0"/>
</table>
</file>

<file path=xl/tables/table2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D8000000}" name="Table88" displayName="Table88" ref="A1834:F1841" totalsRowShown="0">
  <tableColumns count="6">
    <tableColumn id="1" xr3:uid="{00000000-0010-0000-D800-000001000000}" name="CÓDIGO CATÁLOGO"/>
    <tableColumn id="2" xr3:uid="{00000000-0010-0000-D800-000002000000}" name="ARTÍCULO"/>
    <tableColumn id="3" xr3:uid="{00000000-0010-0000-D800-000003000000}" name="UNIDAD DE MEDIDA"/>
    <tableColumn id="4" xr3:uid="{00000000-0010-0000-D800-000004000000}" name="CANTIDAD TOTAL ESTIMADA"/>
    <tableColumn id="5" xr3:uid="{00000000-0010-0000-D800-000005000000}" name="PRECIO UNITARIO ESTIMADO"/>
    <tableColumn id="6" xr3:uid="{00000000-0010-0000-D800-000006000000}" name="MONTO TOTAL ESTIMADO"/>
  </tableColumns>
  <tableStyleInfo showFirstColumn="0" showLastColumn="0" showRowStripes="1" showColumnStripes="0"/>
</table>
</file>

<file path=xl/tables/table2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 xr:uid="{00000000-000C-0000-FFFF-FFFFD9000000}" name="Table202" displayName="Table202" ref="A3691:F3693" totalsRowShown="0">
  <tableColumns count="6">
    <tableColumn id="1" xr3:uid="{00000000-0010-0000-D900-000001000000}" name="CÓDIGO CATÁLOGO"/>
    <tableColumn id="2" xr3:uid="{00000000-0010-0000-D900-000002000000}" name="ARTÍCULO"/>
    <tableColumn id="3" xr3:uid="{00000000-0010-0000-D900-000003000000}" name="UNIDAD DE MEDIDA"/>
    <tableColumn id="4" xr3:uid="{00000000-0010-0000-D900-000004000000}" name="CANTIDAD TOTAL ESTIMADA"/>
    <tableColumn id="5" xr3:uid="{00000000-0010-0000-D900-000005000000}" name="PRECIO UNITARIO ESTIMADO"/>
    <tableColumn id="6" xr3:uid="{00000000-0010-0000-D900-000006000000}" name="MONTO TOTAL ESTIMADO"/>
  </tableColumns>
  <tableStyleInfo showFirstColumn="0" showLastColumn="0" showRowStripes="1" showColumnStripes="0"/>
</table>
</file>

<file path=xl/tables/table2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DA000000}" name="Table84" displayName="Table84" ref="A1685:F1686" totalsRowShown="0">
  <tableColumns count="6">
    <tableColumn id="1" xr3:uid="{00000000-0010-0000-DA00-000001000000}" name="CÓDIGO CATÁLOGO"/>
    <tableColumn id="2" xr3:uid="{00000000-0010-0000-DA00-000002000000}" name="ARTÍCULO"/>
    <tableColumn id="3" xr3:uid="{00000000-0010-0000-DA00-000003000000}" name="UNIDAD DE MEDIDA"/>
    <tableColumn id="4" xr3:uid="{00000000-0010-0000-DA00-000004000000}" name="CANTIDAD TOTAL ESTIMADA"/>
    <tableColumn id="5" xr3:uid="{00000000-0010-0000-DA00-000005000000}" name="PRECIO UNITARIO ESTIMADO"/>
    <tableColumn id="6" xr3:uid="{00000000-0010-0000-DA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1" xr:uid="{00000000-000C-0000-FFFF-FFFF15000000}" name="Table191" displayName="Table191" ref="A3452:F3454"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00000000-000C-0000-FFFF-FFFFDB000000}" name="Table142" displayName="Table142" ref="A2585:F2587" totalsRowShown="0">
  <tableColumns count="6">
    <tableColumn id="1" xr3:uid="{00000000-0010-0000-DB00-000001000000}" name="CÓDIGO CATÁLOGO"/>
    <tableColumn id="2" xr3:uid="{00000000-0010-0000-DB00-000002000000}" name="ARTÍCULO"/>
    <tableColumn id="3" xr3:uid="{00000000-0010-0000-DB00-000003000000}" name="UNIDAD DE MEDIDA"/>
    <tableColumn id="4" xr3:uid="{00000000-0010-0000-DB00-000004000000}" name="CANTIDAD TOTAL ESTIMADA"/>
    <tableColumn id="5" xr3:uid="{00000000-0010-0000-DB00-000005000000}" name="PRECIO UNITARIO ESTIMADO"/>
    <tableColumn id="6" xr3:uid="{00000000-0010-0000-DB00-000006000000}" name="MONTO TOTAL ESTIMADO"/>
  </tableColumns>
  <tableStyleInfo showFirstColumn="0" showLastColumn="0" showRowStripes="1" showColumnStripes="0"/>
</table>
</file>

<file path=xl/tables/table2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DC000000}" name="Table108" displayName="Table108" ref="A2095:F2096" totalsRowShown="0">
  <tableColumns count="6">
    <tableColumn id="1" xr3:uid="{00000000-0010-0000-DC00-000001000000}" name="CÓDIGO CATÁLOGO"/>
    <tableColumn id="2" xr3:uid="{00000000-0010-0000-DC00-000002000000}" name="ARTÍCULO"/>
    <tableColumn id="3" xr3:uid="{00000000-0010-0000-DC00-000003000000}" name="UNIDAD DE MEDIDA"/>
    <tableColumn id="4" xr3:uid="{00000000-0010-0000-DC00-000004000000}" name="CANTIDAD TOTAL ESTIMADA"/>
    <tableColumn id="5" xr3:uid="{00000000-0010-0000-DC00-000005000000}" name="PRECIO UNITARIO ESTIMADO"/>
    <tableColumn id="6" xr3:uid="{00000000-0010-0000-DC00-000006000000}" name="MONTO TOTAL ESTIMADO"/>
  </tableColumns>
  <tableStyleInfo showFirstColumn="0" showLastColumn="0" showRowStripes="1" showColumnStripes="0"/>
</table>
</file>

<file path=xl/tables/table2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DD000000}" name="Table43" displayName="Table43" ref="A988:F989" totalsRowShown="0">
  <tableColumns count="6">
    <tableColumn id="1" xr3:uid="{00000000-0010-0000-DD00-000001000000}" name="CÓDIGO CATÁLOGO"/>
    <tableColumn id="2" xr3:uid="{00000000-0010-0000-DD00-000002000000}" name="ARTÍCULO"/>
    <tableColumn id="3" xr3:uid="{00000000-0010-0000-DD00-000003000000}" name="UNIDAD DE MEDIDA"/>
    <tableColumn id="4" xr3:uid="{00000000-0010-0000-DD00-000004000000}" name="CANTIDAD TOTAL ESTIMADA"/>
    <tableColumn id="5" xr3:uid="{00000000-0010-0000-DD00-000005000000}" name="PRECIO UNITARIO ESTIMADO"/>
    <tableColumn id="6" xr3:uid="{00000000-0010-0000-DD00-000006000000}" name="MONTO TOTAL ESTIMADO"/>
  </tableColumns>
  <tableStyleInfo showFirstColumn="0" showLastColumn="0" showRowStripes="1" showColumnStripes="0"/>
</table>
</file>

<file path=xl/tables/table2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DE000000}" name="Table86" displayName="Table86" ref="A1765:F1798" totalsRowShown="0">
  <tableColumns count="6">
    <tableColumn id="1" xr3:uid="{00000000-0010-0000-DE00-000001000000}" name="CÓDIGO CATÁLOGO"/>
    <tableColumn id="2" xr3:uid="{00000000-0010-0000-DE00-000002000000}" name="ARTÍCULO"/>
    <tableColumn id="3" xr3:uid="{00000000-0010-0000-DE00-000003000000}" name="UNIDAD DE MEDIDA"/>
    <tableColumn id="4" xr3:uid="{00000000-0010-0000-DE00-000004000000}" name="CANTIDAD TOTAL ESTIMADA"/>
    <tableColumn id="5" xr3:uid="{00000000-0010-0000-DE00-000005000000}" name="PRECIO UNITARIO ESTIMADO"/>
    <tableColumn id="6" xr3:uid="{00000000-0010-0000-DE00-000006000000}" name="MONTO TOTAL ESTIMADO"/>
  </tableColumns>
  <tableStyleInfo showFirstColumn="0" showLastColumn="0" showRowStripes="1" showColumnStripes="0"/>
</table>
</file>

<file path=xl/tables/table2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DF000000}" name="Table55" displayName="Table55" ref="A1207:F1208" totalsRowShown="0">
  <tableColumns count="6">
    <tableColumn id="1" xr3:uid="{00000000-0010-0000-DF00-000001000000}" name="CÓDIGO CATÁLOGO"/>
    <tableColumn id="2" xr3:uid="{00000000-0010-0000-DF00-000002000000}" name="ARTÍCULO"/>
    <tableColumn id="3" xr3:uid="{00000000-0010-0000-DF00-000003000000}" name="UNIDAD DE MEDIDA"/>
    <tableColumn id="4" xr3:uid="{00000000-0010-0000-DF00-000004000000}" name="CANTIDAD TOTAL ESTIMADA"/>
    <tableColumn id="5" xr3:uid="{00000000-0010-0000-DF00-000005000000}" name="PRECIO UNITARIO ESTIMADO"/>
    <tableColumn id="6" xr3:uid="{00000000-0010-0000-DF00-000006000000}" name="MONTO TOTAL ESTIMADO"/>
  </tableColumns>
  <tableStyleInfo showFirstColumn="0" showLastColumn="0" showRowStripes="1" showColumnStripes="0"/>
</table>
</file>

<file path=xl/tables/table2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E0000000}" name="Table8" displayName="Table8" ref="A66:F67" totalsRowShown="0">
  <tableColumns count="6">
    <tableColumn id="1" xr3:uid="{00000000-0010-0000-E000-000001000000}" name="CÓDIGO CATÁLOGO"/>
    <tableColumn id="2" xr3:uid="{00000000-0010-0000-E000-000002000000}" name="ARTÍCULO"/>
    <tableColumn id="3" xr3:uid="{00000000-0010-0000-E000-000003000000}" name="UNIDAD DE MEDIDA"/>
    <tableColumn id="4" xr3:uid="{00000000-0010-0000-E000-000004000000}" name="CANTIDAD TOTAL ESTIMADA"/>
    <tableColumn id="5" xr3:uid="{00000000-0010-0000-E000-000005000000}" name="PRECIO UNITARIO ESTIMADO"/>
    <tableColumn id="6" xr3:uid="{00000000-0010-0000-E000-000006000000}" name="MONTO TOTAL ESTIMADO"/>
  </tableColumns>
  <tableStyleInfo showFirstColumn="0" showLastColumn="0" showRowStripes="1" showColumnStripes="0"/>
</table>
</file>

<file path=xl/tables/table2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E1000000}" name="Table22" displayName="Table22" ref="A403:F434" totalsRowShown="0">
  <tableColumns count="6">
    <tableColumn id="1" xr3:uid="{00000000-0010-0000-E100-000001000000}" name="CÓDIGO CATÁLOGO"/>
    <tableColumn id="2" xr3:uid="{00000000-0010-0000-E100-000002000000}" name="ARTÍCULO"/>
    <tableColumn id="3" xr3:uid="{00000000-0010-0000-E100-000003000000}" name="UNIDAD DE MEDIDA"/>
    <tableColumn id="4" xr3:uid="{00000000-0010-0000-E100-000004000000}" name="CANTIDAD TOTAL ESTIMADA"/>
    <tableColumn id="5" xr3:uid="{00000000-0010-0000-E100-000005000000}" name="PRECIO UNITARIO ESTIMADO"/>
    <tableColumn id="6" xr3:uid="{00000000-0010-0000-E100-000006000000}" name="MONTO TOTAL ESTIMADO"/>
  </tableColumns>
  <tableStyleInfo showFirstColumn="0" showLastColumn="0" showRowStripes="1" showColumnStripes="0"/>
</table>
</file>

<file path=xl/tables/table2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E2000000}" name="Table145" displayName="Table145" ref="A2699:F2702" totalsRowShown="0">
  <tableColumns count="6">
    <tableColumn id="1" xr3:uid="{00000000-0010-0000-E200-000001000000}" name="CÓDIGO CATÁLOGO"/>
    <tableColumn id="2" xr3:uid="{00000000-0010-0000-E200-000002000000}" name="ARTÍCULO"/>
    <tableColumn id="3" xr3:uid="{00000000-0010-0000-E200-000003000000}" name="UNIDAD DE MEDIDA"/>
    <tableColumn id="4" xr3:uid="{00000000-0010-0000-E200-000004000000}" name="CANTIDAD TOTAL ESTIMADA"/>
    <tableColumn id="5" xr3:uid="{00000000-0010-0000-E200-000005000000}" name="PRECIO UNITARIO ESTIMADO"/>
    <tableColumn id="6" xr3:uid="{00000000-0010-0000-E200-000006000000}" name="MONTO TOTAL ESTIMADO"/>
  </tableColumns>
  <tableStyleInfo showFirstColumn="0" showLastColumn="0" showRowStripes="1" showColumnStripes="0"/>
</table>
</file>

<file path=xl/tables/table2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1" xr:uid="{00000000-000C-0000-FFFF-FFFFE3000000}" name="Table211" displayName="Table211" ref="A3857:F3858" totalsRowShown="0">
  <tableColumns count="6">
    <tableColumn id="1" xr3:uid="{00000000-0010-0000-E300-000001000000}" name="CÓDIGO CATÁLOGO"/>
    <tableColumn id="2" xr3:uid="{00000000-0010-0000-E300-000002000000}" name="ARTÍCULO"/>
    <tableColumn id="3" xr3:uid="{00000000-0010-0000-E300-000003000000}" name="UNIDAD DE MEDIDA"/>
    <tableColumn id="4" xr3:uid="{00000000-0010-0000-E300-000004000000}" name="CANTIDAD TOTAL ESTIMADA"/>
    <tableColumn id="5" xr3:uid="{00000000-0010-0000-E300-000005000000}" name="PRECIO UNITARIO ESTIMADO"/>
    <tableColumn id="6" xr3:uid="{00000000-0010-0000-E300-000006000000}" name="MONTO TOTAL ESTIMADO"/>
  </tableColumns>
  <tableStyleInfo showFirstColumn="0" showLastColumn="0" showRowStripes="1" showColumnStripes="0"/>
</table>
</file>

<file path=xl/tables/table2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E4000000}" name="Table75" displayName="Table75" ref="A1529:F1536" totalsRowShown="0">
  <tableColumns count="6">
    <tableColumn id="1" xr3:uid="{00000000-0010-0000-E400-000001000000}" name="CÓDIGO CATÁLOGO"/>
    <tableColumn id="2" xr3:uid="{00000000-0010-0000-E400-000002000000}" name="ARTÍCULO"/>
    <tableColumn id="3" xr3:uid="{00000000-0010-0000-E400-000003000000}" name="UNIDAD DE MEDIDA"/>
    <tableColumn id="4" xr3:uid="{00000000-0010-0000-E400-000004000000}" name="CANTIDAD TOTAL ESTIMADA"/>
    <tableColumn id="5" xr3:uid="{00000000-0010-0000-E400-000005000000}" name="PRECIO UNITARIO ESTIMADO"/>
    <tableColumn id="6" xr3:uid="{00000000-0010-0000-E4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16000000}" name="Table95" displayName="Table95" ref="A1924:F1935"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E5000000}" name="Table3" displayName="Table3" ref="A8:F9" totalsRowShown="0">
  <autoFilter ref="A8:F9" xr:uid="{00000000-0009-0000-0100-000003000000}"/>
  <tableColumns count="6">
    <tableColumn id="1" xr3:uid="{00000000-0010-0000-E500-000001000000}" name="CÓDIGO CATÁLOGO"/>
    <tableColumn id="2" xr3:uid="{00000000-0010-0000-E500-000002000000}" name="ARTÍCULO"/>
    <tableColumn id="3" xr3:uid="{00000000-0010-0000-E500-000003000000}" name="UNIDAD DE MEDIDA"/>
    <tableColumn id="4" xr3:uid="{00000000-0010-0000-E500-000004000000}" name="CANTIDAD TOTAL ESTIMADA"/>
    <tableColumn id="5" xr3:uid="{00000000-0010-0000-E500-000005000000}" name="PRECIO UNITARIO ESTIMADO"/>
    <tableColumn id="6" xr3:uid="{00000000-0010-0000-E500-000006000000}" name="MONTO TOTAL ESTIMADO"/>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7000000}" name="Table49" displayName="Table49" ref="A1106:F1122"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1" xr:uid="{00000000-000C-0000-FFFF-FFFF18000000}" name="Table231" displayName="Table231" ref="A4518:F4519"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19000000}" name="Table59" displayName="Table59" ref="A1299:F1314"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00000000-000C-0000-FFFF-FFFF1A000000}" name="Table169" displayName="Table169" ref="A3140:F3144"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00000000-000C-0000-FFFF-FFFF1B000000}" name="Table151" displayName="Table151" ref="A2792:F2793"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1C000000}" name="Table67" displayName="Table67" ref="A1408:F1409"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02000000}" name="Table136" displayName="Table136" ref="A2515:F2518"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3" xr:uid="{00000000-000C-0000-FFFF-FFFF1D000000}" name="Table183" displayName="Table183" ref="A3361:F3362"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00000000-000C-0000-FFFF-FFFF1E000000}" name="Table156" displayName="Table156" ref="A2855:F2910"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F000000}" name="Table38" displayName="Table38" ref="A912:F915"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20000000}" name="Table60" displayName="Table60" ref="A1324:F1330"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21000000}" name="Table105" displayName="Table105" ref="A2062:F2063"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4" xr:uid="{00000000-000C-0000-FFFF-FFFF22000000}" name="Table224" displayName="Table224" ref="A4217:F4261"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3" xr:uid="{00000000-000C-0000-FFFF-FFFF23000000}" name="Table203" displayName="Table203" ref="A3703:F3707"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4000000}" name="Table6" displayName="Table6" ref="A44:F45"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5000000}" name="Table39" displayName="Table39" ref="A925:F942"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26000000}" name="Table133" displayName="Table133" ref="A2470:F2471"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03000000}" name="Table135" displayName="Table135" ref="A2492:F2505"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7000000}" name="Table34" displayName="Table34" ref="A865:F866"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8000000}" name="Table26" displayName="Table26" ref="A613:F614"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29000000}" name="Table129" displayName="Table129" ref="A2400:F2404"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2A000000}" name="Table58" displayName="Table58" ref="A1279:F1289"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2" xr:uid="{00000000-000C-0000-FFFF-FFFF2B000000}" name="Table182" displayName="Table182" ref="A3350:F3351"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2C000000}" name="Table93" displayName="Table93" ref="A1902:F1903"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D000000}" name="Table20" displayName="Table20" ref="A328:F373"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2E000000}" name="Table90" displayName="Table90" ref="A1863:F1868"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00000000-000C-0000-FFFF-FFFF2F000000}" name="Table163" displayName="Table163" ref="A3046:F3062"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2" xr:uid="{00000000-000C-0000-FFFF-FFFF30000000}" name="Table192" displayName="Table192" ref="A3464:F3466"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6" xr:uid="{00000000-000C-0000-FFFF-FFFF04000000}" name="Table196" displayName="Table196" ref="A3509:F3510"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 xr:uid="{00000000-000C-0000-FFFF-FFFF31000000}" name="Table213" displayName="Table213" ref="A3886:F3887"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00000000-000C-0000-FFFF-FFFF32000000}" name="Table149" displayName="Table149" ref="A2747:F2771"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0" xr:uid="{00000000-000C-0000-FFFF-FFFF33000000}" name="Table230" displayName="Table230" ref="A4475:F4508"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5" xr:uid="{00000000-000C-0000-FFFF-FFFF34000000}" name="Table195" displayName="Table195" ref="A3498:F3499"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5" xr:uid="{00000000-000C-0000-FFFF-FFFF35000000}" name="Table215" displayName="Table215" ref="A3989:F3993"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36000000}" name="Table9" displayName="Table9" ref="A77:F101"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37000000}" name="Table119" displayName="Table119" ref="A2257:F2258"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38000000}" name="Table94" displayName="Table94" ref="A1913:F1914"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9" xr:uid="{00000000-000C-0000-FFFF-FFFF39000000}" name="Table179" displayName="Table179" ref="A3317:F3318"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6" xr:uid="{00000000-000C-0000-FFFF-FFFF3A000000}" name="Table226" displayName="Table226" ref="A4324:F4368"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05000000}" name="Table138" displayName="Table138" ref="A2539:F2540"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5" xr:uid="{00000000-000C-0000-FFFF-FFFF3B000000}" name="Table205" displayName="Table205" ref="A3770:F3772"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3C000000}" name="Table115" displayName="Table115" ref="A2212:F2213"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3D000000}" name="Table7" displayName="Table7" ref="A55:F56"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00000000-000C-0000-FFFF-FFFF3E000000}" name="Table155" displayName="Table155" ref="A2842:F2845"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7" xr:uid="{00000000-000C-0000-FFFF-FFFF3F000000}" name="Table187" displayName="Table187" ref="A3405:F3407"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0" xr:uid="{00000000-000C-0000-FFFF-FFFF40000000}" name="Table200" displayName="Table200" ref="A3554:F3555"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00000000-000C-0000-FFFF-FFFF41000000}" name="Table157" displayName="Table157" ref="A2920:F2936"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42000000}" name="Table140" displayName="Table140" ref="A2561:F2564"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7" xr:uid="{00000000-000C-0000-FFFF-FFFF43000000}" name="Table227" displayName="Table227" ref="A4378:F4382"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44000000}" name="Table110" displayName="Table110" ref="A2117:F2118"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06000000}" name="Table64" displayName="Table64" ref="A1375:F1376"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45000000}" name="Table128" displayName="Table128" ref="A2389:F2390"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46000000}" name="Table123" displayName="Table123" ref="A2325:F2327"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47000000}" name="Table104" displayName="Table104" ref="A2051:F2052"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00000000-000C-0000-FFFF-FFFF48000000}" name="Table161" displayName="Table161" ref="A3023:F3024"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9000000}" name="Table78" displayName="Table78" ref="A1572:F1586"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4A000000}" name="Table106" displayName="Table106" ref="A2073:F2074"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00000000-000C-0000-FFFF-FFFF4B000000}" name="Table162" displayName="Table162" ref="A3034:F3036"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4C000000}" name="Table42" displayName="Table42" ref="A974:F978"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3" xr:uid="{00000000-000C-0000-FFFF-FFFF4D000000}" name="Table193" displayName="Table193" ref="A3476:F3477"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00000000-000C-0000-FFFF-FFFF4E000000}" name="Table165" displayName="Table165" ref="A3088:F3089"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7000000}" name="Table23" displayName="Table23" ref="A444:F521"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00000000-000C-0000-FFFF-FFFF4F000000}" name="Table171" displayName="Table171" ref="A3215:F3217"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4" xr:uid="{00000000-000C-0000-FFFF-FFFF50000000}" name="Table194" displayName="Table194" ref="A3487:F3488"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5" xr:uid="{00000000-000C-0000-FFFF-FFFF51000000}" name="Table185" displayName="Table185" ref="A3383:F3384"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52000000}" name="Table44" displayName="Table44" ref="A999:F1001"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8" xr:uid="{00000000-000C-0000-FFFF-FFFF53000000}" name="Table218" displayName="Table218" ref="A4038:F4039"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54000000}" name="Table56" displayName="Table56" ref="A1218:F1219"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00000000-000C-0000-FFFF-FFFF55000000}" name="Table159" displayName="Table159" ref="A2990:F3001"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56000000}" name="Table143" displayName="Table143" ref="A2597:F2607"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57000000}" name="Table66" displayName="Table66" ref="A1397:F1398"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00000000-000C-0000-FFFF-FFFF58000000}" name="Table150" displayName="Table150" ref="A2781:F2782"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8000000}" name="Table21" displayName="Table21" ref="A383:F393"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59000000}" name="Table62" displayName="Table62" ref="A1351:F1354"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5A000000}" name="Table137" displayName="Table137" ref="A2528:F2529"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5B000000}" name="Table91" displayName="Table91" ref="A1878:F1879"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5C000000}" name="Table72" displayName="Table72" ref="A1469:F1478"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8" xr:uid="{00000000-000C-0000-FFFF-FFFF5D000000}" name="Table228" displayName="Table228" ref="A4392:F4449"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E000000}" name="Table87" displayName="Table87" ref="A1808:F1824"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5F000000}" name="Table54" displayName="Table54" ref="A1185:F1197"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60000000}" name="Table69" displayName="Table69" ref="A1430:F1431"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61000000}" name="Table144" displayName="Table144" ref="A2617:F2689"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62000000}" name="Table28" displayName="Table28" ref="A673:F708"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ctrlProp" Target="../ctrlProps/ctrlProp1824.xml"/><Relationship Id="rId170" Type="http://schemas.openxmlformats.org/officeDocument/2006/relationships/ctrlProp" Target="../ctrlProps/ctrlProp167.xml"/><Relationship Id="rId987" Type="http://schemas.openxmlformats.org/officeDocument/2006/relationships/ctrlProp" Target="../ctrlProps/ctrlProp984.xml"/><Relationship Id="rId2668" Type="http://schemas.openxmlformats.org/officeDocument/2006/relationships/ctrlProp" Target="../ctrlProps/ctrlProp2665.xml"/><Relationship Id="rId2875" Type="http://schemas.openxmlformats.org/officeDocument/2006/relationships/table" Target="../tables/table185.xml"/><Relationship Id="rId847" Type="http://schemas.openxmlformats.org/officeDocument/2006/relationships/ctrlProp" Target="../ctrlProps/ctrlProp844.xml"/><Relationship Id="rId1477" Type="http://schemas.openxmlformats.org/officeDocument/2006/relationships/ctrlProp" Target="../ctrlProps/ctrlProp1474.xml"/><Relationship Id="rId1684" Type="http://schemas.openxmlformats.org/officeDocument/2006/relationships/ctrlProp" Target="../ctrlProps/ctrlProp1681.xml"/><Relationship Id="rId1891" Type="http://schemas.openxmlformats.org/officeDocument/2006/relationships/ctrlProp" Target="../ctrlProps/ctrlProp1888.xml"/><Relationship Id="rId2528" Type="http://schemas.openxmlformats.org/officeDocument/2006/relationships/ctrlProp" Target="../ctrlProps/ctrlProp2525.xml"/><Relationship Id="rId2735" Type="http://schemas.openxmlformats.org/officeDocument/2006/relationships/table" Target="../tables/table45.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1544" Type="http://schemas.openxmlformats.org/officeDocument/2006/relationships/ctrlProp" Target="../ctrlProps/ctrlProp1541.xml"/><Relationship Id="rId1751" Type="http://schemas.openxmlformats.org/officeDocument/2006/relationships/ctrlProp" Target="../ctrlProps/ctrlProp1748.xml"/><Relationship Id="rId2802" Type="http://schemas.openxmlformats.org/officeDocument/2006/relationships/table" Target="../tables/table112.xml"/><Relationship Id="rId43" Type="http://schemas.openxmlformats.org/officeDocument/2006/relationships/ctrlProp" Target="../ctrlProps/ctrlProp40.xml"/><Relationship Id="rId1404" Type="http://schemas.openxmlformats.org/officeDocument/2006/relationships/ctrlProp" Target="../ctrlProps/ctrlProp1401.xml"/><Relationship Id="rId1611" Type="http://schemas.openxmlformats.org/officeDocument/2006/relationships/ctrlProp" Target="../ctrlProps/ctrlProp1608.xml"/><Relationship Id="rId497" Type="http://schemas.openxmlformats.org/officeDocument/2006/relationships/ctrlProp" Target="../ctrlProps/ctrlProp494.xml"/><Relationship Id="rId2178" Type="http://schemas.openxmlformats.org/officeDocument/2006/relationships/ctrlProp" Target="../ctrlProps/ctrlProp2175.xml"/><Relationship Id="rId2385" Type="http://schemas.openxmlformats.org/officeDocument/2006/relationships/ctrlProp" Target="../ctrlProps/ctrlProp2382.xml"/><Relationship Id="rId357" Type="http://schemas.openxmlformats.org/officeDocument/2006/relationships/ctrlProp" Target="../ctrlProps/ctrlProp354.xml"/><Relationship Id="rId1194" Type="http://schemas.openxmlformats.org/officeDocument/2006/relationships/ctrlProp" Target="../ctrlProps/ctrlProp1191.xml"/><Relationship Id="rId2038" Type="http://schemas.openxmlformats.org/officeDocument/2006/relationships/ctrlProp" Target="../ctrlProps/ctrlProp2035.xml"/><Relationship Id="rId2592" Type="http://schemas.openxmlformats.org/officeDocument/2006/relationships/ctrlProp" Target="../ctrlProps/ctrlProp2589.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2245" Type="http://schemas.openxmlformats.org/officeDocument/2006/relationships/ctrlProp" Target="../ctrlProps/ctrlProp2242.xml"/><Relationship Id="rId2452" Type="http://schemas.openxmlformats.org/officeDocument/2006/relationships/ctrlProp" Target="../ctrlProps/ctrlProp2449.xml"/><Relationship Id="rId424" Type="http://schemas.openxmlformats.org/officeDocument/2006/relationships/ctrlProp" Target="../ctrlProps/ctrlProp421.xml"/><Relationship Id="rId631" Type="http://schemas.openxmlformats.org/officeDocument/2006/relationships/ctrlProp" Target="../ctrlProps/ctrlProp628.xml"/><Relationship Id="rId1054" Type="http://schemas.openxmlformats.org/officeDocument/2006/relationships/ctrlProp" Target="../ctrlProps/ctrlProp1051.xml"/><Relationship Id="rId1261" Type="http://schemas.openxmlformats.org/officeDocument/2006/relationships/ctrlProp" Target="../ctrlProps/ctrlProp1258.xml"/><Relationship Id="rId2105" Type="http://schemas.openxmlformats.org/officeDocument/2006/relationships/ctrlProp" Target="../ctrlProps/ctrlProp2102.xml"/><Relationship Id="rId2312" Type="http://schemas.openxmlformats.org/officeDocument/2006/relationships/ctrlProp" Target="../ctrlProps/ctrlProp2309.xml"/><Relationship Id="rId1121" Type="http://schemas.openxmlformats.org/officeDocument/2006/relationships/ctrlProp" Target="../ctrlProps/ctrlProp1118.xml"/><Relationship Id="rId1938" Type="http://schemas.openxmlformats.org/officeDocument/2006/relationships/ctrlProp" Target="../ctrlProps/ctrlProp1935.xml"/><Relationship Id="rId281" Type="http://schemas.openxmlformats.org/officeDocument/2006/relationships/ctrlProp" Target="../ctrlProps/ctrlProp278.xml"/><Relationship Id="rId141" Type="http://schemas.openxmlformats.org/officeDocument/2006/relationships/ctrlProp" Target="../ctrlProps/ctrlProp138.xml"/><Relationship Id="rId7" Type="http://schemas.openxmlformats.org/officeDocument/2006/relationships/ctrlProp" Target="../ctrlProps/ctrlProp4.xml"/><Relationship Id="rId2779" Type="http://schemas.openxmlformats.org/officeDocument/2006/relationships/table" Target="../tables/table89.xml"/><Relationship Id="rId958" Type="http://schemas.openxmlformats.org/officeDocument/2006/relationships/ctrlProp" Target="../ctrlProps/ctrlProp955.xml"/><Relationship Id="rId1588" Type="http://schemas.openxmlformats.org/officeDocument/2006/relationships/ctrlProp" Target="../ctrlProps/ctrlProp1585.xml"/><Relationship Id="rId1795" Type="http://schemas.openxmlformats.org/officeDocument/2006/relationships/ctrlProp" Target="../ctrlProps/ctrlProp1792.xml"/><Relationship Id="rId2639" Type="http://schemas.openxmlformats.org/officeDocument/2006/relationships/ctrlProp" Target="../ctrlProps/ctrlProp2636.xml"/><Relationship Id="rId2846" Type="http://schemas.openxmlformats.org/officeDocument/2006/relationships/table" Target="../tables/table156.xml"/><Relationship Id="rId87" Type="http://schemas.openxmlformats.org/officeDocument/2006/relationships/ctrlProp" Target="../ctrlProps/ctrlProp84.xml"/><Relationship Id="rId818" Type="http://schemas.openxmlformats.org/officeDocument/2006/relationships/ctrlProp" Target="../ctrlProps/ctrlProp815.xml"/><Relationship Id="rId1448" Type="http://schemas.openxmlformats.org/officeDocument/2006/relationships/ctrlProp" Target="../ctrlProps/ctrlProp1445.xml"/><Relationship Id="rId1655" Type="http://schemas.openxmlformats.org/officeDocument/2006/relationships/ctrlProp" Target="../ctrlProps/ctrlProp1652.xml"/><Relationship Id="rId2706" Type="http://schemas.openxmlformats.org/officeDocument/2006/relationships/table" Target="../tables/table16.xml"/><Relationship Id="rId1308" Type="http://schemas.openxmlformats.org/officeDocument/2006/relationships/ctrlProp" Target="../ctrlProps/ctrlProp1305.xml"/><Relationship Id="rId1862" Type="http://schemas.openxmlformats.org/officeDocument/2006/relationships/ctrlProp" Target="../ctrlProps/ctrlProp1859.xml"/><Relationship Id="rId2913" Type="http://schemas.openxmlformats.org/officeDocument/2006/relationships/table" Target="../tables/table223.xml"/><Relationship Id="rId1515" Type="http://schemas.openxmlformats.org/officeDocument/2006/relationships/ctrlProp" Target="../ctrlProps/ctrlProp1512.xml"/><Relationship Id="rId1722" Type="http://schemas.openxmlformats.org/officeDocument/2006/relationships/ctrlProp" Target="../ctrlProps/ctrlProp1719.xml"/><Relationship Id="rId14" Type="http://schemas.openxmlformats.org/officeDocument/2006/relationships/ctrlProp" Target="../ctrlProps/ctrlProp11.xml"/><Relationship Id="rId2289" Type="http://schemas.openxmlformats.org/officeDocument/2006/relationships/ctrlProp" Target="../ctrlProps/ctrlProp2286.xml"/><Relationship Id="rId2496" Type="http://schemas.openxmlformats.org/officeDocument/2006/relationships/ctrlProp" Target="../ctrlProps/ctrlProp2493.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2149" Type="http://schemas.openxmlformats.org/officeDocument/2006/relationships/ctrlProp" Target="../ctrlProps/ctrlProp2146.xml"/><Relationship Id="rId2356" Type="http://schemas.openxmlformats.org/officeDocument/2006/relationships/ctrlProp" Target="../ctrlProps/ctrlProp2353.xml"/><Relationship Id="rId2563" Type="http://schemas.openxmlformats.org/officeDocument/2006/relationships/ctrlProp" Target="../ctrlProps/ctrlProp2560.xml"/><Relationship Id="rId2770" Type="http://schemas.openxmlformats.org/officeDocument/2006/relationships/table" Target="../tables/table80.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2009" Type="http://schemas.openxmlformats.org/officeDocument/2006/relationships/ctrlProp" Target="../ctrlProps/ctrlProp2006.xml"/><Relationship Id="rId2216" Type="http://schemas.openxmlformats.org/officeDocument/2006/relationships/ctrlProp" Target="../ctrlProps/ctrlProp2213.xml"/><Relationship Id="rId2423" Type="http://schemas.openxmlformats.org/officeDocument/2006/relationships/ctrlProp" Target="../ctrlProps/ctrlProp2420.xml"/><Relationship Id="rId2630" Type="http://schemas.openxmlformats.org/officeDocument/2006/relationships/ctrlProp" Target="../ctrlProps/ctrlProp2627.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185" Type="http://schemas.openxmlformats.org/officeDocument/2006/relationships/ctrlProp" Target="../ctrlProps/ctrlProp182.xml"/><Relationship Id="rId1909" Type="http://schemas.openxmlformats.org/officeDocument/2006/relationships/ctrlProp" Target="../ctrlProps/ctrlProp1906.xml"/><Relationship Id="rId392" Type="http://schemas.openxmlformats.org/officeDocument/2006/relationships/ctrlProp" Target="../ctrlProps/ctrlProp389.xml"/><Relationship Id="rId2073" Type="http://schemas.openxmlformats.org/officeDocument/2006/relationships/ctrlProp" Target="../ctrlProps/ctrlProp2070.xml"/><Relationship Id="rId2280" Type="http://schemas.openxmlformats.org/officeDocument/2006/relationships/ctrlProp" Target="../ctrlProps/ctrlProp2277.xml"/><Relationship Id="rId252" Type="http://schemas.openxmlformats.org/officeDocument/2006/relationships/ctrlProp" Target="../ctrlProps/ctrlProp249.xml"/><Relationship Id="rId2140" Type="http://schemas.openxmlformats.org/officeDocument/2006/relationships/ctrlProp" Target="../ctrlProps/ctrlProp2137.xml"/><Relationship Id="rId112" Type="http://schemas.openxmlformats.org/officeDocument/2006/relationships/ctrlProp" Target="../ctrlProps/ctrlProp109.xml"/><Relationship Id="rId1699" Type="http://schemas.openxmlformats.org/officeDocument/2006/relationships/ctrlProp" Target="../ctrlProps/ctrlProp1696.xml"/><Relationship Id="rId2000" Type="http://schemas.openxmlformats.org/officeDocument/2006/relationships/ctrlProp" Target="../ctrlProps/ctrlProp1997.xml"/><Relationship Id="rId929" Type="http://schemas.openxmlformats.org/officeDocument/2006/relationships/ctrlProp" Target="../ctrlProps/ctrlProp926.xml"/><Relationship Id="rId1559" Type="http://schemas.openxmlformats.org/officeDocument/2006/relationships/ctrlProp" Target="../ctrlProps/ctrlProp1556.xml"/><Relationship Id="rId1766" Type="http://schemas.openxmlformats.org/officeDocument/2006/relationships/ctrlProp" Target="../ctrlProps/ctrlProp1763.xml"/><Relationship Id="rId1973" Type="http://schemas.openxmlformats.org/officeDocument/2006/relationships/ctrlProp" Target="../ctrlProps/ctrlProp1970.xml"/><Relationship Id="rId2817" Type="http://schemas.openxmlformats.org/officeDocument/2006/relationships/table" Target="../tables/table127.xml"/><Relationship Id="rId58" Type="http://schemas.openxmlformats.org/officeDocument/2006/relationships/ctrlProp" Target="../ctrlProps/ctrlProp55.xml"/><Relationship Id="rId1419" Type="http://schemas.openxmlformats.org/officeDocument/2006/relationships/ctrlProp" Target="../ctrlProps/ctrlProp1416.xml"/><Relationship Id="rId1626" Type="http://schemas.openxmlformats.org/officeDocument/2006/relationships/ctrlProp" Target="../ctrlProps/ctrlProp1623.xml"/><Relationship Id="rId1833" Type="http://schemas.openxmlformats.org/officeDocument/2006/relationships/ctrlProp" Target="../ctrlProps/ctrlProp1830.xml"/><Relationship Id="rId1900" Type="http://schemas.openxmlformats.org/officeDocument/2006/relationships/ctrlProp" Target="../ctrlProps/ctrlProp1897.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2467" Type="http://schemas.openxmlformats.org/officeDocument/2006/relationships/ctrlProp" Target="../ctrlProps/ctrlProp2464.xml"/><Relationship Id="rId2674" Type="http://schemas.openxmlformats.org/officeDocument/2006/relationships/ctrlProp" Target="../ctrlProps/ctrlProp2671.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2327" Type="http://schemas.openxmlformats.org/officeDocument/2006/relationships/ctrlProp" Target="../ctrlProps/ctrlProp2324.xml"/><Relationship Id="rId2881" Type="http://schemas.openxmlformats.org/officeDocument/2006/relationships/table" Target="../tables/table191.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1690" Type="http://schemas.openxmlformats.org/officeDocument/2006/relationships/ctrlProp" Target="../ctrlProps/ctrlProp1687.xml"/><Relationship Id="rId2534" Type="http://schemas.openxmlformats.org/officeDocument/2006/relationships/ctrlProp" Target="../ctrlProps/ctrlProp2531.xml"/><Relationship Id="rId2741" Type="http://schemas.openxmlformats.org/officeDocument/2006/relationships/table" Target="../tables/table51.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550" Type="http://schemas.openxmlformats.org/officeDocument/2006/relationships/ctrlProp" Target="../ctrlProps/ctrlProp1547.xml"/><Relationship Id="rId2601" Type="http://schemas.openxmlformats.org/officeDocument/2006/relationships/ctrlProp" Target="../ctrlProps/ctrlProp2598.xml"/><Relationship Id="rId1203" Type="http://schemas.openxmlformats.org/officeDocument/2006/relationships/ctrlProp" Target="../ctrlProps/ctrlProp1200.xml"/><Relationship Id="rId1410" Type="http://schemas.openxmlformats.org/officeDocument/2006/relationships/ctrlProp" Target="../ctrlProps/ctrlProp1407.xml"/><Relationship Id="rId296" Type="http://schemas.openxmlformats.org/officeDocument/2006/relationships/ctrlProp" Target="../ctrlProps/ctrlProp293.xml"/><Relationship Id="rId2184" Type="http://schemas.openxmlformats.org/officeDocument/2006/relationships/ctrlProp" Target="../ctrlProps/ctrlProp2181.xml"/><Relationship Id="rId2391" Type="http://schemas.openxmlformats.org/officeDocument/2006/relationships/ctrlProp" Target="../ctrlProps/ctrlProp2388.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044" Type="http://schemas.openxmlformats.org/officeDocument/2006/relationships/ctrlProp" Target="../ctrlProps/ctrlProp2041.xml"/><Relationship Id="rId2251" Type="http://schemas.openxmlformats.org/officeDocument/2006/relationships/ctrlProp" Target="../ctrlProps/ctrlProp2248.xml"/><Relationship Id="rId223" Type="http://schemas.openxmlformats.org/officeDocument/2006/relationships/ctrlProp" Target="../ctrlProps/ctrlProp220.xml"/><Relationship Id="rId430" Type="http://schemas.openxmlformats.org/officeDocument/2006/relationships/ctrlProp" Target="../ctrlProps/ctrlProp427.xml"/><Relationship Id="rId1060" Type="http://schemas.openxmlformats.org/officeDocument/2006/relationships/ctrlProp" Target="../ctrlProps/ctrlProp1057.xml"/><Relationship Id="rId2111" Type="http://schemas.openxmlformats.org/officeDocument/2006/relationships/ctrlProp" Target="../ctrlProps/ctrlProp2108.xml"/><Relationship Id="rId1877" Type="http://schemas.openxmlformats.org/officeDocument/2006/relationships/ctrlProp" Target="../ctrlProps/ctrlProp1874.xml"/><Relationship Id="rId1737" Type="http://schemas.openxmlformats.org/officeDocument/2006/relationships/ctrlProp" Target="../ctrlProps/ctrlProp1734.xml"/><Relationship Id="rId1944" Type="http://schemas.openxmlformats.org/officeDocument/2006/relationships/ctrlProp" Target="../ctrlProps/ctrlProp1941.xml"/><Relationship Id="rId29" Type="http://schemas.openxmlformats.org/officeDocument/2006/relationships/ctrlProp" Target="../ctrlProps/ctrlProp26.xml"/><Relationship Id="rId1804" Type="http://schemas.openxmlformats.org/officeDocument/2006/relationships/ctrlProp" Target="../ctrlProps/ctrlProp1801.xml"/><Relationship Id="rId897" Type="http://schemas.openxmlformats.org/officeDocument/2006/relationships/ctrlProp" Target="../ctrlProps/ctrlProp894.xml"/><Relationship Id="rId2578" Type="http://schemas.openxmlformats.org/officeDocument/2006/relationships/ctrlProp" Target="../ctrlProps/ctrlProp2575.xml"/><Relationship Id="rId2785" Type="http://schemas.openxmlformats.org/officeDocument/2006/relationships/table" Target="../tables/table95.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1594" Type="http://schemas.openxmlformats.org/officeDocument/2006/relationships/ctrlProp" Target="../ctrlProps/ctrlProp1591.xml"/><Relationship Id="rId2438" Type="http://schemas.openxmlformats.org/officeDocument/2006/relationships/ctrlProp" Target="../ctrlProps/ctrlProp2435.xml"/><Relationship Id="rId2645" Type="http://schemas.openxmlformats.org/officeDocument/2006/relationships/ctrlProp" Target="../ctrlProps/ctrlProp2642.xml"/><Relationship Id="rId2852" Type="http://schemas.openxmlformats.org/officeDocument/2006/relationships/table" Target="../tables/table162.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661" Type="http://schemas.openxmlformats.org/officeDocument/2006/relationships/ctrlProp" Target="../ctrlProps/ctrlProp1658.xml"/><Relationship Id="rId2505" Type="http://schemas.openxmlformats.org/officeDocument/2006/relationships/ctrlProp" Target="../ctrlProps/ctrlProp2502.xml"/><Relationship Id="rId2712" Type="http://schemas.openxmlformats.org/officeDocument/2006/relationships/table" Target="../tables/table22.xml"/><Relationship Id="rId1107" Type="http://schemas.openxmlformats.org/officeDocument/2006/relationships/ctrlProp" Target="../ctrlProps/ctrlProp1104.xml"/><Relationship Id="rId1314" Type="http://schemas.openxmlformats.org/officeDocument/2006/relationships/ctrlProp" Target="../ctrlProps/ctrlProp1311.xml"/><Relationship Id="rId1521" Type="http://schemas.openxmlformats.org/officeDocument/2006/relationships/ctrlProp" Target="../ctrlProps/ctrlProp1518.xml"/><Relationship Id="rId20" Type="http://schemas.openxmlformats.org/officeDocument/2006/relationships/ctrlProp" Target="../ctrlProps/ctrlProp17.xml"/><Relationship Id="rId2088" Type="http://schemas.openxmlformats.org/officeDocument/2006/relationships/ctrlProp" Target="../ctrlProps/ctrlProp2085.xml"/><Relationship Id="rId2295" Type="http://schemas.openxmlformats.org/officeDocument/2006/relationships/ctrlProp" Target="../ctrlProps/ctrlProp2292.xml"/><Relationship Id="rId267" Type="http://schemas.openxmlformats.org/officeDocument/2006/relationships/ctrlProp" Target="../ctrlProps/ctrlProp264.xml"/><Relationship Id="rId474" Type="http://schemas.openxmlformats.org/officeDocument/2006/relationships/ctrlProp" Target="../ctrlProps/ctrlProp471.xml"/><Relationship Id="rId2155" Type="http://schemas.openxmlformats.org/officeDocument/2006/relationships/ctrlProp" Target="../ctrlProps/ctrlProp2152.xml"/><Relationship Id="rId127" Type="http://schemas.openxmlformats.org/officeDocument/2006/relationships/ctrlProp" Target="../ctrlProps/ctrlProp124.xml"/><Relationship Id="rId681" Type="http://schemas.openxmlformats.org/officeDocument/2006/relationships/ctrlProp" Target="../ctrlProps/ctrlProp678.xml"/><Relationship Id="rId2362" Type="http://schemas.openxmlformats.org/officeDocument/2006/relationships/ctrlProp" Target="../ctrlProps/ctrlProp2359.xml"/><Relationship Id="rId334" Type="http://schemas.openxmlformats.org/officeDocument/2006/relationships/ctrlProp" Target="../ctrlProps/ctrlProp331.xml"/><Relationship Id="rId541" Type="http://schemas.openxmlformats.org/officeDocument/2006/relationships/ctrlProp" Target="../ctrlProps/ctrlProp538.xml"/><Relationship Id="rId1171" Type="http://schemas.openxmlformats.org/officeDocument/2006/relationships/ctrlProp" Target="../ctrlProps/ctrlProp1168.xml"/><Relationship Id="rId2015" Type="http://schemas.openxmlformats.org/officeDocument/2006/relationships/ctrlProp" Target="../ctrlProps/ctrlProp2012.xml"/><Relationship Id="rId2222" Type="http://schemas.openxmlformats.org/officeDocument/2006/relationships/ctrlProp" Target="../ctrlProps/ctrlProp2219.xml"/><Relationship Id="rId401" Type="http://schemas.openxmlformats.org/officeDocument/2006/relationships/ctrlProp" Target="../ctrlProps/ctrlProp398.xml"/><Relationship Id="rId1031" Type="http://schemas.openxmlformats.org/officeDocument/2006/relationships/ctrlProp" Target="../ctrlProps/ctrlProp1028.xml"/><Relationship Id="rId1988" Type="http://schemas.openxmlformats.org/officeDocument/2006/relationships/ctrlProp" Target="../ctrlProps/ctrlProp1985.xml"/><Relationship Id="rId1848" Type="http://schemas.openxmlformats.org/officeDocument/2006/relationships/ctrlProp" Target="../ctrlProps/ctrlProp1845.xml"/><Relationship Id="rId191" Type="http://schemas.openxmlformats.org/officeDocument/2006/relationships/ctrlProp" Target="../ctrlProps/ctrlProp188.xml"/><Relationship Id="rId1708" Type="http://schemas.openxmlformats.org/officeDocument/2006/relationships/ctrlProp" Target="../ctrlProps/ctrlProp1705.xml"/><Relationship Id="rId1915" Type="http://schemas.openxmlformats.org/officeDocument/2006/relationships/ctrlProp" Target="../ctrlProps/ctrlProp1912.xml"/><Relationship Id="rId2689" Type="http://schemas.openxmlformats.org/officeDocument/2006/relationships/ctrlProp" Target="../ctrlProps/ctrlProp2686.xml"/><Relationship Id="rId2896" Type="http://schemas.openxmlformats.org/officeDocument/2006/relationships/table" Target="../tables/table206.xml"/><Relationship Id="rId868" Type="http://schemas.openxmlformats.org/officeDocument/2006/relationships/ctrlProp" Target="../ctrlProps/ctrlProp865.xml"/><Relationship Id="rId1498" Type="http://schemas.openxmlformats.org/officeDocument/2006/relationships/ctrlProp" Target="../ctrlProps/ctrlProp1495.xml"/><Relationship Id="rId2549" Type="http://schemas.openxmlformats.org/officeDocument/2006/relationships/ctrlProp" Target="../ctrlProps/ctrlProp2546.xml"/><Relationship Id="rId2756" Type="http://schemas.openxmlformats.org/officeDocument/2006/relationships/table" Target="../tables/table66.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1565" Type="http://schemas.openxmlformats.org/officeDocument/2006/relationships/ctrlProp" Target="../ctrlProps/ctrlProp1562.xml"/><Relationship Id="rId1772" Type="http://schemas.openxmlformats.org/officeDocument/2006/relationships/ctrlProp" Target="../ctrlProps/ctrlProp1769.xml"/><Relationship Id="rId2409" Type="http://schemas.openxmlformats.org/officeDocument/2006/relationships/ctrlProp" Target="../ctrlProps/ctrlProp2406.xml"/><Relationship Id="rId2616" Type="http://schemas.openxmlformats.org/officeDocument/2006/relationships/ctrlProp" Target="../ctrlProps/ctrlProp2613.xml"/><Relationship Id="rId64" Type="http://schemas.openxmlformats.org/officeDocument/2006/relationships/ctrlProp" Target="../ctrlProps/ctrlProp61.xml"/><Relationship Id="rId1218" Type="http://schemas.openxmlformats.org/officeDocument/2006/relationships/ctrlProp" Target="../ctrlProps/ctrlProp1215.xml"/><Relationship Id="rId1425" Type="http://schemas.openxmlformats.org/officeDocument/2006/relationships/ctrlProp" Target="../ctrlProps/ctrlProp1422.xml"/><Relationship Id="rId2823" Type="http://schemas.openxmlformats.org/officeDocument/2006/relationships/table" Target="../tables/table133.xml"/><Relationship Id="rId1632" Type="http://schemas.openxmlformats.org/officeDocument/2006/relationships/ctrlProp" Target="../ctrlProps/ctrlProp1629.xml"/><Relationship Id="rId2199" Type="http://schemas.openxmlformats.org/officeDocument/2006/relationships/ctrlProp" Target="../ctrlProps/ctrlProp2196.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2059" Type="http://schemas.openxmlformats.org/officeDocument/2006/relationships/ctrlProp" Target="../ctrlProps/ctrlProp2056.xml"/><Relationship Id="rId2266" Type="http://schemas.openxmlformats.org/officeDocument/2006/relationships/ctrlProp" Target="../ctrlProps/ctrlProp2263.xml"/><Relationship Id="rId2473" Type="http://schemas.openxmlformats.org/officeDocument/2006/relationships/ctrlProp" Target="../ctrlProps/ctrlProp2470.xml"/><Relationship Id="rId2680" Type="http://schemas.openxmlformats.org/officeDocument/2006/relationships/ctrlProp" Target="../ctrlProps/ctrlProp2677.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2126" Type="http://schemas.openxmlformats.org/officeDocument/2006/relationships/ctrlProp" Target="../ctrlProps/ctrlProp2123.xml"/><Relationship Id="rId2333" Type="http://schemas.openxmlformats.org/officeDocument/2006/relationships/ctrlProp" Target="../ctrlProps/ctrlProp2330.xml"/><Relationship Id="rId2540" Type="http://schemas.openxmlformats.org/officeDocument/2006/relationships/ctrlProp" Target="../ctrlProps/ctrlProp2537.xml"/><Relationship Id="rId305" Type="http://schemas.openxmlformats.org/officeDocument/2006/relationships/ctrlProp" Target="../ctrlProps/ctrlProp302.xml"/><Relationship Id="rId512" Type="http://schemas.openxmlformats.org/officeDocument/2006/relationships/ctrlProp" Target="../ctrlProps/ctrlProp509.xml"/><Relationship Id="rId1142" Type="http://schemas.openxmlformats.org/officeDocument/2006/relationships/ctrlProp" Target="../ctrlProps/ctrlProp1139.xml"/><Relationship Id="rId2400" Type="http://schemas.openxmlformats.org/officeDocument/2006/relationships/ctrlProp" Target="../ctrlProps/ctrlProp2397.xml"/><Relationship Id="rId1002" Type="http://schemas.openxmlformats.org/officeDocument/2006/relationships/ctrlProp" Target="../ctrlProps/ctrlProp999.xml"/><Relationship Id="rId1959" Type="http://schemas.openxmlformats.org/officeDocument/2006/relationships/ctrlProp" Target="../ctrlProps/ctrlProp1956.xml"/><Relationship Id="rId1819" Type="http://schemas.openxmlformats.org/officeDocument/2006/relationships/ctrlProp" Target="../ctrlProps/ctrlProp1816.xml"/><Relationship Id="rId2190" Type="http://schemas.openxmlformats.org/officeDocument/2006/relationships/ctrlProp" Target="../ctrlProps/ctrlProp2187.xml"/><Relationship Id="rId162" Type="http://schemas.openxmlformats.org/officeDocument/2006/relationships/ctrlProp" Target="../ctrlProps/ctrlProp159.xml"/><Relationship Id="rId2050" Type="http://schemas.openxmlformats.org/officeDocument/2006/relationships/ctrlProp" Target="../ctrlProps/ctrlProp2047.xml"/><Relationship Id="rId979" Type="http://schemas.openxmlformats.org/officeDocument/2006/relationships/ctrlProp" Target="../ctrlProps/ctrlProp976.xml"/><Relationship Id="rId839" Type="http://schemas.openxmlformats.org/officeDocument/2006/relationships/ctrlProp" Target="../ctrlProps/ctrlProp836.xml"/><Relationship Id="rId1469" Type="http://schemas.openxmlformats.org/officeDocument/2006/relationships/ctrlProp" Target="../ctrlProps/ctrlProp1466.xml"/><Relationship Id="rId2867" Type="http://schemas.openxmlformats.org/officeDocument/2006/relationships/table" Target="../tables/table177.xml"/><Relationship Id="rId1676" Type="http://schemas.openxmlformats.org/officeDocument/2006/relationships/ctrlProp" Target="../ctrlProps/ctrlProp1673.xml"/><Relationship Id="rId1883" Type="http://schemas.openxmlformats.org/officeDocument/2006/relationships/ctrlProp" Target="../ctrlProps/ctrlProp1880.xml"/><Relationship Id="rId2727" Type="http://schemas.openxmlformats.org/officeDocument/2006/relationships/table" Target="../tables/table37.xml"/><Relationship Id="rId906" Type="http://schemas.openxmlformats.org/officeDocument/2006/relationships/ctrlProp" Target="../ctrlProps/ctrlProp903.xml"/><Relationship Id="rId1329" Type="http://schemas.openxmlformats.org/officeDocument/2006/relationships/ctrlProp" Target="../ctrlProps/ctrlProp1326.xml"/><Relationship Id="rId1536" Type="http://schemas.openxmlformats.org/officeDocument/2006/relationships/ctrlProp" Target="../ctrlProps/ctrlProp1533.xml"/><Relationship Id="rId1743" Type="http://schemas.openxmlformats.org/officeDocument/2006/relationships/ctrlProp" Target="../ctrlProps/ctrlProp1740.xml"/><Relationship Id="rId1950" Type="http://schemas.openxmlformats.org/officeDocument/2006/relationships/ctrlProp" Target="../ctrlProps/ctrlProp1947.xml"/><Relationship Id="rId35" Type="http://schemas.openxmlformats.org/officeDocument/2006/relationships/ctrlProp" Target="../ctrlProps/ctrlProp32.xml"/><Relationship Id="rId1603" Type="http://schemas.openxmlformats.org/officeDocument/2006/relationships/ctrlProp" Target="../ctrlProps/ctrlProp1600.xml"/><Relationship Id="rId1810" Type="http://schemas.openxmlformats.org/officeDocument/2006/relationships/ctrlProp" Target="../ctrlProps/ctrlProp1807.xml"/><Relationship Id="rId489" Type="http://schemas.openxmlformats.org/officeDocument/2006/relationships/ctrlProp" Target="../ctrlProps/ctrlProp486.xml"/><Relationship Id="rId696" Type="http://schemas.openxmlformats.org/officeDocument/2006/relationships/ctrlProp" Target="../ctrlProps/ctrlProp693.xml"/><Relationship Id="rId2377" Type="http://schemas.openxmlformats.org/officeDocument/2006/relationships/ctrlProp" Target="../ctrlProps/ctrlProp2374.xml"/><Relationship Id="rId2584" Type="http://schemas.openxmlformats.org/officeDocument/2006/relationships/ctrlProp" Target="../ctrlProps/ctrlProp2581.xml"/><Relationship Id="rId2791" Type="http://schemas.openxmlformats.org/officeDocument/2006/relationships/table" Target="../tables/table101.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2237" Type="http://schemas.openxmlformats.org/officeDocument/2006/relationships/ctrlProp" Target="../ctrlProps/ctrlProp2234.xml"/><Relationship Id="rId2444" Type="http://schemas.openxmlformats.org/officeDocument/2006/relationships/ctrlProp" Target="../ctrlProps/ctrlProp2441.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2651" Type="http://schemas.openxmlformats.org/officeDocument/2006/relationships/ctrlProp" Target="../ctrlProps/ctrlProp2648.xml"/><Relationship Id="rId623" Type="http://schemas.openxmlformats.org/officeDocument/2006/relationships/ctrlProp" Target="../ctrlProps/ctrlProp620.xml"/><Relationship Id="rId830" Type="http://schemas.openxmlformats.org/officeDocument/2006/relationships/ctrlProp" Target="../ctrlProps/ctrlProp827.xml"/><Relationship Id="rId1460" Type="http://schemas.openxmlformats.org/officeDocument/2006/relationships/ctrlProp" Target="../ctrlProps/ctrlProp1457.xml"/><Relationship Id="rId2304" Type="http://schemas.openxmlformats.org/officeDocument/2006/relationships/ctrlProp" Target="../ctrlProps/ctrlProp2301.xml"/><Relationship Id="rId2511" Type="http://schemas.openxmlformats.org/officeDocument/2006/relationships/ctrlProp" Target="../ctrlProps/ctrlProp2508.xml"/><Relationship Id="rId1113" Type="http://schemas.openxmlformats.org/officeDocument/2006/relationships/ctrlProp" Target="../ctrlProps/ctrlProp1110.xml"/><Relationship Id="rId1320" Type="http://schemas.openxmlformats.org/officeDocument/2006/relationships/ctrlProp" Target="../ctrlProps/ctrlProp1317.xml"/><Relationship Id="rId2094" Type="http://schemas.openxmlformats.org/officeDocument/2006/relationships/ctrlProp" Target="../ctrlProps/ctrlProp2091.xml"/><Relationship Id="rId273" Type="http://schemas.openxmlformats.org/officeDocument/2006/relationships/ctrlProp" Target="../ctrlProps/ctrlProp270.xml"/><Relationship Id="rId480" Type="http://schemas.openxmlformats.org/officeDocument/2006/relationships/ctrlProp" Target="../ctrlProps/ctrlProp477.xml"/><Relationship Id="rId2161" Type="http://schemas.openxmlformats.org/officeDocument/2006/relationships/ctrlProp" Target="../ctrlProps/ctrlProp2158.xml"/><Relationship Id="rId133" Type="http://schemas.openxmlformats.org/officeDocument/2006/relationships/ctrlProp" Target="../ctrlProps/ctrlProp130.xml"/><Relationship Id="rId340" Type="http://schemas.openxmlformats.org/officeDocument/2006/relationships/ctrlProp" Target="../ctrlProps/ctrlProp337.xml"/><Relationship Id="rId2021" Type="http://schemas.openxmlformats.org/officeDocument/2006/relationships/ctrlProp" Target="../ctrlProps/ctrlProp2018.xml"/><Relationship Id="rId200" Type="http://schemas.openxmlformats.org/officeDocument/2006/relationships/ctrlProp" Target="../ctrlProps/ctrlProp197.xml"/><Relationship Id="rId1787" Type="http://schemas.openxmlformats.org/officeDocument/2006/relationships/ctrlProp" Target="../ctrlProps/ctrlProp1784.xml"/><Relationship Id="rId1994" Type="http://schemas.openxmlformats.org/officeDocument/2006/relationships/ctrlProp" Target="../ctrlProps/ctrlProp1991.xml"/><Relationship Id="rId2838" Type="http://schemas.openxmlformats.org/officeDocument/2006/relationships/table" Target="../tables/table148.xml"/><Relationship Id="rId79" Type="http://schemas.openxmlformats.org/officeDocument/2006/relationships/ctrlProp" Target="../ctrlProps/ctrlProp76.xml"/><Relationship Id="rId1647" Type="http://schemas.openxmlformats.org/officeDocument/2006/relationships/ctrlProp" Target="../ctrlProps/ctrlProp1644.xml"/><Relationship Id="rId1854" Type="http://schemas.openxmlformats.org/officeDocument/2006/relationships/ctrlProp" Target="../ctrlProps/ctrlProp1851.xml"/><Relationship Id="rId2905" Type="http://schemas.openxmlformats.org/officeDocument/2006/relationships/table" Target="../tables/table215.xml"/><Relationship Id="rId1507" Type="http://schemas.openxmlformats.org/officeDocument/2006/relationships/ctrlProp" Target="../ctrlProps/ctrlProp1504.xml"/><Relationship Id="rId1714" Type="http://schemas.openxmlformats.org/officeDocument/2006/relationships/ctrlProp" Target="../ctrlProps/ctrlProp1711.xml"/><Relationship Id="rId1921" Type="http://schemas.openxmlformats.org/officeDocument/2006/relationships/ctrlProp" Target="../ctrlProps/ctrlProp1918.xml"/><Relationship Id="rId2488" Type="http://schemas.openxmlformats.org/officeDocument/2006/relationships/ctrlProp" Target="../ctrlProps/ctrlProp2485.xml"/><Relationship Id="rId1297" Type="http://schemas.openxmlformats.org/officeDocument/2006/relationships/ctrlProp" Target="../ctrlProps/ctrlProp1294.xml"/><Relationship Id="rId2695" Type="http://schemas.openxmlformats.org/officeDocument/2006/relationships/table" Target="../tables/table5.xml"/><Relationship Id="rId667" Type="http://schemas.openxmlformats.org/officeDocument/2006/relationships/ctrlProp" Target="../ctrlProps/ctrlProp664.xml"/><Relationship Id="rId874" Type="http://schemas.openxmlformats.org/officeDocument/2006/relationships/ctrlProp" Target="../ctrlProps/ctrlProp871.xml"/><Relationship Id="rId2348" Type="http://schemas.openxmlformats.org/officeDocument/2006/relationships/ctrlProp" Target="../ctrlProps/ctrlProp2345.xml"/><Relationship Id="rId2555" Type="http://schemas.openxmlformats.org/officeDocument/2006/relationships/ctrlProp" Target="../ctrlProps/ctrlProp2552.xml"/><Relationship Id="rId2762" Type="http://schemas.openxmlformats.org/officeDocument/2006/relationships/table" Target="../tables/table72.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1571" Type="http://schemas.openxmlformats.org/officeDocument/2006/relationships/ctrlProp" Target="../ctrlProps/ctrlProp1568.xml"/><Relationship Id="rId2208" Type="http://schemas.openxmlformats.org/officeDocument/2006/relationships/ctrlProp" Target="../ctrlProps/ctrlProp2205.xml"/><Relationship Id="rId2415" Type="http://schemas.openxmlformats.org/officeDocument/2006/relationships/ctrlProp" Target="../ctrlProps/ctrlProp2412.xml"/><Relationship Id="rId2622" Type="http://schemas.openxmlformats.org/officeDocument/2006/relationships/ctrlProp" Target="../ctrlProps/ctrlProp2619.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065" Type="http://schemas.openxmlformats.org/officeDocument/2006/relationships/ctrlProp" Target="../ctrlProps/ctrlProp2062.xml"/><Relationship Id="rId2272" Type="http://schemas.openxmlformats.org/officeDocument/2006/relationships/ctrlProp" Target="../ctrlProps/ctrlProp2269.xml"/><Relationship Id="rId244" Type="http://schemas.openxmlformats.org/officeDocument/2006/relationships/ctrlProp" Target="../ctrlProps/ctrlProp241.xml"/><Relationship Id="rId1081" Type="http://schemas.openxmlformats.org/officeDocument/2006/relationships/ctrlProp" Target="../ctrlProps/ctrlProp1078.xml"/><Relationship Id="rId451" Type="http://schemas.openxmlformats.org/officeDocument/2006/relationships/ctrlProp" Target="../ctrlProps/ctrlProp448.xml"/><Relationship Id="rId2132" Type="http://schemas.openxmlformats.org/officeDocument/2006/relationships/ctrlProp" Target="../ctrlProps/ctrlProp2129.xml"/><Relationship Id="rId104" Type="http://schemas.openxmlformats.org/officeDocument/2006/relationships/ctrlProp" Target="../ctrlProps/ctrlProp101.xml"/><Relationship Id="rId311" Type="http://schemas.openxmlformats.org/officeDocument/2006/relationships/ctrlProp" Target="../ctrlProps/ctrlProp308.xml"/><Relationship Id="rId1898" Type="http://schemas.openxmlformats.org/officeDocument/2006/relationships/ctrlProp" Target="../ctrlProps/ctrlProp1895.xml"/><Relationship Id="rId1758" Type="http://schemas.openxmlformats.org/officeDocument/2006/relationships/ctrlProp" Target="../ctrlProps/ctrlProp1755.xml"/><Relationship Id="rId2809" Type="http://schemas.openxmlformats.org/officeDocument/2006/relationships/table" Target="../tables/table119.xml"/><Relationship Id="rId1965" Type="http://schemas.openxmlformats.org/officeDocument/2006/relationships/ctrlProp" Target="../ctrlProps/ctrlProp1962.xml"/><Relationship Id="rId1618" Type="http://schemas.openxmlformats.org/officeDocument/2006/relationships/ctrlProp" Target="../ctrlProps/ctrlProp1615.xml"/><Relationship Id="rId1825" Type="http://schemas.openxmlformats.org/officeDocument/2006/relationships/ctrlProp" Target="../ctrlProps/ctrlProp1822.xml"/><Relationship Id="rId2599" Type="http://schemas.openxmlformats.org/officeDocument/2006/relationships/ctrlProp" Target="../ctrlProps/ctrlProp2596.xml"/><Relationship Id="rId778" Type="http://schemas.openxmlformats.org/officeDocument/2006/relationships/ctrlProp" Target="../ctrlProps/ctrlProp775.xml"/><Relationship Id="rId985" Type="http://schemas.openxmlformats.org/officeDocument/2006/relationships/ctrlProp" Target="../ctrlProps/ctrlProp982.xml"/><Relationship Id="rId2459" Type="http://schemas.openxmlformats.org/officeDocument/2006/relationships/ctrlProp" Target="../ctrlProps/ctrlProp2456.xml"/><Relationship Id="rId2666" Type="http://schemas.openxmlformats.org/officeDocument/2006/relationships/ctrlProp" Target="../ctrlProps/ctrlProp2663.xml"/><Relationship Id="rId2873" Type="http://schemas.openxmlformats.org/officeDocument/2006/relationships/table" Target="../tables/table183.xml"/><Relationship Id="rId638" Type="http://schemas.openxmlformats.org/officeDocument/2006/relationships/ctrlProp" Target="../ctrlProps/ctrlProp635.xml"/><Relationship Id="rId845" Type="http://schemas.openxmlformats.org/officeDocument/2006/relationships/ctrlProp" Target="../ctrlProps/ctrlProp842.xml"/><Relationship Id="rId1268" Type="http://schemas.openxmlformats.org/officeDocument/2006/relationships/ctrlProp" Target="../ctrlProps/ctrlProp1265.xml"/><Relationship Id="rId1475" Type="http://schemas.openxmlformats.org/officeDocument/2006/relationships/ctrlProp" Target="../ctrlProps/ctrlProp1472.xml"/><Relationship Id="rId1682" Type="http://schemas.openxmlformats.org/officeDocument/2006/relationships/ctrlProp" Target="../ctrlProps/ctrlProp1679.xml"/><Relationship Id="rId2319" Type="http://schemas.openxmlformats.org/officeDocument/2006/relationships/ctrlProp" Target="../ctrlProps/ctrlProp2316.xml"/><Relationship Id="rId2526" Type="http://schemas.openxmlformats.org/officeDocument/2006/relationships/ctrlProp" Target="../ctrlProps/ctrlProp2523.xml"/><Relationship Id="rId2733" Type="http://schemas.openxmlformats.org/officeDocument/2006/relationships/table" Target="../tables/table43.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542" Type="http://schemas.openxmlformats.org/officeDocument/2006/relationships/ctrlProp" Target="../ctrlProps/ctrlProp1539.xml"/><Relationship Id="rId912" Type="http://schemas.openxmlformats.org/officeDocument/2006/relationships/ctrlProp" Target="../ctrlProps/ctrlProp909.xml"/><Relationship Id="rId2800" Type="http://schemas.openxmlformats.org/officeDocument/2006/relationships/table" Target="../tables/table110.xml"/><Relationship Id="rId41" Type="http://schemas.openxmlformats.org/officeDocument/2006/relationships/ctrlProp" Target="../ctrlProps/ctrlProp38.xml"/><Relationship Id="rId1402" Type="http://schemas.openxmlformats.org/officeDocument/2006/relationships/ctrlProp" Target="../ctrlProps/ctrlProp1399.xml"/><Relationship Id="rId288" Type="http://schemas.openxmlformats.org/officeDocument/2006/relationships/ctrlProp" Target="../ctrlProps/ctrlProp285.xml"/><Relationship Id="rId495" Type="http://schemas.openxmlformats.org/officeDocument/2006/relationships/ctrlProp" Target="../ctrlProps/ctrlProp492.xml"/><Relationship Id="rId2176" Type="http://schemas.openxmlformats.org/officeDocument/2006/relationships/ctrlProp" Target="../ctrlProps/ctrlProp2173.xml"/><Relationship Id="rId2383" Type="http://schemas.openxmlformats.org/officeDocument/2006/relationships/ctrlProp" Target="../ctrlProps/ctrlProp2380.xml"/><Relationship Id="rId2590" Type="http://schemas.openxmlformats.org/officeDocument/2006/relationships/ctrlProp" Target="../ctrlProps/ctrlProp2587.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2036" Type="http://schemas.openxmlformats.org/officeDocument/2006/relationships/ctrlProp" Target="../ctrlProps/ctrlProp2033.xml"/><Relationship Id="rId2243" Type="http://schemas.openxmlformats.org/officeDocument/2006/relationships/ctrlProp" Target="../ctrlProps/ctrlProp2240.xml"/><Relationship Id="rId2450" Type="http://schemas.openxmlformats.org/officeDocument/2006/relationships/ctrlProp" Target="../ctrlProps/ctrlProp2447.xml"/><Relationship Id="rId215" Type="http://schemas.openxmlformats.org/officeDocument/2006/relationships/ctrlProp" Target="../ctrlProps/ctrlProp212.xml"/><Relationship Id="rId422" Type="http://schemas.openxmlformats.org/officeDocument/2006/relationships/ctrlProp" Target="../ctrlProps/ctrlProp419.xml"/><Relationship Id="rId1052" Type="http://schemas.openxmlformats.org/officeDocument/2006/relationships/ctrlProp" Target="../ctrlProps/ctrlProp1049.xml"/><Relationship Id="rId2103" Type="http://schemas.openxmlformats.org/officeDocument/2006/relationships/ctrlProp" Target="../ctrlProps/ctrlProp2100.xml"/><Relationship Id="rId2310" Type="http://schemas.openxmlformats.org/officeDocument/2006/relationships/ctrlProp" Target="../ctrlProps/ctrlProp2307.xml"/><Relationship Id="rId1869" Type="http://schemas.openxmlformats.org/officeDocument/2006/relationships/ctrlProp" Target="../ctrlProps/ctrlProp1866.xml"/><Relationship Id="rId1729" Type="http://schemas.openxmlformats.org/officeDocument/2006/relationships/ctrlProp" Target="../ctrlProps/ctrlProp1726.xml"/><Relationship Id="rId1936" Type="http://schemas.openxmlformats.org/officeDocument/2006/relationships/ctrlProp" Target="../ctrlProps/ctrlProp1933.xml"/><Relationship Id="rId5" Type="http://schemas.openxmlformats.org/officeDocument/2006/relationships/ctrlProp" Target="../ctrlProps/ctrlProp2.xml"/><Relationship Id="rId889" Type="http://schemas.openxmlformats.org/officeDocument/2006/relationships/ctrlProp" Target="../ctrlProps/ctrlProp886.xml"/><Relationship Id="rId2777" Type="http://schemas.openxmlformats.org/officeDocument/2006/relationships/table" Target="../tables/table87.xml"/><Relationship Id="rId749" Type="http://schemas.openxmlformats.org/officeDocument/2006/relationships/ctrlProp" Target="../ctrlProps/ctrlProp746.xml"/><Relationship Id="rId1379" Type="http://schemas.openxmlformats.org/officeDocument/2006/relationships/ctrlProp" Target="../ctrlProps/ctrlProp1376.xml"/><Relationship Id="rId1586" Type="http://schemas.openxmlformats.org/officeDocument/2006/relationships/ctrlProp" Target="../ctrlProps/ctrlProp1583.xml"/><Relationship Id="rId609" Type="http://schemas.openxmlformats.org/officeDocument/2006/relationships/ctrlProp" Target="../ctrlProps/ctrlProp606.xml"/><Relationship Id="rId956" Type="http://schemas.openxmlformats.org/officeDocument/2006/relationships/ctrlProp" Target="../ctrlProps/ctrlProp953.xml"/><Relationship Id="rId1239" Type="http://schemas.openxmlformats.org/officeDocument/2006/relationships/ctrlProp" Target="../ctrlProps/ctrlProp1236.xml"/><Relationship Id="rId1793" Type="http://schemas.openxmlformats.org/officeDocument/2006/relationships/ctrlProp" Target="../ctrlProps/ctrlProp1790.xml"/><Relationship Id="rId2637" Type="http://schemas.openxmlformats.org/officeDocument/2006/relationships/ctrlProp" Target="../ctrlProps/ctrlProp2634.xml"/><Relationship Id="rId2844" Type="http://schemas.openxmlformats.org/officeDocument/2006/relationships/table" Target="../tables/table154.xml"/><Relationship Id="rId85" Type="http://schemas.openxmlformats.org/officeDocument/2006/relationships/ctrlProp" Target="../ctrlProps/ctrlProp82.xml"/><Relationship Id="rId816" Type="http://schemas.openxmlformats.org/officeDocument/2006/relationships/ctrlProp" Target="../ctrlProps/ctrlProp813.xml"/><Relationship Id="rId1446" Type="http://schemas.openxmlformats.org/officeDocument/2006/relationships/ctrlProp" Target="../ctrlProps/ctrlProp1443.xml"/><Relationship Id="rId1653" Type="http://schemas.openxmlformats.org/officeDocument/2006/relationships/ctrlProp" Target="../ctrlProps/ctrlProp1650.xml"/><Relationship Id="rId1860" Type="http://schemas.openxmlformats.org/officeDocument/2006/relationships/ctrlProp" Target="../ctrlProps/ctrlProp1857.xml"/><Relationship Id="rId2704" Type="http://schemas.openxmlformats.org/officeDocument/2006/relationships/table" Target="../tables/table14.xml"/><Relationship Id="rId2911" Type="http://schemas.openxmlformats.org/officeDocument/2006/relationships/table" Target="../tables/table221.xml"/><Relationship Id="rId1306" Type="http://schemas.openxmlformats.org/officeDocument/2006/relationships/ctrlProp" Target="../ctrlProps/ctrlProp1303.xml"/><Relationship Id="rId1513" Type="http://schemas.openxmlformats.org/officeDocument/2006/relationships/ctrlProp" Target="../ctrlProps/ctrlProp1510.xml"/><Relationship Id="rId1720" Type="http://schemas.openxmlformats.org/officeDocument/2006/relationships/ctrlProp" Target="../ctrlProps/ctrlProp1717.xml"/><Relationship Id="rId12" Type="http://schemas.openxmlformats.org/officeDocument/2006/relationships/ctrlProp" Target="../ctrlProps/ctrlProp9.xml"/><Relationship Id="rId399" Type="http://schemas.openxmlformats.org/officeDocument/2006/relationships/ctrlProp" Target="../ctrlProps/ctrlProp396.xml"/><Relationship Id="rId2287" Type="http://schemas.openxmlformats.org/officeDocument/2006/relationships/ctrlProp" Target="../ctrlProps/ctrlProp2284.xml"/><Relationship Id="rId2494" Type="http://schemas.openxmlformats.org/officeDocument/2006/relationships/ctrlProp" Target="../ctrlProps/ctrlProp2491.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2147" Type="http://schemas.openxmlformats.org/officeDocument/2006/relationships/ctrlProp" Target="../ctrlProps/ctrlProp2144.xml"/><Relationship Id="rId2354" Type="http://schemas.openxmlformats.org/officeDocument/2006/relationships/ctrlProp" Target="../ctrlProps/ctrlProp2351.xml"/><Relationship Id="rId2561" Type="http://schemas.openxmlformats.org/officeDocument/2006/relationships/ctrlProp" Target="../ctrlProps/ctrlProp2558.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163" Type="http://schemas.openxmlformats.org/officeDocument/2006/relationships/ctrlProp" Target="../ctrlProps/ctrlProp1160.xml"/><Relationship Id="rId1370" Type="http://schemas.openxmlformats.org/officeDocument/2006/relationships/ctrlProp" Target="../ctrlProps/ctrlProp1367.xml"/><Relationship Id="rId2007" Type="http://schemas.openxmlformats.org/officeDocument/2006/relationships/ctrlProp" Target="../ctrlProps/ctrlProp2004.xml"/><Relationship Id="rId2214" Type="http://schemas.openxmlformats.org/officeDocument/2006/relationships/ctrlProp" Target="../ctrlProps/ctrlProp2211.xml"/><Relationship Id="rId740" Type="http://schemas.openxmlformats.org/officeDocument/2006/relationships/ctrlProp" Target="../ctrlProps/ctrlProp737.xml"/><Relationship Id="rId1023" Type="http://schemas.openxmlformats.org/officeDocument/2006/relationships/ctrlProp" Target="../ctrlProps/ctrlProp1020.xml"/><Relationship Id="rId2421" Type="http://schemas.openxmlformats.org/officeDocument/2006/relationships/ctrlProp" Target="../ctrlProps/ctrlProp2418.xml"/><Relationship Id="rId600" Type="http://schemas.openxmlformats.org/officeDocument/2006/relationships/ctrlProp" Target="../ctrlProps/ctrlProp597.xml"/><Relationship Id="rId1230" Type="http://schemas.openxmlformats.org/officeDocument/2006/relationships/ctrlProp" Target="../ctrlProps/ctrlProp1227.xml"/><Relationship Id="rId183" Type="http://schemas.openxmlformats.org/officeDocument/2006/relationships/ctrlProp" Target="../ctrlProps/ctrlProp180.xml"/><Relationship Id="rId390" Type="http://schemas.openxmlformats.org/officeDocument/2006/relationships/ctrlProp" Target="../ctrlProps/ctrlProp387.xml"/><Relationship Id="rId1907" Type="http://schemas.openxmlformats.org/officeDocument/2006/relationships/ctrlProp" Target="../ctrlProps/ctrlProp1904.xml"/><Relationship Id="rId2071" Type="http://schemas.openxmlformats.org/officeDocument/2006/relationships/ctrlProp" Target="../ctrlProps/ctrlProp2068.xml"/><Relationship Id="rId250" Type="http://schemas.openxmlformats.org/officeDocument/2006/relationships/ctrlProp" Target="../ctrlProps/ctrlProp247.xml"/><Relationship Id="rId110" Type="http://schemas.openxmlformats.org/officeDocument/2006/relationships/ctrlProp" Target="../ctrlProps/ctrlProp107.xml"/><Relationship Id="rId2888" Type="http://schemas.openxmlformats.org/officeDocument/2006/relationships/table" Target="../tables/table198.xml"/><Relationship Id="rId1697" Type="http://schemas.openxmlformats.org/officeDocument/2006/relationships/ctrlProp" Target="../ctrlProps/ctrlProp1694.xml"/><Relationship Id="rId2748" Type="http://schemas.openxmlformats.org/officeDocument/2006/relationships/table" Target="../tables/table58.xml"/><Relationship Id="rId927" Type="http://schemas.openxmlformats.org/officeDocument/2006/relationships/ctrlProp" Target="../ctrlProps/ctrlProp924.xml"/><Relationship Id="rId1557" Type="http://schemas.openxmlformats.org/officeDocument/2006/relationships/ctrlProp" Target="../ctrlProps/ctrlProp1554.xml"/><Relationship Id="rId1764" Type="http://schemas.openxmlformats.org/officeDocument/2006/relationships/ctrlProp" Target="../ctrlProps/ctrlProp1761.xml"/><Relationship Id="rId1971" Type="http://schemas.openxmlformats.org/officeDocument/2006/relationships/ctrlProp" Target="../ctrlProps/ctrlProp1968.xml"/><Relationship Id="rId2608" Type="http://schemas.openxmlformats.org/officeDocument/2006/relationships/ctrlProp" Target="../ctrlProps/ctrlProp2605.xml"/><Relationship Id="rId2815" Type="http://schemas.openxmlformats.org/officeDocument/2006/relationships/table" Target="../tables/table125.xml"/><Relationship Id="rId56" Type="http://schemas.openxmlformats.org/officeDocument/2006/relationships/ctrlProp" Target="../ctrlProps/ctrlProp53.xml"/><Relationship Id="rId1417" Type="http://schemas.openxmlformats.org/officeDocument/2006/relationships/ctrlProp" Target="../ctrlProps/ctrlProp1414.xml"/><Relationship Id="rId1624" Type="http://schemas.openxmlformats.org/officeDocument/2006/relationships/ctrlProp" Target="../ctrlProps/ctrlProp1621.xml"/><Relationship Id="rId1831" Type="http://schemas.openxmlformats.org/officeDocument/2006/relationships/ctrlProp" Target="../ctrlProps/ctrlProp1828.xml"/><Relationship Id="rId2398" Type="http://schemas.openxmlformats.org/officeDocument/2006/relationships/ctrlProp" Target="../ctrlProps/ctrlProp2395.xml"/><Relationship Id="rId577" Type="http://schemas.openxmlformats.org/officeDocument/2006/relationships/ctrlProp" Target="../ctrlProps/ctrlProp574.xml"/><Relationship Id="rId2258" Type="http://schemas.openxmlformats.org/officeDocument/2006/relationships/ctrlProp" Target="../ctrlProps/ctrlProp2255.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2465" Type="http://schemas.openxmlformats.org/officeDocument/2006/relationships/ctrlProp" Target="../ctrlProps/ctrlProp2462.xml"/><Relationship Id="rId2672" Type="http://schemas.openxmlformats.org/officeDocument/2006/relationships/ctrlProp" Target="../ctrlProps/ctrlProp2669.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2118" Type="http://schemas.openxmlformats.org/officeDocument/2006/relationships/ctrlProp" Target="../ctrlProps/ctrlProp2115.xml"/><Relationship Id="rId2325" Type="http://schemas.openxmlformats.org/officeDocument/2006/relationships/ctrlProp" Target="../ctrlProps/ctrlProp2322.xml"/><Relationship Id="rId2532" Type="http://schemas.openxmlformats.org/officeDocument/2006/relationships/ctrlProp" Target="../ctrlProps/ctrlProp2529.xml"/><Relationship Id="rId504" Type="http://schemas.openxmlformats.org/officeDocument/2006/relationships/ctrlProp" Target="../ctrlProps/ctrlProp501.xml"/><Relationship Id="rId711" Type="http://schemas.openxmlformats.org/officeDocument/2006/relationships/ctrlProp" Target="../ctrlProps/ctrlProp708.xml"/><Relationship Id="rId1134" Type="http://schemas.openxmlformats.org/officeDocument/2006/relationships/ctrlProp" Target="../ctrlProps/ctrlProp1131.xml"/><Relationship Id="rId1341" Type="http://schemas.openxmlformats.org/officeDocument/2006/relationships/ctrlProp" Target="../ctrlProps/ctrlProp1338.xml"/><Relationship Id="rId1201" Type="http://schemas.openxmlformats.org/officeDocument/2006/relationships/ctrlProp" Target="../ctrlProps/ctrlProp1198.xml"/><Relationship Id="rId294" Type="http://schemas.openxmlformats.org/officeDocument/2006/relationships/ctrlProp" Target="../ctrlProps/ctrlProp291.xml"/><Relationship Id="rId2182" Type="http://schemas.openxmlformats.org/officeDocument/2006/relationships/ctrlProp" Target="../ctrlProps/ctrlProp2179.xml"/><Relationship Id="rId154" Type="http://schemas.openxmlformats.org/officeDocument/2006/relationships/ctrlProp" Target="../ctrlProps/ctrlProp151.xml"/><Relationship Id="rId361" Type="http://schemas.openxmlformats.org/officeDocument/2006/relationships/ctrlProp" Target="../ctrlProps/ctrlProp358.xml"/><Relationship Id="rId2042" Type="http://schemas.openxmlformats.org/officeDocument/2006/relationships/ctrlProp" Target="../ctrlProps/ctrlProp2039.xml"/><Relationship Id="rId221" Type="http://schemas.openxmlformats.org/officeDocument/2006/relationships/ctrlProp" Target="../ctrlProps/ctrlProp218.xml"/><Relationship Id="rId2859" Type="http://schemas.openxmlformats.org/officeDocument/2006/relationships/table" Target="../tables/table169.xml"/><Relationship Id="rId1668" Type="http://schemas.openxmlformats.org/officeDocument/2006/relationships/ctrlProp" Target="../ctrlProps/ctrlProp1665.xml"/><Relationship Id="rId1875" Type="http://schemas.openxmlformats.org/officeDocument/2006/relationships/ctrlProp" Target="../ctrlProps/ctrlProp1872.xml"/><Relationship Id="rId2719" Type="http://schemas.openxmlformats.org/officeDocument/2006/relationships/table" Target="../tables/table29.xml"/><Relationship Id="rId1528" Type="http://schemas.openxmlformats.org/officeDocument/2006/relationships/ctrlProp" Target="../ctrlProps/ctrlProp1525.xml"/><Relationship Id="rId1735" Type="http://schemas.openxmlformats.org/officeDocument/2006/relationships/ctrlProp" Target="../ctrlProps/ctrlProp1732.xml"/><Relationship Id="rId1942" Type="http://schemas.openxmlformats.org/officeDocument/2006/relationships/ctrlProp" Target="../ctrlProps/ctrlProp1939.xml"/><Relationship Id="rId27" Type="http://schemas.openxmlformats.org/officeDocument/2006/relationships/ctrlProp" Target="../ctrlProps/ctrlProp24.xml"/><Relationship Id="rId1802" Type="http://schemas.openxmlformats.org/officeDocument/2006/relationships/ctrlProp" Target="../ctrlProps/ctrlProp1799.xml"/><Relationship Id="rId688" Type="http://schemas.openxmlformats.org/officeDocument/2006/relationships/ctrlProp" Target="../ctrlProps/ctrlProp685.xml"/><Relationship Id="rId895" Type="http://schemas.openxmlformats.org/officeDocument/2006/relationships/ctrlProp" Target="../ctrlProps/ctrlProp892.xml"/><Relationship Id="rId2369" Type="http://schemas.openxmlformats.org/officeDocument/2006/relationships/ctrlProp" Target="../ctrlProps/ctrlProp2366.xml"/><Relationship Id="rId2576" Type="http://schemas.openxmlformats.org/officeDocument/2006/relationships/ctrlProp" Target="../ctrlProps/ctrlProp2573.xml"/><Relationship Id="rId2783" Type="http://schemas.openxmlformats.org/officeDocument/2006/relationships/table" Target="../tables/table93.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1592" Type="http://schemas.openxmlformats.org/officeDocument/2006/relationships/ctrlProp" Target="../ctrlProps/ctrlProp1589.xml"/><Relationship Id="rId2229" Type="http://schemas.openxmlformats.org/officeDocument/2006/relationships/ctrlProp" Target="../ctrlProps/ctrlProp2226.xml"/><Relationship Id="rId2436" Type="http://schemas.openxmlformats.org/officeDocument/2006/relationships/ctrlProp" Target="../ctrlProps/ctrlProp2433.xml"/><Relationship Id="rId2643" Type="http://schemas.openxmlformats.org/officeDocument/2006/relationships/ctrlProp" Target="../ctrlProps/ctrlProp2640.xml"/><Relationship Id="rId2850" Type="http://schemas.openxmlformats.org/officeDocument/2006/relationships/table" Target="../tables/table160.xml"/><Relationship Id="rId91" Type="http://schemas.openxmlformats.org/officeDocument/2006/relationships/ctrlProp" Target="../ctrlProps/ctrlProp88.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2503" Type="http://schemas.openxmlformats.org/officeDocument/2006/relationships/ctrlProp" Target="../ctrlProps/ctrlProp2500.xml"/><Relationship Id="rId1105" Type="http://schemas.openxmlformats.org/officeDocument/2006/relationships/ctrlProp" Target="../ctrlProps/ctrlProp1102.xml"/><Relationship Id="rId1312" Type="http://schemas.openxmlformats.org/officeDocument/2006/relationships/ctrlProp" Target="../ctrlProps/ctrlProp1309.xml"/><Relationship Id="rId2710" Type="http://schemas.openxmlformats.org/officeDocument/2006/relationships/table" Target="../tables/table20.xml"/><Relationship Id="rId198" Type="http://schemas.openxmlformats.org/officeDocument/2006/relationships/ctrlProp" Target="../ctrlProps/ctrlProp195.xml"/><Relationship Id="rId2086" Type="http://schemas.openxmlformats.org/officeDocument/2006/relationships/ctrlProp" Target="../ctrlProps/ctrlProp2083.xml"/><Relationship Id="rId2293" Type="http://schemas.openxmlformats.org/officeDocument/2006/relationships/ctrlProp" Target="../ctrlProps/ctrlProp2290.xml"/><Relationship Id="rId265" Type="http://schemas.openxmlformats.org/officeDocument/2006/relationships/ctrlProp" Target="../ctrlProps/ctrlProp262.xml"/><Relationship Id="rId472" Type="http://schemas.openxmlformats.org/officeDocument/2006/relationships/ctrlProp" Target="../ctrlProps/ctrlProp469.xml"/><Relationship Id="rId2153" Type="http://schemas.openxmlformats.org/officeDocument/2006/relationships/ctrlProp" Target="../ctrlProps/ctrlProp2150.xml"/><Relationship Id="rId2360" Type="http://schemas.openxmlformats.org/officeDocument/2006/relationships/ctrlProp" Target="../ctrlProps/ctrlProp2357.xml"/><Relationship Id="rId125" Type="http://schemas.openxmlformats.org/officeDocument/2006/relationships/ctrlProp" Target="../ctrlProps/ctrlProp122.xml"/><Relationship Id="rId332" Type="http://schemas.openxmlformats.org/officeDocument/2006/relationships/ctrlProp" Target="../ctrlProps/ctrlProp329.xml"/><Relationship Id="rId2013" Type="http://schemas.openxmlformats.org/officeDocument/2006/relationships/ctrlProp" Target="../ctrlProps/ctrlProp2010.xml"/><Relationship Id="rId2220" Type="http://schemas.openxmlformats.org/officeDocument/2006/relationships/ctrlProp" Target="../ctrlProps/ctrlProp2217.xml"/><Relationship Id="rId1779" Type="http://schemas.openxmlformats.org/officeDocument/2006/relationships/ctrlProp" Target="../ctrlProps/ctrlProp1776.xml"/><Relationship Id="rId1986" Type="http://schemas.openxmlformats.org/officeDocument/2006/relationships/ctrlProp" Target="../ctrlProps/ctrlProp1983.xml"/><Relationship Id="rId1639" Type="http://schemas.openxmlformats.org/officeDocument/2006/relationships/ctrlProp" Target="../ctrlProps/ctrlProp1636.xml"/><Relationship Id="rId1846" Type="http://schemas.openxmlformats.org/officeDocument/2006/relationships/ctrlProp" Target="../ctrlProps/ctrlProp1843.xml"/><Relationship Id="rId1706" Type="http://schemas.openxmlformats.org/officeDocument/2006/relationships/ctrlProp" Target="../ctrlProps/ctrlProp1703.xml"/><Relationship Id="rId1913" Type="http://schemas.openxmlformats.org/officeDocument/2006/relationships/ctrlProp" Target="../ctrlProps/ctrlProp1910.xml"/><Relationship Id="rId799" Type="http://schemas.openxmlformats.org/officeDocument/2006/relationships/ctrlProp" Target="../ctrlProps/ctrlProp796.xml"/><Relationship Id="rId2687" Type="http://schemas.openxmlformats.org/officeDocument/2006/relationships/ctrlProp" Target="../ctrlProps/ctrlProp2684.xml"/><Relationship Id="rId2894" Type="http://schemas.openxmlformats.org/officeDocument/2006/relationships/table" Target="../tables/table204.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96" Type="http://schemas.openxmlformats.org/officeDocument/2006/relationships/ctrlProp" Target="../ctrlProps/ctrlProp1493.xml"/><Relationship Id="rId2547" Type="http://schemas.openxmlformats.org/officeDocument/2006/relationships/ctrlProp" Target="../ctrlProps/ctrlProp2544.xml"/><Relationship Id="rId519" Type="http://schemas.openxmlformats.org/officeDocument/2006/relationships/ctrlProp" Target="../ctrlProps/ctrlProp516.xml"/><Relationship Id="rId1149" Type="http://schemas.openxmlformats.org/officeDocument/2006/relationships/ctrlProp" Target="../ctrlProps/ctrlProp1146.xml"/><Relationship Id="rId1356" Type="http://schemas.openxmlformats.org/officeDocument/2006/relationships/ctrlProp" Target="../ctrlProps/ctrlProp1353.xml"/><Relationship Id="rId2754" Type="http://schemas.openxmlformats.org/officeDocument/2006/relationships/table" Target="../tables/table64.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1563" Type="http://schemas.openxmlformats.org/officeDocument/2006/relationships/ctrlProp" Target="../ctrlProps/ctrlProp1560.xml"/><Relationship Id="rId1770" Type="http://schemas.openxmlformats.org/officeDocument/2006/relationships/ctrlProp" Target="../ctrlProps/ctrlProp1767.xml"/><Relationship Id="rId2407" Type="http://schemas.openxmlformats.org/officeDocument/2006/relationships/ctrlProp" Target="../ctrlProps/ctrlProp2404.xml"/><Relationship Id="rId2614" Type="http://schemas.openxmlformats.org/officeDocument/2006/relationships/ctrlProp" Target="../ctrlProps/ctrlProp2611.xml"/><Relationship Id="rId2821" Type="http://schemas.openxmlformats.org/officeDocument/2006/relationships/table" Target="../tables/table131.xml"/><Relationship Id="rId62" Type="http://schemas.openxmlformats.org/officeDocument/2006/relationships/ctrlProp" Target="../ctrlProps/ctrlProp59.xml"/><Relationship Id="rId1216" Type="http://schemas.openxmlformats.org/officeDocument/2006/relationships/ctrlProp" Target="../ctrlProps/ctrlProp1213.xml"/><Relationship Id="rId1423" Type="http://schemas.openxmlformats.org/officeDocument/2006/relationships/ctrlProp" Target="../ctrlProps/ctrlProp1420.xml"/><Relationship Id="rId1630" Type="http://schemas.openxmlformats.org/officeDocument/2006/relationships/ctrlProp" Target="../ctrlProps/ctrlProp1627.xml"/><Relationship Id="rId2197" Type="http://schemas.openxmlformats.org/officeDocument/2006/relationships/ctrlProp" Target="../ctrlProps/ctrlProp2194.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2057" Type="http://schemas.openxmlformats.org/officeDocument/2006/relationships/ctrlProp" Target="../ctrlProps/ctrlProp2054.xml"/><Relationship Id="rId2264" Type="http://schemas.openxmlformats.org/officeDocument/2006/relationships/ctrlProp" Target="../ctrlProps/ctrlProp2261.xml"/><Relationship Id="rId2471" Type="http://schemas.openxmlformats.org/officeDocument/2006/relationships/ctrlProp" Target="../ctrlProps/ctrlProp2468.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1073" Type="http://schemas.openxmlformats.org/officeDocument/2006/relationships/ctrlProp" Target="../ctrlProps/ctrlProp1070.xml"/><Relationship Id="rId1280" Type="http://schemas.openxmlformats.org/officeDocument/2006/relationships/ctrlProp" Target="../ctrlProps/ctrlProp1277.xml"/><Relationship Id="rId2124" Type="http://schemas.openxmlformats.org/officeDocument/2006/relationships/ctrlProp" Target="../ctrlProps/ctrlProp2121.xml"/><Relationship Id="rId2331" Type="http://schemas.openxmlformats.org/officeDocument/2006/relationships/ctrlProp" Target="../ctrlProps/ctrlProp2328.xml"/><Relationship Id="rId303" Type="http://schemas.openxmlformats.org/officeDocument/2006/relationships/ctrlProp" Target="../ctrlProps/ctrlProp300.xml"/><Relationship Id="rId1140" Type="http://schemas.openxmlformats.org/officeDocument/2006/relationships/ctrlProp" Target="../ctrlProps/ctrlProp1137.xml"/><Relationship Id="rId510" Type="http://schemas.openxmlformats.org/officeDocument/2006/relationships/ctrlProp" Target="../ctrlProps/ctrlProp507.xml"/><Relationship Id="rId1000" Type="http://schemas.openxmlformats.org/officeDocument/2006/relationships/ctrlProp" Target="../ctrlProps/ctrlProp997.xml"/><Relationship Id="rId1957" Type="http://schemas.openxmlformats.org/officeDocument/2006/relationships/ctrlProp" Target="../ctrlProps/ctrlProp1954.xml"/><Relationship Id="rId1817" Type="http://schemas.openxmlformats.org/officeDocument/2006/relationships/ctrlProp" Target="../ctrlProps/ctrlProp1814.xml"/><Relationship Id="rId160" Type="http://schemas.openxmlformats.org/officeDocument/2006/relationships/ctrlProp" Target="../ctrlProps/ctrlProp157.xml"/><Relationship Id="rId2798" Type="http://schemas.openxmlformats.org/officeDocument/2006/relationships/table" Target="../tables/table108.xml"/><Relationship Id="rId977" Type="http://schemas.openxmlformats.org/officeDocument/2006/relationships/ctrlProp" Target="../ctrlProps/ctrlProp974.xml"/><Relationship Id="rId2658" Type="http://schemas.openxmlformats.org/officeDocument/2006/relationships/ctrlProp" Target="../ctrlProps/ctrlProp2655.xml"/><Relationship Id="rId2865" Type="http://schemas.openxmlformats.org/officeDocument/2006/relationships/table" Target="../tables/table175.xml"/><Relationship Id="rId837" Type="http://schemas.openxmlformats.org/officeDocument/2006/relationships/ctrlProp" Target="../ctrlProps/ctrlProp834.xml"/><Relationship Id="rId1467" Type="http://schemas.openxmlformats.org/officeDocument/2006/relationships/ctrlProp" Target="../ctrlProps/ctrlProp1464.xml"/><Relationship Id="rId1674" Type="http://schemas.openxmlformats.org/officeDocument/2006/relationships/ctrlProp" Target="../ctrlProps/ctrlProp1671.xml"/><Relationship Id="rId1881" Type="http://schemas.openxmlformats.org/officeDocument/2006/relationships/ctrlProp" Target="../ctrlProps/ctrlProp1878.xml"/><Relationship Id="rId2518" Type="http://schemas.openxmlformats.org/officeDocument/2006/relationships/ctrlProp" Target="../ctrlProps/ctrlProp2515.xml"/><Relationship Id="rId2725" Type="http://schemas.openxmlformats.org/officeDocument/2006/relationships/table" Target="../tables/table35.xml"/><Relationship Id="rId904" Type="http://schemas.openxmlformats.org/officeDocument/2006/relationships/ctrlProp" Target="../ctrlProps/ctrlProp901.xml"/><Relationship Id="rId1327" Type="http://schemas.openxmlformats.org/officeDocument/2006/relationships/ctrlProp" Target="../ctrlProps/ctrlProp1324.xml"/><Relationship Id="rId1534" Type="http://schemas.openxmlformats.org/officeDocument/2006/relationships/ctrlProp" Target="../ctrlProps/ctrlProp1531.xml"/><Relationship Id="rId1741" Type="http://schemas.openxmlformats.org/officeDocument/2006/relationships/ctrlProp" Target="../ctrlProps/ctrlProp1738.xml"/><Relationship Id="rId33" Type="http://schemas.openxmlformats.org/officeDocument/2006/relationships/ctrlProp" Target="../ctrlProps/ctrlProp30.xml"/><Relationship Id="rId1601" Type="http://schemas.openxmlformats.org/officeDocument/2006/relationships/ctrlProp" Target="../ctrlProps/ctrlProp1598.xml"/><Relationship Id="rId487" Type="http://schemas.openxmlformats.org/officeDocument/2006/relationships/ctrlProp" Target="../ctrlProps/ctrlProp484.xml"/><Relationship Id="rId694" Type="http://schemas.openxmlformats.org/officeDocument/2006/relationships/ctrlProp" Target="../ctrlProps/ctrlProp691.xml"/><Relationship Id="rId2168" Type="http://schemas.openxmlformats.org/officeDocument/2006/relationships/ctrlProp" Target="../ctrlProps/ctrlProp2165.xml"/><Relationship Id="rId2375" Type="http://schemas.openxmlformats.org/officeDocument/2006/relationships/ctrlProp" Target="../ctrlProps/ctrlProp2372.xml"/><Relationship Id="rId347" Type="http://schemas.openxmlformats.org/officeDocument/2006/relationships/ctrlProp" Target="../ctrlProps/ctrlProp344.xml"/><Relationship Id="rId1184" Type="http://schemas.openxmlformats.org/officeDocument/2006/relationships/ctrlProp" Target="../ctrlProps/ctrlProp1181.xml"/><Relationship Id="rId2028" Type="http://schemas.openxmlformats.org/officeDocument/2006/relationships/ctrlProp" Target="../ctrlProps/ctrlProp2025.xml"/><Relationship Id="rId2582" Type="http://schemas.openxmlformats.org/officeDocument/2006/relationships/ctrlProp" Target="../ctrlProps/ctrlProp2579.xml"/><Relationship Id="rId554" Type="http://schemas.openxmlformats.org/officeDocument/2006/relationships/ctrlProp" Target="../ctrlProps/ctrlProp551.xml"/><Relationship Id="rId761" Type="http://schemas.openxmlformats.org/officeDocument/2006/relationships/ctrlProp" Target="../ctrlProps/ctrlProp758.xml"/><Relationship Id="rId1391" Type="http://schemas.openxmlformats.org/officeDocument/2006/relationships/ctrlProp" Target="../ctrlProps/ctrlProp1388.xml"/><Relationship Id="rId2235" Type="http://schemas.openxmlformats.org/officeDocument/2006/relationships/ctrlProp" Target="../ctrlProps/ctrlProp2232.xml"/><Relationship Id="rId2442" Type="http://schemas.openxmlformats.org/officeDocument/2006/relationships/ctrlProp" Target="../ctrlProps/ctrlProp2439.xml"/><Relationship Id="rId207" Type="http://schemas.openxmlformats.org/officeDocument/2006/relationships/ctrlProp" Target="../ctrlProps/ctrlProp204.xml"/><Relationship Id="rId414" Type="http://schemas.openxmlformats.org/officeDocument/2006/relationships/ctrlProp" Target="../ctrlProps/ctrlProp411.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2302" Type="http://schemas.openxmlformats.org/officeDocument/2006/relationships/ctrlProp" Target="../ctrlProps/ctrlProp2299.xml"/><Relationship Id="rId1111" Type="http://schemas.openxmlformats.org/officeDocument/2006/relationships/ctrlProp" Target="../ctrlProps/ctrlProp1108.xml"/><Relationship Id="rId1928" Type="http://schemas.openxmlformats.org/officeDocument/2006/relationships/ctrlProp" Target="../ctrlProps/ctrlProp1925.xml"/><Relationship Id="rId2092" Type="http://schemas.openxmlformats.org/officeDocument/2006/relationships/ctrlProp" Target="../ctrlProps/ctrlProp2089.xml"/><Relationship Id="rId271" Type="http://schemas.openxmlformats.org/officeDocument/2006/relationships/ctrlProp" Target="../ctrlProps/ctrlProp268.xml"/><Relationship Id="rId131" Type="http://schemas.openxmlformats.org/officeDocument/2006/relationships/ctrlProp" Target="../ctrlProps/ctrlProp128.xml"/><Relationship Id="rId2769" Type="http://schemas.openxmlformats.org/officeDocument/2006/relationships/table" Target="../tables/table79.xml"/><Relationship Id="rId948" Type="http://schemas.openxmlformats.org/officeDocument/2006/relationships/ctrlProp" Target="../ctrlProps/ctrlProp945.xml"/><Relationship Id="rId1578" Type="http://schemas.openxmlformats.org/officeDocument/2006/relationships/ctrlProp" Target="../ctrlProps/ctrlProp1575.xml"/><Relationship Id="rId1785" Type="http://schemas.openxmlformats.org/officeDocument/2006/relationships/ctrlProp" Target="../ctrlProps/ctrlProp1782.xml"/><Relationship Id="rId1992" Type="http://schemas.openxmlformats.org/officeDocument/2006/relationships/ctrlProp" Target="../ctrlProps/ctrlProp1989.xml"/><Relationship Id="rId2629" Type="http://schemas.openxmlformats.org/officeDocument/2006/relationships/ctrlProp" Target="../ctrlProps/ctrlProp2626.xml"/><Relationship Id="rId2836" Type="http://schemas.openxmlformats.org/officeDocument/2006/relationships/table" Target="../tables/table146.xml"/><Relationship Id="rId77" Type="http://schemas.openxmlformats.org/officeDocument/2006/relationships/ctrlProp" Target="../ctrlProps/ctrlProp74.xml"/><Relationship Id="rId808" Type="http://schemas.openxmlformats.org/officeDocument/2006/relationships/ctrlProp" Target="../ctrlProps/ctrlProp805.xml"/><Relationship Id="rId1438" Type="http://schemas.openxmlformats.org/officeDocument/2006/relationships/ctrlProp" Target="../ctrlProps/ctrlProp1435.xml"/><Relationship Id="rId1645" Type="http://schemas.openxmlformats.org/officeDocument/2006/relationships/ctrlProp" Target="../ctrlProps/ctrlProp1642.xml"/><Relationship Id="rId1852" Type="http://schemas.openxmlformats.org/officeDocument/2006/relationships/ctrlProp" Target="../ctrlProps/ctrlProp1849.xml"/><Relationship Id="rId2903" Type="http://schemas.openxmlformats.org/officeDocument/2006/relationships/table" Target="../tables/table213.xml"/><Relationship Id="rId1505" Type="http://schemas.openxmlformats.org/officeDocument/2006/relationships/ctrlProp" Target="../ctrlProps/ctrlProp1502.xml"/><Relationship Id="rId1712" Type="http://schemas.openxmlformats.org/officeDocument/2006/relationships/ctrlProp" Target="../ctrlProps/ctrlProp1709.xml"/><Relationship Id="rId293" Type="http://schemas.openxmlformats.org/officeDocument/2006/relationships/ctrlProp" Target="../ctrlProps/ctrlProp290.xml"/><Relationship Id="rId2181" Type="http://schemas.openxmlformats.org/officeDocument/2006/relationships/ctrlProp" Target="../ctrlProps/ctrlProp2178.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2041" Type="http://schemas.openxmlformats.org/officeDocument/2006/relationships/ctrlProp" Target="../ctrlProps/ctrlProp2038.xml"/><Relationship Id="rId2279" Type="http://schemas.openxmlformats.org/officeDocument/2006/relationships/ctrlProp" Target="../ctrlProps/ctrlProp2276.xml"/><Relationship Id="rId2486" Type="http://schemas.openxmlformats.org/officeDocument/2006/relationships/ctrlProp" Target="../ctrlProps/ctrlProp2483.xml"/><Relationship Id="rId2693" Type="http://schemas.openxmlformats.org/officeDocument/2006/relationships/table" Target="../tables/table3.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2139" Type="http://schemas.openxmlformats.org/officeDocument/2006/relationships/ctrlProp" Target="../ctrlProps/ctrlProp2136.xml"/><Relationship Id="rId2346" Type="http://schemas.openxmlformats.org/officeDocument/2006/relationships/ctrlProp" Target="../ctrlProps/ctrlProp2343.xml"/><Relationship Id="rId2553" Type="http://schemas.openxmlformats.org/officeDocument/2006/relationships/ctrlProp" Target="../ctrlProps/ctrlProp2550.xml"/><Relationship Id="rId2760" Type="http://schemas.openxmlformats.org/officeDocument/2006/relationships/table" Target="../tables/table70.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2206" Type="http://schemas.openxmlformats.org/officeDocument/2006/relationships/ctrlProp" Target="../ctrlProps/ctrlProp2203.xml"/><Relationship Id="rId2413" Type="http://schemas.openxmlformats.org/officeDocument/2006/relationships/ctrlProp" Target="../ctrlProps/ctrlProp2410.xml"/><Relationship Id="rId2620" Type="http://schemas.openxmlformats.org/officeDocument/2006/relationships/ctrlProp" Target="../ctrlProps/ctrlProp2617.xml"/><Relationship Id="rId2858" Type="http://schemas.openxmlformats.org/officeDocument/2006/relationships/table" Target="../tables/table168.xml"/><Relationship Id="rId99" Type="http://schemas.openxmlformats.org/officeDocument/2006/relationships/ctrlProp" Target="../ctrlProps/ctrlProp96.xml"/><Relationship Id="rId1015" Type="http://schemas.openxmlformats.org/officeDocument/2006/relationships/ctrlProp" Target="../ctrlProps/ctrlProp1012.xml"/><Relationship Id="rId1222" Type="http://schemas.openxmlformats.org/officeDocument/2006/relationships/ctrlProp" Target="../ctrlProps/ctrlProp1219.xml"/><Relationship Id="rId1667" Type="http://schemas.openxmlformats.org/officeDocument/2006/relationships/ctrlProp" Target="../ctrlProps/ctrlProp1664.xml"/><Relationship Id="rId1874" Type="http://schemas.openxmlformats.org/officeDocument/2006/relationships/ctrlProp" Target="../ctrlProps/ctrlProp1871.xml"/><Relationship Id="rId2718" Type="http://schemas.openxmlformats.org/officeDocument/2006/relationships/table" Target="../tables/table28.xml"/><Relationship Id="rId1527" Type="http://schemas.openxmlformats.org/officeDocument/2006/relationships/ctrlProp" Target="../ctrlProps/ctrlProp1524.xml"/><Relationship Id="rId1734" Type="http://schemas.openxmlformats.org/officeDocument/2006/relationships/ctrlProp" Target="../ctrlProps/ctrlProp1731.xml"/><Relationship Id="rId1941" Type="http://schemas.openxmlformats.org/officeDocument/2006/relationships/ctrlProp" Target="../ctrlProps/ctrlProp1938.xml"/><Relationship Id="rId26" Type="http://schemas.openxmlformats.org/officeDocument/2006/relationships/ctrlProp" Target="../ctrlProps/ctrlProp23.xml"/><Relationship Id="rId175" Type="http://schemas.openxmlformats.org/officeDocument/2006/relationships/ctrlProp" Target="../ctrlProps/ctrlProp172.xml"/><Relationship Id="rId1801" Type="http://schemas.openxmlformats.org/officeDocument/2006/relationships/ctrlProp" Target="../ctrlProps/ctrlProp1798.xml"/><Relationship Id="rId382" Type="http://schemas.openxmlformats.org/officeDocument/2006/relationships/ctrlProp" Target="../ctrlProps/ctrlProp379.xml"/><Relationship Id="rId687" Type="http://schemas.openxmlformats.org/officeDocument/2006/relationships/ctrlProp" Target="../ctrlProps/ctrlProp684.xml"/><Relationship Id="rId2063" Type="http://schemas.openxmlformats.org/officeDocument/2006/relationships/ctrlProp" Target="../ctrlProps/ctrlProp2060.xml"/><Relationship Id="rId2270" Type="http://schemas.openxmlformats.org/officeDocument/2006/relationships/ctrlProp" Target="../ctrlProps/ctrlProp2267.xml"/><Relationship Id="rId2368" Type="http://schemas.openxmlformats.org/officeDocument/2006/relationships/ctrlProp" Target="../ctrlProps/ctrlProp236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2130" Type="http://schemas.openxmlformats.org/officeDocument/2006/relationships/ctrlProp" Target="../ctrlProps/ctrlProp2127.xml"/><Relationship Id="rId2575" Type="http://schemas.openxmlformats.org/officeDocument/2006/relationships/ctrlProp" Target="../ctrlProps/ctrlProp2572.xml"/><Relationship Id="rId2782" Type="http://schemas.openxmlformats.org/officeDocument/2006/relationships/table" Target="../tables/table92.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1591" Type="http://schemas.openxmlformats.org/officeDocument/2006/relationships/ctrlProp" Target="../ctrlProps/ctrlProp1588.xml"/><Relationship Id="rId1689" Type="http://schemas.openxmlformats.org/officeDocument/2006/relationships/ctrlProp" Target="../ctrlProps/ctrlProp1686.xml"/><Relationship Id="rId2228" Type="http://schemas.openxmlformats.org/officeDocument/2006/relationships/ctrlProp" Target="../ctrlProps/ctrlProp2225.xml"/><Relationship Id="rId2435" Type="http://schemas.openxmlformats.org/officeDocument/2006/relationships/ctrlProp" Target="../ctrlProps/ctrlProp2432.xml"/><Relationship Id="rId2642" Type="http://schemas.openxmlformats.org/officeDocument/2006/relationships/ctrlProp" Target="../ctrlProps/ctrlProp2639.xml"/><Relationship Id="rId90" Type="http://schemas.openxmlformats.org/officeDocument/2006/relationships/ctrlProp" Target="../ctrlProps/ctrlProp87.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1896" Type="http://schemas.openxmlformats.org/officeDocument/2006/relationships/ctrlProp" Target="../ctrlProps/ctrlProp1893.xml"/><Relationship Id="rId2502" Type="http://schemas.openxmlformats.org/officeDocument/2006/relationships/ctrlProp" Target="../ctrlProps/ctrlProp2499.xml"/><Relationship Id="rId919" Type="http://schemas.openxmlformats.org/officeDocument/2006/relationships/ctrlProp" Target="../ctrlProps/ctrlProp916.xml"/><Relationship Id="rId1104" Type="http://schemas.openxmlformats.org/officeDocument/2006/relationships/ctrlProp" Target="../ctrlProps/ctrlProp1101.xml"/><Relationship Id="rId1311" Type="http://schemas.openxmlformats.org/officeDocument/2006/relationships/ctrlProp" Target="../ctrlProps/ctrlProp1308.xml"/><Relationship Id="rId1549" Type="http://schemas.openxmlformats.org/officeDocument/2006/relationships/ctrlProp" Target="../ctrlProps/ctrlProp1546.xml"/><Relationship Id="rId1756" Type="http://schemas.openxmlformats.org/officeDocument/2006/relationships/ctrlProp" Target="../ctrlProps/ctrlProp1753.xml"/><Relationship Id="rId1963" Type="http://schemas.openxmlformats.org/officeDocument/2006/relationships/ctrlProp" Target="../ctrlProps/ctrlProp1960.xml"/><Relationship Id="rId2807" Type="http://schemas.openxmlformats.org/officeDocument/2006/relationships/table" Target="../tables/table117.xml"/><Relationship Id="rId48" Type="http://schemas.openxmlformats.org/officeDocument/2006/relationships/ctrlProp" Target="../ctrlProps/ctrlProp45.xml"/><Relationship Id="rId1409" Type="http://schemas.openxmlformats.org/officeDocument/2006/relationships/ctrlProp" Target="../ctrlProps/ctrlProp1406.xml"/><Relationship Id="rId1616" Type="http://schemas.openxmlformats.org/officeDocument/2006/relationships/ctrlProp" Target="../ctrlProps/ctrlProp1613.xml"/><Relationship Id="rId1823" Type="http://schemas.openxmlformats.org/officeDocument/2006/relationships/ctrlProp" Target="../ctrlProps/ctrlProp1820.xml"/><Relationship Id="rId197" Type="http://schemas.openxmlformats.org/officeDocument/2006/relationships/ctrlProp" Target="../ctrlProps/ctrlProp194.xml"/><Relationship Id="rId2085" Type="http://schemas.openxmlformats.org/officeDocument/2006/relationships/ctrlProp" Target="../ctrlProps/ctrlProp2082.xml"/><Relationship Id="rId2292" Type="http://schemas.openxmlformats.org/officeDocument/2006/relationships/ctrlProp" Target="../ctrlProps/ctrlProp2289.xml"/><Relationship Id="rId264" Type="http://schemas.openxmlformats.org/officeDocument/2006/relationships/ctrlProp" Target="../ctrlProps/ctrlProp261.xml"/><Relationship Id="rId471" Type="http://schemas.openxmlformats.org/officeDocument/2006/relationships/ctrlProp" Target="../ctrlProps/ctrlProp468.xml"/><Relationship Id="rId2152" Type="http://schemas.openxmlformats.org/officeDocument/2006/relationships/ctrlProp" Target="../ctrlProps/ctrlProp2149.xml"/><Relationship Id="rId2597" Type="http://schemas.openxmlformats.org/officeDocument/2006/relationships/ctrlProp" Target="../ctrlProps/ctrlProp2594.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2457" Type="http://schemas.openxmlformats.org/officeDocument/2006/relationships/ctrlProp" Target="../ctrlProps/ctrlProp2454.xml"/><Relationship Id="rId2664" Type="http://schemas.openxmlformats.org/officeDocument/2006/relationships/ctrlProp" Target="../ctrlProps/ctrlProp2661.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2012" Type="http://schemas.openxmlformats.org/officeDocument/2006/relationships/ctrlProp" Target="../ctrlProps/ctrlProp2009.xml"/><Relationship Id="rId2317" Type="http://schemas.openxmlformats.org/officeDocument/2006/relationships/ctrlProp" Target="../ctrlProps/ctrlProp2314.xml"/><Relationship Id="rId2871" Type="http://schemas.openxmlformats.org/officeDocument/2006/relationships/table" Target="../tables/table181.xml"/><Relationship Id="rId843" Type="http://schemas.openxmlformats.org/officeDocument/2006/relationships/ctrlProp" Target="../ctrlProps/ctrlProp840.xml"/><Relationship Id="rId1126" Type="http://schemas.openxmlformats.org/officeDocument/2006/relationships/ctrlProp" Target="../ctrlProps/ctrlProp1123.xml"/><Relationship Id="rId1680" Type="http://schemas.openxmlformats.org/officeDocument/2006/relationships/ctrlProp" Target="../ctrlProps/ctrlProp1677.xml"/><Relationship Id="rId1778" Type="http://schemas.openxmlformats.org/officeDocument/2006/relationships/ctrlProp" Target="../ctrlProps/ctrlProp1775.xml"/><Relationship Id="rId1985" Type="http://schemas.openxmlformats.org/officeDocument/2006/relationships/ctrlProp" Target="../ctrlProps/ctrlProp1982.xml"/><Relationship Id="rId2524" Type="http://schemas.openxmlformats.org/officeDocument/2006/relationships/ctrlProp" Target="../ctrlProps/ctrlProp2521.xml"/><Relationship Id="rId2731" Type="http://schemas.openxmlformats.org/officeDocument/2006/relationships/table" Target="../tables/table41.xml"/><Relationship Id="rId2829" Type="http://schemas.openxmlformats.org/officeDocument/2006/relationships/table" Target="../tables/table13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540" Type="http://schemas.openxmlformats.org/officeDocument/2006/relationships/ctrlProp" Target="../ctrlProps/ctrlProp1537.xml"/><Relationship Id="rId1638" Type="http://schemas.openxmlformats.org/officeDocument/2006/relationships/ctrlProp" Target="../ctrlProps/ctrlProp1635.xml"/><Relationship Id="rId1400" Type="http://schemas.openxmlformats.org/officeDocument/2006/relationships/ctrlProp" Target="../ctrlProps/ctrlProp1397.xml"/><Relationship Id="rId1845" Type="http://schemas.openxmlformats.org/officeDocument/2006/relationships/ctrlProp" Target="../ctrlProps/ctrlProp1842.xml"/><Relationship Id="rId1705" Type="http://schemas.openxmlformats.org/officeDocument/2006/relationships/ctrlProp" Target="../ctrlProps/ctrlProp1702.xml"/><Relationship Id="rId1912" Type="http://schemas.openxmlformats.org/officeDocument/2006/relationships/ctrlProp" Target="../ctrlProps/ctrlProp1909.xml"/><Relationship Id="rId286" Type="http://schemas.openxmlformats.org/officeDocument/2006/relationships/ctrlProp" Target="../ctrlProps/ctrlProp283.xml"/><Relationship Id="rId493" Type="http://schemas.openxmlformats.org/officeDocument/2006/relationships/ctrlProp" Target="../ctrlProps/ctrlProp490.xml"/><Relationship Id="rId2174" Type="http://schemas.openxmlformats.org/officeDocument/2006/relationships/ctrlProp" Target="../ctrlProps/ctrlProp2171.xml"/><Relationship Id="rId2381" Type="http://schemas.openxmlformats.org/officeDocument/2006/relationships/ctrlProp" Target="../ctrlProps/ctrlProp2378.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2034" Type="http://schemas.openxmlformats.org/officeDocument/2006/relationships/ctrlProp" Target="../ctrlProps/ctrlProp2031.xml"/><Relationship Id="rId2241" Type="http://schemas.openxmlformats.org/officeDocument/2006/relationships/ctrlProp" Target="../ctrlProps/ctrlProp2238.xml"/><Relationship Id="rId2479" Type="http://schemas.openxmlformats.org/officeDocument/2006/relationships/ctrlProp" Target="../ctrlProps/ctrlProp2476.xml"/><Relationship Id="rId2686" Type="http://schemas.openxmlformats.org/officeDocument/2006/relationships/ctrlProp" Target="../ctrlProps/ctrlProp2683.xml"/><Relationship Id="rId2893" Type="http://schemas.openxmlformats.org/officeDocument/2006/relationships/table" Target="../tables/table203.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ctrlProp" Target="../ctrlProps/ctrlProp1492.xml"/><Relationship Id="rId2101" Type="http://schemas.openxmlformats.org/officeDocument/2006/relationships/ctrlProp" Target="../ctrlProps/ctrlProp2098.xml"/><Relationship Id="rId2339" Type="http://schemas.openxmlformats.org/officeDocument/2006/relationships/ctrlProp" Target="../ctrlProps/ctrlProp2336.xml"/><Relationship Id="rId2546" Type="http://schemas.openxmlformats.org/officeDocument/2006/relationships/ctrlProp" Target="../ctrlProps/ctrlProp2543.xml"/><Relationship Id="rId2753" Type="http://schemas.openxmlformats.org/officeDocument/2006/relationships/table" Target="../tables/table63.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ctrlProp" Target="../ctrlProps/ctrlProp1559.xml"/><Relationship Id="rId2406" Type="http://schemas.openxmlformats.org/officeDocument/2006/relationships/ctrlProp" Target="../ctrlProps/ctrlProp2403.xml"/><Relationship Id="rId2613" Type="http://schemas.openxmlformats.org/officeDocument/2006/relationships/ctrlProp" Target="../ctrlProps/ctrlProp2610.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1867" Type="http://schemas.openxmlformats.org/officeDocument/2006/relationships/ctrlProp" Target="../ctrlProps/ctrlProp1864.xml"/><Relationship Id="rId2820" Type="http://schemas.openxmlformats.org/officeDocument/2006/relationships/table" Target="../tables/table130.xml"/><Relationship Id="rId2918" Type="http://schemas.openxmlformats.org/officeDocument/2006/relationships/table" Target="../tables/table228.xml"/><Relationship Id="rId61" Type="http://schemas.openxmlformats.org/officeDocument/2006/relationships/ctrlProp" Target="../ctrlProps/ctrlProp58.xml"/><Relationship Id="rId1727" Type="http://schemas.openxmlformats.org/officeDocument/2006/relationships/ctrlProp" Target="../ctrlProps/ctrlProp1724.xml"/><Relationship Id="rId1934" Type="http://schemas.openxmlformats.org/officeDocument/2006/relationships/ctrlProp" Target="../ctrlProps/ctrlProp1931.xml"/><Relationship Id="rId19" Type="http://schemas.openxmlformats.org/officeDocument/2006/relationships/ctrlProp" Target="../ctrlProps/ctrlProp16.xml"/><Relationship Id="rId2196" Type="http://schemas.openxmlformats.org/officeDocument/2006/relationships/ctrlProp" Target="../ctrlProps/ctrlProp2193.xml"/><Relationship Id="rId168" Type="http://schemas.openxmlformats.org/officeDocument/2006/relationships/ctrlProp" Target="../ctrlProps/ctrlProp165.xml"/><Relationship Id="rId375" Type="http://schemas.openxmlformats.org/officeDocument/2006/relationships/ctrlProp" Target="../ctrlProps/ctrlProp372.xml"/><Relationship Id="rId582" Type="http://schemas.openxmlformats.org/officeDocument/2006/relationships/ctrlProp" Target="../ctrlProps/ctrlProp579.xml"/><Relationship Id="rId2056" Type="http://schemas.openxmlformats.org/officeDocument/2006/relationships/ctrlProp" Target="../ctrlProps/ctrlProp2053.xml"/><Relationship Id="rId2263" Type="http://schemas.openxmlformats.org/officeDocument/2006/relationships/ctrlProp" Target="../ctrlProps/ctrlProp2260.xml"/><Relationship Id="rId2470" Type="http://schemas.openxmlformats.org/officeDocument/2006/relationships/ctrlProp" Target="../ctrlProps/ctrlProp2467.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2123" Type="http://schemas.openxmlformats.org/officeDocument/2006/relationships/ctrlProp" Target="../ctrlProps/ctrlProp2120.xml"/><Relationship Id="rId2330" Type="http://schemas.openxmlformats.org/officeDocument/2006/relationships/ctrlProp" Target="../ctrlProps/ctrlProp2327.xml"/><Relationship Id="rId2568" Type="http://schemas.openxmlformats.org/officeDocument/2006/relationships/ctrlProp" Target="../ctrlProps/ctrlProp2565.xml"/><Relationship Id="rId2775" Type="http://schemas.openxmlformats.org/officeDocument/2006/relationships/table" Target="../tables/table85.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1584" Type="http://schemas.openxmlformats.org/officeDocument/2006/relationships/ctrlProp" Target="../ctrlProps/ctrlProp1581.xml"/><Relationship Id="rId1791" Type="http://schemas.openxmlformats.org/officeDocument/2006/relationships/ctrlProp" Target="../ctrlProps/ctrlProp1788.xml"/><Relationship Id="rId2428" Type="http://schemas.openxmlformats.org/officeDocument/2006/relationships/ctrlProp" Target="../ctrlProps/ctrlProp2425.xml"/><Relationship Id="rId2635" Type="http://schemas.openxmlformats.org/officeDocument/2006/relationships/ctrlProp" Target="../ctrlProps/ctrlProp2632.xml"/><Relationship Id="rId2842" Type="http://schemas.openxmlformats.org/officeDocument/2006/relationships/table" Target="../tables/table152.xml"/><Relationship Id="rId83" Type="http://schemas.openxmlformats.org/officeDocument/2006/relationships/ctrlProp" Target="../ctrlProps/ctrlProp8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1651" Type="http://schemas.openxmlformats.org/officeDocument/2006/relationships/ctrlProp" Target="../ctrlProps/ctrlProp1648.xml"/><Relationship Id="rId1889" Type="http://schemas.openxmlformats.org/officeDocument/2006/relationships/ctrlProp" Target="../ctrlProps/ctrlProp1886.xml"/><Relationship Id="rId2702" Type="http://schemas.openxmlformats.org/officeDocument/2006/relationships/table" Target="../tables/table12.xml"/><Relationship Id="rId1304" Type="http://schemas.openxmlformats.org/officeDocument/2006/relationships/ctrlProp" Target="../ctrlProps/ctrlProp1301.xml"/><Relationship Id="rId1511" Type="http://schemas.openxmlformats.org/officeDocument/2006/relationships/ctrlProp" Target="../ctrlProps/ctrlProp1508.xml"/><Relationship Id="rId1749" Type="http://schemas.openxmlformats.org/officeDocument/2006/relationships/ctrlProp" Target="../ctrlProps/ctrlProp1746.xml"/><Relationship Id="rId1956" Type="http://schemas.openxmlformats.org/officeDocument/2006/relationships/ctrlProp" Target="../ctrlProps/ctrlProp1953.xml"/><Relationship Id="rId1609" Type="http://schemas.openxmlformats.org/officeDocument/2006/relationships/ctrlProp" Target="../ctrlProps/ctrlProp1606.xml"/><Relationship Id="rId1816" Type="http://schemas.openxmlformats.org/officeDocument/2006/relationships/ctrlProp" Target="../ctrlProps/ctrlProp1813.xml"/><Relationship Id="rId10" Type="http://schemas.openxmlformats.org/officeDocument/2006/relationships/ctrlProp" Target="../ctrlProps/ctrlProp7.xml"/><Relationship Id="rId397" Type="http://schemas.openxmlformats.org/officeDocument/2006/relationships/ctrlProp" Target="../ctrlProps/ctrlProp394.xml"/><Relationship Id="rId2078" Type="http://schemas.openxmlformats.org/officeDocument/2006/relationships/ctrlProp" Target="../ctrlProps/ctrlProp2075.xml"/><Relationship Id="rId2285" Type="http://schemas.openxmlformats.org/officeDocument/2006/relationships/ctrlProp" Target="../ctrlProps/ctrlProp2282.xml"/><Relationship Id="rId2492" Type="http://schemas.openxmlformats.org/officeDocument/2006/relationships/ctrlProp" Target="../ctrlProps/ctrlProp2489.xml"/><Relationship Id="rId257" Type="http://schemas.openxmlformats.org/officeDocument/2006/relationships/ctrlProp" Target="../ctrlProps/ctrlProp254.xml"/><Relationship Id="rId464" Type="http://schemas.openxmlformats.org/officeDocument/2006/relationships/ctrlProp" Target="../ctrlProps/ctrlProp461.xml"/><Relationship Id="rId1094" Type="http://schemas.openxmlformats.org/officeDocument/2006/relationships/ctrlProp" Target="../ctrlProps/ctrlProp1091.xml"/><Relationship Id="rId2145" Type="http://schemas.openxmlformats.org/officeDocument/2006/relationships/ctrlProp" Target="../ctrlProps/ctrlProp2142.xml"/><Relationship Id="rId2797" Type="http://schemas.openxmlformats.org/officeDocument/2006/relationships/table" Target="../tables/table107.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2352" Type="http://schemas.openxmlformats.org/officeDocument/2006/relationships/ctrlProp" Target="../ctrlProps/ctrlProp2349.xml"/><Relationship Id="rId2657" Type="http://schemas.openxmlformats.org/officeDocument/2006/relationships/ctrlProp" Target="../ctrlProps/ctrlProp2654.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ctrlProp" Target="../ctrlProps/ctrlProp1463.xml"/><Relationship Id="rId2005" Type="http://schemas.openxmlformats.org/officeDocument/2006/relationships/ctrlProp" Target="../ctrlProps/ctrlProp2002.xml"/><Relationship Id="rId2212" Type="http://schemas.openxmlformats.org/officeDocument/2006/relationships/ctrlProp" Target="../ctrlProps/ctrlProp2209.xml"/><Relationship Id="rId2864" Type="http://schemas.openxmlformats.org/officeDocument/2006/relationships/table" Target="../tables/table174.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1673" Type="http://schemas.openxmlformats.org/officeDocument/2006/relationships/ctrlProp" Target="../ctrlProps/ctrlProp1670.xml"/><Relationship Id="rId1880" Type="http://schemas.openxmlformats.org/officeDocument/2006/relationships/ctrlProp" Target="../ctrlProps/ctrlProp1877.xml"/><Relationship Id="rId1978" Type="http://schemas.openxmlformats.org/officeDocument/2006/relationships/ctrlProp" Target="../ctrlProps/ctrlProp1975.xml"/><Relationship Id="rId2517" Type="http://schemas.openxmlformats.org/officeDocument/2006/relationships/ctrlProp" Target="../ctrlProps/ctrlProp2514.xml"/><Relationship Id="rId2724" Type="http://schemas.openxmlformats.org/officeDocument/2006/relationships/table" Target="../tables/table34.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ctrlProp" Target="../ctrlProps/ctrlProp1530.xml"/><Relationship Id="rId1740" Type="http://schemas.openxmlformats.org/officeDocument/2006/relationships/ctrlProp" Target="../ctrlProps/ctrlProp1737.xml"/><Relationship Id="rId32" Type="http://schemas.openxmlformats.org/officeDocument/2006/relationships/ctrlProp" Target="../ctrlProps/ctrlProp29.xml"/><Relationship Id="rId1600" Type="http://schemas.openxmlformats.org/officeDocument/2006/relationships/ctrlProp" Target="../ctrlProps/ctrlProp1597.xml"/><Relationship Id="rId1838" Type="http://schemas.openxmlformats.org/officeDocument/2006/relationships/ctrlProp" Target="../ctrlProps/ctrlProp1835.xml"/><Relationship Id="rId181" Type="http://schemas.openxmlformats.org/officeDocument/2006/relationships/ctrlProp" Target="../ctrlProps/ctrlProp178.xml"/><Relationship Id="rId1905" Type="http://schemas.openxmlformats.org/officeDocument/2006/relationships/ctrlProp" Target="../ctrlProps/ctrlProp1902.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2167" Type="http://schemas.openxmlformats.org/officeDocument/2006/relationships/ctrlProp" Target="../ctrlProps/ctrlProp2164.xml"/><Relationship Id="rId2374" Type="http://schemas.openxmlformats.org/officeDocument/2006/relationships/ctrlProp" Target="../ctrlProps/ctrlProp2371.xml"/><Relationship Id="rId2581" Type="http://schemas.openxmlformats.org/officeDocument/2006/relationships/ctrlProp" Target="../ctrlProps/ctrlProp2578.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27" Type="http://schemas.openxmlformats.org/officeDocument/2006/relationships/ctrlProp" Target="../ctrlProps/ctrlProp2024.xml"/><Relationship Id="rId2234" Type="http://schemas.openxmlformats.org/officeDocument/2006/relationships/ctrlProp" Target="../ctrlProps/ctrlProp2231.xml"/><Relationship Id="rId2441" Type="http://schemas.openxmlformats.org/officeDocument/2006/relationships/ctrlProp" Target="../ctrlProps/ctrlProp2438.xml"/><Relationship Id="rId2679" Type="http://schemas.openxmlformats.org/officeDocument/2006/relationships/ctrlProp" Target="../ctrlProps/ctrlProp2676.xml"/><Relationship Id="rId2886" Type="http://schemas.openxmlformats.org/officeDocument/2006/relationships/table" Target="../tables/table196.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ctrlProp" Target="../ctrlProps/ctrlProp1485.xml"/><Relationship Id="rId1695" Type="http://schemas.openxmlformats.org/officeDocument/2006/relationships/ctrlProp" Target="../ctrlProps/ctrlProp1692.xml"/><Relationship Id="rId2539" Type="http://schemas.openxmlformats.org/officeDocument/2006/relationships/ctrlProp" Target="../ctrlProps/ctrlProp2536.xml"/><Relationship Id="rId2746" Type="http://schemas.openxmlformats.org/officeDocument/2006/relationships/table" Target="../tables/table56.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555" Type="http://schemas.openxmlformats.org/officeDocument/2006/relationships/ctrlProp" Target="../ctrlProps/ctrlProp1552.xml"/><Relationship Id="rId1762" Type="http://schemas.openxmlformats.org/officeDocument/2006/relationships/ctrlProp" Target="../ctrlProps/ctrlProp1759.xml"/><Relationship Id="rId2301" Type="http://schemas.openxmlformats.org/officeDocument/2006/relationships/ctrlProp" Target="../ctrlProps/ctrlProp2298.xml"/><Relationship Id="rId2606" Type="http://schemas.openxmlformats.org/officeDocument/2006/relationships/ctrlProp" Target="../ctrlProps/ctrlProp2603.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ctrlProp" Target="../ctrlProps/ctrlProp1412.xml"/><Relationship Id="rId2813" Type="http://schemas.openxmlformats.org/officeDocument/2006/relationships/table" Target="../tables/table123.xml"/><Relationship Id="rId54" Type="http://schemas.openxmlformats.org/officeDocument/2006/relationships/ctrlProp" Target="../ctrlProps/ctrlProp51.xml"/><Relationship Id="rId1622" Type="http://schemas.openxmlformats.org/officeDocument/2006/relationships/ctrlProp" Target="../ctrlProps/ctrlProp1619.xml"/><Relationship Id="rId1927" Type="http://schemas.openxmlformats.org/officeDocument/2006/relationships/ctrlProp" Target="../ctrlProps/ctrlProp1924.xml"/><Relationship Id="rId2091" Type="http://schemas.openxmlformats.org/officeDocument/2006/relationships/ctrlProp" Target="../ctrlProps/ctrlProp2088.xml"/><Relationship Id="rId2189" Type="http://schemas.openxmlformats.org/officeDocument/2006/relationships/ctrlProp" Target="../ctrlProps/ctrlProp2186.xml"/><Relationship Id="rId270" Type="http://schemas.openxmlformats.org/officeDocument/2006/relationships/ctrlProp" Target="../ctrlProps/ctrlProp267.xml"/><Relationship Id="rId2396" Type="http://schemas.openxmlformats.org/officeDocument/2006/relationships/ctrlProp" Target="../ctrlProps/ctrlProp2393.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049" Type="http://schemas.openxmlformats.org/officeDocument/2006/relationships/ctrlProp" Target="../ctrlProps/ctrlProp2046.xml"/><Relationship Id="rId2256" Type="http://schemas.openxmlformats.org/officeDocument/2006/relationships/ctrlProp" Target="../ctrlProps/ctrlProp2253.xml"/><Relationship Id="rId2463" Type="http://schemas.openxmlformats.org/officeDocument/2006/relationships/ctrlProp" Target="../ctrlProps/ctrlProp2460.xml"/><Relationship Id="rId2670" Type="http://schemas.openxmlformats.org/officeDocument/2006/relationships/ctrlProp" Target="../ctrlProps/ctrlProp2667.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2116" Type="http://schemas.openxmlformats.org/officeDocument/2006/relationships/ctrlProp" Target="../ctrlProps/ctrlProp2113.xml"/><Relationship Id="rId2323" Type="http://schemas.openxmlformats.org/officeDocument/2006/relationships/ctrlProp" Target="../ctrlProps/ctrlProp2320.xml"/><Relationship Id="rId2530" Type="http://schemas.openxmlformats.org/officeDocument/2006/relationships/ctrlProp" Target="../ctrlProps/ctrlProp2527.xml"/><Relationship Id="rId2768" Type="http://schemas.openxmlformats.org/officeDocument/2006/relationships/table" Target="../tables/table78.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1577" Type="http://schemas.openxmlformats.org/officeDocument/2006/relationships/ctrlProp" Target="../ctrlProps/ctrlProp1574.xml"/><Relationship Id="rId1784" Type="http://schemas.openxmlformats.org/officeDocument/2006/relationships/ctrlProp" Target="../ctrlProps/ctrlProp1781.xml"/><Relationship Id="rId1991" Type="http://schemas.openxmlformats.org/officeDocument/2006/relationships/ctrlProp" Target="../ctrlProps/ctrlProp1988.xml"/><Relationship Id="rId2628" Type="http://schemas.openxmlformats.org/officeDocument/2006/relationships/ctrlProp" Target="../ctrlProps/ctrlProp2625.xml"/><Relationship Id="rId2835" Type="http://schemas.openxmlformats.org/officeDocument/2006/relationships/table" Target="../tables/table145.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644" Type="http://schemas.openxmlformats.org/officeDocument/2006/relationships/ctrlProp" Target="../ctrlProps/ctrlProp1641.xml"/><Relationship Id="rId1851" Type="http://schemas.openxmlformats.org/officeDocument/2006/relationships/ctrlProp" Target="../ctrlProps/ctrlProp1848.xml"/><Relationship Id="rId2902" Type="http://schemas.openxmlformats.org/officeDocument/2006/relationships/table" Target="../tables/table212.xml"/><Relationship Id="rId1504" Type="http://schemas.openxmlformats.org/officeDocument/2006/relationships/ctrlProp" Target="../ctrlProps/ctrlProp1501.xml"/><Relationship Id="rId1711" Type="http://schemas.openxmlformats.org/officeDocument/2006/relationships/ctrlProp" Target="../ctrlProps/ctrlProp1708.xml"/><Relationship Id="rId1949" Type="http://schemas.openxmlformats.org/officeDocument/2006/relationships/ctrlProp" Target="../ctrlProps/ctrlProp1946.xml"/><Relationship Id="rId292" Type="http://schemas.openxmlformats.org/officeDocument/2006/relationships/ctrlProp" Target="../ctrlProps/ctrlProp289.xml"/><Relationship Id="rId1809" Type="http://schemas.openxmlformats.org/officeDocument/2006/relationships/ctrlProp" Target="../ctrlProps/ctrlProp1806.xml"/><Relationship Id="rId597" Type="http://schemas.openxmlformats.org/officeDocument/2006/relationships/ctrlProp" Target="../ctrlProps/ctrlProp594.xml"/><Relationship Id="rId2180" Type="http://schemas.openxmlformats.org/officeDocument/2006/relationships/ctrlProp" Target="../ctrlProps/ctrlProp2177.xml"/><Relationship Id="rId2278" Type="http://schemas.openxmlformats.org/officeDocument/2006/relationships/ctrlProp" Target="../ctrlProps/ctrlProp2275.xml"/><Relationship Id="rId2485" Type="http://schemas.openxmlformats.org/officeDocument/2006/relationships/ctrlProp" Target="../ctrlProps/ctrlProp2482.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2040" Type="http://schemas.openxmlformats.org/officeDocument/2006/relationships/ctrlProp" Target="../ctrlProps/ctrlProp2037.xml"/><Relationship Id="rId2138" Type="http://schemas.openxmlformats.org/officeDocument/2006/relationships/ctrlProp" Target="../ctrlProps/ctrlProp2135.xml"/><Relationship Id="rId2692" Type="http://schemas.openxmlformats.org/officeDocument/2006/relationships/table" Target="../tables/table2.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599" Type="http://schemas.openxmlformats.org/officeDocument/2006/relationships/ctrlProp" Target="../ctrlProps/ctrlProp1596.xml"/><Relationship Id="rId2345" Type="http://schemas.openxmlformats.org/officeDocument/2006/relationships/ctrlProp" Target="../ctrlProps/ctrlProp2342.xml"/><Relationship Id="rId2552" Type="http://schemas.openxmlformats.org/officeDocument/2006/relationships/ctrlProp" Target="../ctrlProps/ctrlProp2549.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2205" Type="http://schemas.openxmlformats.org/officeDocument/2006/relationships/ctrlProp" Target="../ctrlProps/ctrlProp2202.xml"/><Relationship Id="rId2412" Type="http://schemas.openxmlformats.org/officeDocument/2006/relationships/ctrlProp" Target="../ctrlProps/ctrlProp2409.xml"/><Relationship Id="rId2857" Type="http://schemas.openxmlformats.org/officeDocument/2006/relationships/table" Target="../tables/table167.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666" Type="http://schemas.openxmlformats.org/officeDocument/2006/relationships/ctrlProp" Target="../ctrlProps/ctrlProp1663.xml"/><Relationship Id="rId1873" Type="http://schemas.openxmlformats.org/officeDocument/2006/relationships/ctrlProp" Target="../ctrlProps/ctrlProp1870.xml"/><Relationship Id="rId2717" Type="http://schemas.openxmlformats.org/officeDocument/2006/relationships/table" Target="../tables/table27.xml"/><Relationship Id="rId1319" Type="http://schemas.openxmlformats.org/officeDocument/2006/relationships/ctrlProp" Target="../ctrlProps/ctrlProp1316.xml"/><Relationship Id="rId1526" Type="http://schemas.openxmlformats.org/officeDocument/2006/relationships/ctrlProp" Target="../ctrlProps/ctrlProp1523.xml"/><Relationship Id="rId1733" Type="http://schemas.openxmlformats.org/officeDocument/2006/relationships/ctrlProp" Target="../ctrlProps/ctrlProp1730.xml"/><Relationship Id="rId1940" Type="http://schemas.openxmlformats.org/officeDocument/2006/relationships/ctrlProp" Target="../ctrlProps/ctrlProp1937.xml"/><Relationship Id="rId25" Type="http://schemas.openxmlformats.org/officeDocument/2006/relationships/ctrlProp" Target="../ctrlProps/ctrlProp22.xml"/><Relationship Id="rId1800" Type="http://schemas.openxmlformats.org/officeDocument/2006/relationships/ctrlProp" Target="../ctrlProps/ctrlProp1797.xml"/><Relationship Id="rId174" Type="http://schemas.openxmlformats.org/officeDocument/2006/relationships/ctrlProp" Target="../ctrlProps/ctrlProp171.xml"/><Relationship Id="rId381" Type="http://schemas.openxmlformats.org/officeDocument/2006/relationships/ctrlProp" Target="../ctrlProps/ctrlProp378.xml"/><Relationship Id="rId2062" Type="http://schemas.openxmlformats.org/officeDocument/2006/relationships/ctrlProp" Target="../ctrlProps/ctrlProp205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2367" Type="http://schemas.openxmlformats.org/officeDocument/2006/relationships/ctrlProp" Target="../ctrlProps/ctrlProp2364.xml"/><Relationship Id="rId2574" Type="http://schemas.openxmlformats.org/officeDocument/2006/relationships/ctrlProp" Target="../ctrlProps/ctrlProp2571.xml"/><Relationship Id="rId2781" Type="http://schemas.openxmlformats.org/officeDocument/2006/relationships/table" Target="../tables/table91.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2227" Type="http://schemas.openxmlformats.org/officeDocument/2006/relationships/ctrlProp" Target="../ctrlProps/ctrlProp2224.xml"/><Relationship Id="rId2434" Type="http://schemas.openxmlformats.org/officeDocument/2006/relationships/ctrlProp" Target="../ctrlProps/ctrlProp2431.xml"/><Relationship Id="rId2879" Type="http://schemas.openxmlformats.org/officeDocument/2006/relationships/table" Target="../tables/table189.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1590" Type="http://schemas.openxmlformats.org/officeDocument/2006/relationships/ctrlProp" Target="../ctrlProps/ctrlProp1587.xml"/><Relationship Id="rId1688" Type="http://schemas.openxmlformats.org/officeDocument/2006/relationships/ctrlProp" Target="../ctrlProps/ctrlProp1685.xml"/><Relationship Id="rId1895" Type="http://schemas.openxmlformats.org/officeDocument/2006/relationships/ctrlProp" Target="../ctrlProps/ctrlProp1892.xml"/><Relationship Id="rId2641" Type="http://schemas.openxmlformats.org/officeDocument/2006/relationships/ctrlProp" Target="../ctrlProps/ctrlProp2638.xml"/><Relationship Id="rId2739" Type="http://schemas.openxmlformats.org/officeDocument/2006/relationships/table" Target="../tables/table49.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548" Type="http://schemas.openxmlformats.org/officeDocument/2006/relationships/ctrlProp" Target="../ctrlProps/ctrlProp1545.xml"/><Relationship Id="rId1755" Type="http://schemas.openxmlformats.org/officeDocument/2006/relationships/ctrlProp" Target="../ctrlProps/ctrlProp1752.xml"/><Relationship Id="rId2501" Type="http://schemas.openxmlformats.org/officeDocument/2006/relationships/ctrlProp" Target="../ctrlProps/ctrlProp2498.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1962" Type="http://schemas.openxmlformats.org/officeDocument/2006/relationships/ctrlProp" Target="../ctrlProps/ctrlProp1959.xml"/><Relationship Id="rId2806" Type="http://schemas.openxmlformats.org/officeDocument/2006/relationships/table" Target="../tables/table116.xml"/><Relationship Id="rId47" Type="http://schemas.openxmlformats.org/officeDocument/2006/relationships/ctrlProp" Target="../ctrlProps/ctrlProp44.xml"/><Relationship Id="rId1615" Type="http://schemas.openxmlformats.org/officeDocument/2006/relationships/ctrlProp" Target="../ctrlProps/ctrlProp1612.xml"/><Relationship Id="rId1822" Type="http://schemas.openxmlformats.org/officeDocument/2006/relationships/ctrlProp" Target="../ctrlProps/ctrlProp1819.xml"/><Relationship Id="rId196" Type="http://schemas.openxmlformats.org/officeDocument/2006/relationships/ctrlProp" Target="../ctrlProps/ctrlProp193.xml"/><Relationship Id="rId2084" Type="http://schemas.openxmlformats.org/officeDocument/2006/relationships/ctrlProp" Target="../ctrlProps/ctrlProp2081.xml"/><Relationship Id="rId2291" Type="http://schemas.openxmlformats.org/officeDocument/2006/relationships/ctrlProp" Target="../ctrlProps/ctrlProp2288.xml"/><Relationship Id="rId263" Type="http://schemas.openxmlformats.org/officeDocument/2006/relationships/ctrlProp" Target="../ctrlProps/ctrlProp260.xml"/><Relationship Id="rId470" Type="http://schemas.openxmlformats.org/officeDocument/2006/relationships/ctrlProp" Target="../ctrlProps/ctrlProp467.xml"/><Relationship Id="rId2151" Type="http://schemas.openxmlformats.org/officeDocument/2006/relationships/ctrlProp" Target="../ctrlProps/ctrlProp2148.xml"/><Relationship Id="rId2389" Type="http://schemas.openxmlformats.org/officeDocument/2006/relationships/ctrlProp" Target="../ctrlProps/ctrlProp2386.xml"/><Relationship Id="rId2596" Type="http://schemas.openxmlformats.org/officeDocument/2006/relationships/ctrlProp" Target="../ctrlProps/ctrlProp2593.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2011" Type="http://schemas.openxmlformats.org/officeDocument/2006/relationships/ctrlProp" Target="../ctrlProps/ctrlProp2008.xml"/><Relationship Id="rId2249" Type="http://schemas.openxmlformats.org/officeDocument/2006/relationships/ctrlProp" Target="../ctrlProps/ctrlProp2246.xml"/><Relationship Id="rId2456" Type="http://schemas.openxmlformats.org/officeDocument/2006/relationships/ctrlProp" Target="../ctrlProps/ctrlProp2453.xml"/><Relationship Id="rId2663" Type="http://schemas.openxmlformats.org/officeDocument/2006/relationships/ctrlProp" Target="../ctrlProps/ctrlProp2660.xml"/><Relationship Id="rId2870" Type="http://schemas.openxmlformats.org/officeDocument/2006/relationships/table" Target="../tables/table180.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2109" Type="http://schemas.openxmlformats.org/officeDocument/2006/relationships/ctrlProp" Target="../ctrlProps/ctrlProp2106.xml"/><Relationship Id="rId2316" Type="http://schemas.openxmlformats.org/officeDocument/2006/relationships/ctrlProp" Target="../ctrlProps/ctrlProp2313.xml"/><Relationship Id="rId2523" Type="http://schemas.openxmlformats.org/officeDocument/2006/relationships/ctrlProp" Target="../ctrlProps/ctrlProp2520.xml"/><Relationship Id="rId2730" Type="http://schemas.openxmlformats.org/officeDocument/2006/relationships/table" Target="../tables/table40.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1777" Type="http://schemas.openxmlformats.org/officeDocument/2006/relationships/ctrlProp" Target="../ctrlProps/ctrlProp1774.xml"/><Relationship Id="rId1984" Type="http://schemas.openxmlformats.org/officeDocument/2006/relationships/ctrlProp" Target="../ctrlProps/ctrlProp1981.xml"/><Relationship Id="rId2828" Type="http://schemas.openxmlformats.org/officeDocument/2006/relationships/table" Target="../tables/table138.xml"/><Relationship Id="rId69" Type="http://schemas.openxmlformats.org/officeDocument/2006/relationships/ctrlProp" Target="../ctrlProps/ctrlProp66.xml"/><Relationship Id="rId1637" Type="http://schemas.openxmlformats.org/officeDocument/2006/relationships/ctrlProp" Target="../ctrlProps/ctrlProp1634.xml"/><Relationship Id="rId1844" Type="http://schemas.openxmlformats.org/officeDocument/2006/relationships/ctrlProp" Target="../ctrlProps/ctrlProp1841.xml"/><Relationship Id="rId1704" Type="http://schemas.openxmlformats.org/officeDocument/2006/relationships/ctrlProp" Target="../ctrlProps/ctrlProp1701.xml"/><Relationship Id="rId285" Type="http://schemas.openxmlformats.org/officeDocument/2006/relationships/ctrlProp" Target="../ctrlProps/ctrlProp282.xml"/><Relationship Id="rId1911" Type="http://schemas.openxmlformats.org/officeDocument/2006/relationships/ctrlProp" Target="../ctrlProps/ctrlProp1908.xml"/><Relationship Id="rId492" Type="http://schemas.openxmlformats.org/officeDocument/2006/relationships/ctrlProp" Target="../ctrlProps/ctrlProp489.xml"/><Relationship Id="rId797" Type="http://schemas.openxmlformats.org/officeDocument/2006/relationships/ctrlProp" Target="../ctrlProps/ctrlProp794.xml"/><Relationship Id="rId2173" Type="http://schemas.openxmlformats.org/officeDocument/2006/relationships/ctrlProp" Target="../ctrlProps/ctrlProp2170.xml"/><Relationship Id="rId2380" Type="http://schemas.openxmlformats.org/officeDocument/2006/relationships/ctrlProp" Target="../ctrlProps/ctrlProp2377.xml"/><Relationship Id="rId2478" Type="http://schemas.openxmlformats.org/officeDocument/2006/relationships/ctrlProp" Target="../ctrlProps/ctrlProp2475.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033" Type="http://schemas.openxmlformats.org/officeDocument/2006/relationships/ctrlProp" Target="../ctrlProps/ctrlProp2030.xml"/><Relationship Id="rId2240" Type="http://schemas.openxmlformats.org/officeDocument/2006/relationships/ctrlProp" Target="../ctrlProps/ctrlProp2237.xml"/><Relationship Id="rId2685" Type="http://schemas.openxmlformats.org/officeDocument/2006/relationships/ctrlProp" Target="../ctrlProps/ctrlProp2682.xml"/><Relationship Id="rId2892" Type="http://schemas.openxmlformats.org/officeDocument/2006/relationships/table" Target="../tables/table202.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1799" Type="http://schemas.openxmlformats.org/officeDocument/2006/relationships/ctrlProp" Target="../ctrlProps/ctrlProp1796.xml"/><Relationship Id="rId2100" Type="http://schemas.openxmlformats.org/officeDocument/2006/relationships/ctrlProp" Target="../ctrlProps/ctrlProp2097.xml"/><Relationship Id="rId2338" Type="http://schemas.openxmlformats.org/officeDocument/2006/relationships/ctrlProp" Target="../ctrlProps/ctrlProp2335.xml"/><Relationship Id="rId2545" Type="http://schemas.openxmlformats.org/officeDocument/2006/relationships/ctrlProp" Target="../ctrlProps/ctrlProp2542.xml"/><Relationship Id="rId2752" Type="http://schemas.openxmlformats.org/officeDocument/2006/relationships/table" Target="../tables/table62.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ctrlProp" Target="../ctrlProps/ctrlProp1558.xml"/><Relationship Id="rId2405" Type="http://schemas.openxmlformats.org/officeDocument/2006/relationships/ctrlProp" Target="../ctrlProps/ctrlProp2402.xml"/><Relationship Id="rId2612" Type="http://schemas.openxmlformats.org/officeDocument/2006/relationships/ctrlProp" Target="../ctrlProps/ctrlProp2609.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659" Type="http://schemas.openxmlformats.org/officeDocument/2006/relationships/ctrlProp" Target="../ctrlProps/ctrlProp1656.xml"/><Relationship Id="rId1866" Type="http://schemas.openxmlformats.org/officeDocument/2006/relationships/ctrlProp" Target="../ctrlProps/ctrlProp1863.xml"/><Relationship Id="rId2917" Type="http://schemas.openxmlformats.org/officeDocument/2006/relationships/table" Target="../tables/table227.xml"/><Relationship Id="rId1519" Type="http://schemas.openxmlformats.org/officeDocument/2006/relationships/ctrlProp" Target="../ctrlProps/ctrlProp1516.xml"/><Relationship Id="rId1726" Type="http://schemas.openxmlformats.org/officeDocument/2006/relationships/ctrlProp" Target="../ctrlProps/ctrlProp1723.xml"/><Relationship Id="rId1933" Type="http://schemas.openxmlformats.org/officeDocument/2006/relationships/ctrlProp" Target="../ctrlProps/ctrlProp1930.xml"/><Relationship Id="rId18" Type="http://schemas.openxmlformats.org/officeDocument/2006/relationships/ctrlProp" Target="../ctrlProps/ctrlProp15.xml"/><Relationship Id="rId2195" Type="http://schemas.openxmlformats.org/officeDocument/2006/relationships/ctrlProp" Target="../ctrlProps/ctrlProp219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055" Type="http://schemas.openxmlformats.org/officeDocument/2006/relationships/ctrlProp" Target="../ctrlProps/ctrlProp2052.xml"/><Relationship Id="rId2262" Type="http://schemas.openxmlformats.org/officeDocument/2006/relationships/ctrlProp" Target="../ctrlProps/ctrlProp2259.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567" Type="http://schemas.openxmlformats.org/officeDocument/2006/relationships/ctrlProp" Target="../ctrlProps/ctrlProp2564.xml"/><Relationship Id="rId2774" Type="http://schemas.openxmlformats.org/officeDocument/2006/relationships/table" Target="../tables/table84.xml"/><Relationship Id="rId2" Type="http://schemas.openxmlformats.org/officeDocument/2006/relationships/drawing" Target="../drawings/drawing1.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1583" Type="http://schemas.openxmlformats.org/officeDocument/2006/relationships/ctrlProp" Target="../ctrlProps/ctrlProp1580.xml"/><Relationship Id="rId2122" Type="http://schemas.openxmlformats.org/officeDocument/2006/relationships/ctrlProp" Target="../ctrlProps/ctrlProp2119.xml"/><Relationship Id="rId2427" Type="http://schemas.openxmlformats.org/officeDocument/2006/relationships/ctrlProp" Target="../ctrlProps/ctrlProp2424.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1790" Type="http://schemas.openxmlformats.org/officeDocument/2006/relationships/ctrlProp" Target="../ctrlProps/ctrlProp1787.xml"/><Relationship Id="rId1888" Type="http://schemas.openxmlformats.org/officeDocument/2006/relationships/ctrlProp" Target="../ctrlProps/ctrlProp1885.xml"/><Relationship Id="rId2634" Type="http://schemas.openxmlformats.org/officeDocument/2006/relationships/ctrlProp" Target="../ctrlProps/ctrlProp2631.xml"/><Relationship Id="rId2841" Type="http://schemas.openxmlformats.org/officeDocument/2006/relationships/table" Target="../tables/table151.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650" Type="http://schemas.openxmlformats.org/officeDocument/2006/relationships/ctrlProp" Target="../ctrlProps/ctrlProp1647.xml"/><Relationship Id="rId1748" Type="http://schemas.openxmlformats.org/officeDocument/2006/relationships/ctrlProp" Target="../ctrlProps/ctrlProp1745.xml"/><Relationship Id="rId2701" Type="http://schemas.openxmlformats.org/officeDocument/2006/relationships/table" Target="../tables/table11.xml"/><Relationship Id="rId1303" Type="http://schemas.openxmlformats.org/officeDocument/2006/relationships/ctrlProp" Target="../ctrlProps/ctrlProp1300.xml"/><Relationship Id="rId1510" Type="http://schemas.openxmlformats.org/officeDocument/2006/relationships/ctrlProp" Target="../ctrlProps/ctrlProp1507.xml"/><Relationship Id="rId1955" Type="http://schemas.openxmlformats.org/officeDocument/2006/relationships/ctrlProp" Target="../ctrlProps/ctrlProp1952.xml"/><Relationship Id="rId1608" Type="http://schemas.openxmlformats.org/officeDocument/2006/relationships/ctrlProp" Target="../ctrlProps/ctrlProp1605.xml"/><Relationship Id="rId1815" Type="http://schemas.openxmlformats.org/officeDocument/2006/relationships/ctrlProp" Target="../ctrlProps/ctrlProp1812.xml"/><Relationship Id="rId189" Type="http://schemas.openxmlformats.org/officeDocument/2006/relationships/ctrlProp" Target="../ctrlProps/ctrlProp186.xml"/><Relationship Id="rId396" Type="http://schemas.openxmlformats.org/officeDocument/2006/relationships/ctrlProp" Target="../ctrlProps/ctrlProp393.xml"/><Relationship Id="rId2077" Type="http://schemas.openxmlformats.org/officeDocument/2006/relationships/ctrlProp" Target="../ctrlProps/ctrlProp2074.xml"/><Relationship Id="rId2284" Type="http://schemas.openxmlformats.org/officeDocument/2006/relationships/ctrlProp" Target="../ctrlProps/ctrlProp2281.xml"/><Relationship Id="rId2491" Type="http://schemas.openxmlformats.org/officeDocument/2006/relationships/ctrlProp" Target="../ctrlProps/ctrlProp2488.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2144" Type="http://schemas.openxmlformats.org/officeDocument/2006/relationships/ctrlProp" Target="../ctrlProps/ctrlProp2141.xml"/><Relationship Id="rId2351" Type="http://schemas.openxmlformats.org/officeDocument/2006/relationships/ctrlProp" Target="../ctrlProps/ctrlProp2348.xml"/><Relationship Id="rId2589" Type="http://schemas.openxmlformats.org/officeDocument/2006/relationships/ctrlProp" Target="../ctrlProps/ctrlProp2586.xml"/><Relationship Id="rId2796" Type="http://schemas.openxmlformats.org/officeDocument/2006/relationships/table" Target="../tables/table106.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2004" Type="http://schemas.openxmlformats.org/officeDocument/2006/relationships/ctrlProp" Target="../ctrlProps/ctrlProp2001.xml"/><Relationship Id="rId2211" Type="http://schemas.openxmlformats.org/officeDocument/2006/relationships/ctrlProp" Target="../ctrlProps/ctrlProp2208.xml"/><Relationship Id="rId2449" Type="http://schemas.openxmlformats.org/officeDocument/2006/relationships/ctrlProp" Target="../ctrlProps/ctrlProp2446.xml"/><Relationship Id="rId2656" Type="http://schemas.openxmlformats.org/officeDocument/2006/relationships/ctrlProp" Target="../ctrlProps/ctrlProp2653.xml"/><Relationship Id="rId2863" Type="http://schemas.openxmlformats.org/officeDocument/2006/relationships/table" Target="../tables/table173.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672" Type="http://schemas.openxmlformats.org/officeDocument/2006/relationships/ctrlProp" Target="../ctrlProps/ctrlProp1669.xml"/><Relationship Id="rId2309" Type="http://schemas.openxmlformats.org/officeDocument/2006/relationships/ctrlProp" Target="../ctrlProps/ctrlProp2306.xml"/><Relationship Id="rId2516" Type="http://schemas.openxmlformats.org/officeDocument/2006/relationships/ctrlProp" Target="../ctrlProps/ctrlProp2513.xml"/><Relationship Id="rId2723" Type="http://schemas.openxmlformats.org/officeDocument/2006/relationships/table" Target="../tables/table33.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ctrlProp" Target="../ctrlProps/ctrlProp1529.xml"/><Relationship Id="rId1977" Type="http://schemas.openxmlformats.org/officeDocument/2006/relationships/ctrlProp" Target="../ctrlProps/ctrlProp1974.xml"/><Relationship Id="rId902" Type="http://schemas.openxmlformats.org/officeDocument/2006/relationships/ctrlProp" Target="../ctrlProps/ctrlProp899.xml"/><Relationship Id="rId1837" Type="http://schemas.openxmlformats.org/officeDocument/2006/relationships/ctrlProp" Target="../ctrlProps/ctrlProp1834.xml"/><Relationship Id="rId31" Type="http://schemas.openxmlformats.org/officeDocument/2006/relationships/ctrlProp" Target="../ctrlProps/ctrlProp28.xml"/><Relationship Id="rId2099" Type="http://schemas.openxmlformats.org/officeDocument/2006/relationships/ctrlProp" Target="../ctrlProps/ctrlProp2096.xml"/><Relationship Id="rId180" Type="http://schemas.openxmlformats.org/officeDocument/2006/relationships/ctrlProp" Target="../ctrlProps/ctrlProp177.xml"/><Relationship Id="rId278" Type="http://schemas.openxmlformats.org/officeDocument/2006/relationships/ctrlProp" Target="../ctrlProps/ctrlProp275.xml"/><Relationship Id="rId1904" Type="http://schemas.openxmlformats.org/officeDocument/2006/relationships/ctrlProp" Target="../ctrlProps/ctrlProp1901.xml"/><Relationship Id="rId485" Type="http://schemas.openxmlformats.org/officeDocument/2006/relationships/ctrlProp" Target="../ctrlProps/ctrlProp482.xml"/><Relationship Id="rId692" Type="http://schemas.openxmlformats.org/officeDocument/2006/relationships/ctrlProp" Target="../ctrlProps/ctrlProp689.xml"/><Relationship Id="rId2166" Type="http://schemas.openxmlformats.org/officeDocument/2006/relationships/ctrlProp" Target="../ctrlProps/ctrlProp2163.xml"/><Relationship Id="rId2373" Type="http://schemas.openxmlformats.org/officeDocument/2006/relationships/ctrlProp" Target="../ctrlProps/ctrlProp2370.xml"/><Relationship Id="rId2580" Type="http://schemas.openxmlformats.org/officeDocument/2006/relationships/ctrlProp" Target="../ctrlProps/ctrlProp2577.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26" Type="http://schemas.openxmlformats.org/officeDocument/2006/relationships/ctrlProp" Target="../ctrlProps/ctrlProp2023.xml"/><Relationship Id="rId2233" Type="http://schemas.openxmlformats.org/officeDocument/2006/relationships/ctrlProp" Target="../ctrlProps/ctrlProp2230.xml"/><Relationship Id="rId2440" Type="http://schemas.openxmlformats.org/officeDocument/2006/relationships/ctrlProp" Target="../ctrlProps/ctrlProp2437.xml"/><Relationship Id="rId2678" Type="http://schemas.openxmlformats.org/officeDocument/2006/relationships/ctrlProp" Target="../ctrlProps/ctrlProp2675.xml"/><Relationship Id="rId2885" Type="http://schemas.openxmlformats.org/officeDocument/2006/relationships/table" Target="../tables/table195.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ctrlProp" Target="../ctrlProps/ctrlProp1484.xml"/><Relationship Id="rId1694" Type="http://schemas.openxmlformats.org/officeDocument/2006/relationships/ctrlProp" Target="../ctrlProps/ctrlProp1691.xml"/><Relationship Id="rId2300" Type="http://schemas.openxmlformats.org/officeDocument/2006/relationships/ctrlProp" Target="../ctrlProps/ctrlProp2297.xml"/><Relationship Id="rId2538" Type="http://schemas.openxmlformats.org/officeDocument/2006/relationships/ctrlProp" Target="../ctrlProps/ctrlProp2535.xml"/><Relationship Id="rId2745" Type="http://schemas.openxmlformats.org/officeDocument/2006/relationships/table" Target="../tables/table55.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ctrlProp" Target="../ctrlProps/ctrlProp1551.xml"/><Relationship Id="rId1761" Type="http://schemas.openxmlformats.org/officeDocument/2006/relationships/ctrlProp" Target="../ctrlProps/ctrlProp1758.xml"/><Relationship Id="rId1999" Type="http://schemas.openxmlformats.org/officeDocument/2006/relationships/ctrlProp" Target="../ctrlProps/ctrlProp1996.xml"/><Relationship Id="rId2605" Type="http://schemas.openxmlformats.org/officeDocument/2006/relationships/ctrlProp" Target="../ctrlProps/ctrlProp2602.xml"/><Relationship Id="rId2812" Type="http://schemas.openxmlformats.org/officeDocument/2006/relationships/table" Target="../tables/table122.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1621" Type="http://schemas.openxmlformats.org/officeDocument/2006/relationships/ctrlProp" Target="../ctrlProps/ctrlProp1618.xml"/><Relationship Id="rId1859" Type="http://schemas.openxmlformats.org/officeDocument/2006/relationships/ctrlProp" Target="../ctrlProps/ctrlProp1856.xml"/><Relationship Id="rId1719" Type="http://schemas.openxmlformats.org/officeDocument/2006/relationships/ctrlProp" Target="../ctrlProps/ctrlProp1716.xml"/><Relationship Id="rId1926" Type="http://schemas.openxmlformats.org/officeDocument/2006/relationships/ctrlProp" Target="../ctrlProps/ctrlProp1923.xml"/><Relationship Id="rId2090" Type="http://schemas.openxmlformats.org/officeDocument/2006/relationships/ctrlProp" Target="../ctrlProps/ctrlProp2087.xml"/><Relationship Id="rId2188" Type="http://schemas.openxmlformats.org/officeDocument/2006/relationships/ctrlProp" Target="../ctrlProps/ctrlProp2185.xml"/><Relationship Id="rId2395" Type="http://schemas.openxmlformats.org/officeDocument/2006/relationships/ctrlProp" Target="../ctrlProps/ctrlProp2392.xml"/><Relationship Id="rId367" Type="http://schemas.openxmlformats.org/officeDocument/2006/relationships/ctrlProp" Target="../ctrlProps/ctrlProp364.xml"/><Relationship Id="rId574" Type="http://schemas.openxmlformats.org/officeDocument/2006/relationships/ctrlProp" Target="../ctrlProps/ctrlProp571.xml"/><Relationship Id="rId2048" Type="http://schemas.openxmlformats.org/officeDocument/2006/relationships/ctrlProp" Target="../ctrlProps/ctrlProp2045.xml"/><Relationship Id="rId2255" Type="http://schemas.openxmlformats.org/officeDocument/2006/relationships/ctrlProp" Target="../ctrlProps/ctrlProp2252.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2462" Type="http://schemas.openxmlformats.org/officeDocument/2006/relationships/ctrlProp" Target="../ctrlProps/ctrlProp2459.xml"/><Relationship Id="rId2767" Type="http://schemas.openxmlformats.org/officeDocument/2006/relationships/table" Target="../tables/table77.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1576" Type="http://schemas.openxmlformats.org/officeDocument/2006/relationships/ctrlProp" Target="../ctrlProps/ctrlProp1573.xml"/><Relationship Id="rId2115" Type="http://schemas.openxmlformats.org/officeDocument/2006/relationships/ctrlProp" Target="../ctrlProps/ctrlProp2112.xml"/><Relationship Id="rId2322" Type="http://schemas.openxmlformats.org/officeDocument/2006/relationships/ctrlProp" Target="../ctrlProps/ctrlProp2319.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1783" Type="http://schemas.openxmlformats.org/officeDocument/2006/relationships/ctrlProp" Target="../ctrlProps/ctrlProp1780.xml"/><Relationship Id="rId1990" Type="http://schemas.openxmlformats.org/officeDocument/2006/relationships/ctrlProp" Target="../ctrlProps/ctrlProp1987.xml"/><Relationship Id="rId2627" Type="http://schemas.openxmlformats.org/officeDocument/2006/relationships/ctrlProp" Target="../ctrlProps/ctrlProp2624.xml"/><Relationship Id="rId2834" Type="http://schemas.openxmlformats.org/officeDocument/2006/relationships/table" Target="../tables/table144.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1643" Type="http://schemas.openxmlformats.org/officeDocument/2006/relationships/ctrlProp" Target="../ctrlProps/ctrlProp1640.xml"/><Relationship Id="rId1850" Type="http://schemas.openxmlformats.org/officeDocument/2006/relationships/ctrlProp" Target="../ctrlProps/ctrlProp1847.xml"/><Relationship Id="rId2901" Type="http://schemas.openxmlformats.org/officeDocument/2006/relationships/table" Target="../tables/table211.xml"/><Relationship Id="rId1503" Type="http://schemas.openxmlformats.org/officeDocument/2006/relationships/ctrlProp" Target="../ctrlProps/ctrlProp1500.xml"/><Relationship Id="rId1710" Type="http://schemas.openxmlformats.org/officeDocument/2006/relationships/ctrlProp" Target="../ctrlProps/ctrlProp1707.xml"/><Relationship Id="rId1948" Type="http://schemas.openxmlformats.org/officeDocument/2006/relationships/ctrlProp" Target="../ctrlProps/ctrlProp1945.xml"/><Relationship Id="rId291" Type="http://schemas.openxmlformats.org/officeDocument/2006/relationships/ctrlProp" Target="../ctrlProps/ctrlProp288.xml"/><Relationship Id="rId1808" Type="http://schemas.openxmlformats.org/officeDocument/2006/relationships/ctrlProp" Target="../ctrlProps/ctrlProp1805.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277" Type="http://schemas.openxmlformats.org/officeDocument/2006/relationships/ctrlProp" Target="../ctrlProps/ctrlProp2274.xml"/><Relationship Id="rId2484" Type="http://schemas.openxmlformats.org/officeDocument/2006/relationships/ctrlProp" Target="../ctrlProps/ctrlProp2481.xml"/><Relationship Id="rId2691" Type="http://schemas.openxmlformats.org/officeDocument/2006/relationships/table" Target="../tables/table1.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2137" Type="http://schemas.openxmlformats.org/officeDocument/2006/relationships/ctrlProp" Target="../ctrlProps/ctrlProp2134.xml"/><Relationship Id="rId2344" Type="http://schemas.openxmlformats.org/officeDocument/2006/relationships/ctrlProp" Target="../ctrlProps/ctrlProp2341.xml"/><Relationship Id="rId2551" Type="http://schemas.openxmlformats.org/officeDocument/2006/relationships/ctrlProp" Target="../ctrlProps/ctrlProp2548.xml"/><Relationship Id="rId2789" Type="http://schemas.openxmlformats.org/officeDocument/2006/relationships/table" Target="../tables/table99.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1598" Type="http://schemas.openxmlformats.org/officeDocument/2006/relationships/ctrlProp" Target="../ctrlProps/ctrlProp1595.xml"/><Relationship Id="rId2204" Type="http://schemas.openxmlformats.org/officeDocument/2006/relationships/ctrlProp" Target="../ctrlProps/ctrlProp2201.xml"/><Relationship Id="rId2649" Type="http://schemas.openxmlformats.org/officeDocument/2006/relationships/ctrlProp" Target="../ctrlProps/ctrlProp2646.xml"/><Relationship Id="rId2856" Type="http://schemas.openxmlformats.org/officeDocument/2006/relationships/table" Target="../tables/table166.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665" Type="http://schemas.openxmlformats.org/officeDocument/2006/relationships/ctrlProp" Target="../ctrlProps/ctrlProp1662.xml"/><Relationship Id="rId1872" Type="http://schemas.openxmlformats.org/officeDocument/2006/relationships/ctrlProp" Target="../ctrlProps/ctrlProp1869.xml"/><Relationship Id="rId2411" Type="http://schemas.openxmlformats.org/officeDocument/2006/relationships/ctrlProp" Target="../ctrlProps/ctrlProp2408.xml"/><Relationship Id="rId2509" Type="http://schemas.openxmlformats.org/officeDocument/2006/relationships/ctrlProp" Target="../ctrlProps/ctrlProp2506.xml"/><Relationship Id="rId2716" Type="http://schemas.openxmlformats.org/officeDocument/2006/relationships/table" Target="../tables/table26.xml"/><Relationship Id="rId1220" Type="http://schemas.openxmlformats.org/officeDocument/2006/relationships/ctrlProp" Target="../ctrlProps/ctrlProp1217.xml"/><Relationship Id="rId1318" Type="http://schemas.openxmlformats.org/officeDocument/2006/relationships/ctrlProp" Target="../ctrlProps/ctrlProp1315.xml"/><Relationship Id="rId1525" Type="http://schemas.openxmlformats.org/officeDocument/2006/relationships/ctrlProp" Target="../ctrlProps/ctrlProp1522.xml"/><Relationship Id="rId1732" Type="http://schemas.openxmlformats.org/officeDocument/2006/relationships/ctrlProp" Target="../ctrlProps/ctrlProp1729.xml"/><Relationship Id="rId24" Type="http://schemas.openxmlformats.org/officeDocument/2006/relationships/ctrlProp" Target="../ctrlProps/ctrlProp21.xml"/><Relationship Id="rId2299" Type="http://schemas.openxmlformats.org/officeDocument/2006/relationships/ctrlProp" Target="../ctrlProps/ctrlProp2296.xml"/><Relationship Id="rId173" Type="http://schemas.openxmlformats.org/officeDocument/2006/relationships/ctrlProp" Target="../ctrlProps/ctrlProp170.xml"/><Relationship Id="rId380" Type="http://schemas.openxmlformats.org/officeDocument/2006/relationships/ctrlProp" Target="../ctrlProps/ctrlProp377.xml"/><Relationship Id="rId2061" Type="http://schemas.openxmlformats.org/officeDocument/2006/relationships/ctrlProp" Target="../ctrlProps/ctrlProp205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2159" Type="http://schemas.openxmlformats.org/officeDocument/2006/relationships/ctrlProp" Target="../ctrlProps/ctrlProp2156.xml"/><Relationship Id="rId2366" Type="http://schemas.openxmlformats.org/officeDocument/2006/relationships/ctrlProp" Target="../ctrlProps/ctrlProp2363.xml"/><Relationship Id="rId2573" Type="http://schemas.openxmlformats.org/officeDocument/2006/relationships/ctrlProp" Target="../ctrlProps/ctrlProp2570.xml"/><Relationship Id="rId2780" Type="http://schemas.openxmlformats.org/officeDocument/2006/relationships/table" Target="../tables/table90.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2019" Type="http://schemas.openxmlformats.org/officeDocument/2006/relationships/ctrlProp" Target="../ctrlProps/ctrlProp2016.xml"/><Relationship Id="rId2226" Type="http://schemas.openxmlformats.org/officeDocument/2006/relationships/ctrlProp" Target="../ctrlProps/ctrlProp2223.xml"/><Relationship Id="rId2433" Type="http://schemas.openxmlformats.org/officeDocument/2006/relationships/ctrlProp" Target="../ctrlProps/ctrlProp2430.xml"/><Relationship Id="rId2640" Type="http://schemas.openxmlformats.org/officeDocument/2006/relationships/ctrlProp" Target="../ctrlProps/ctrlProp2637.xml"/><Relationship Id="rId2878" Type="http://schemas.openxmlformats.org/officeDocument/2006/relationships/table" Target="../tables/table1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1687" Type="http://schemas.openxmlformats.org/officeDocument/2006/relationships/ctrlProp" Target="../ctrlProps/ctrlProp1684.xml"/><Relationship Id="rId1894" Type="http://schemas.openxmlformats.org/officeDocument/2006/relationships/ctrlProp" Target="../ctrlProps/ctrlProp1891.xml"/><Relationship Id="rId2500" Type="http://schemas.openxmlformats.org/officeDocument/2006/relationships/ctrlProp" Target="../ctrlProps/ctrlProp2497.xml"/><Relationship Id="rId2738" Type="http://schemas.openxmlformats.org/officeDocument/2006/relationships/table" Target="../tables/table48.xml"/><Relationship Id="rId917" Type="http://schemas.openxmlformats.org/officeDocument/2006/relationships/ctrlProp" Target="../ctrlProps/ctrlProp914.xml"/><Relationship Id="rId1102" Type="http://schemas.openxmlformats.org/officeDocument/2006/relationships/ctrlProp" Target="../ctrlProps/ctrlProp1099.xml"/><Relationship Id="rId1547" Type="http://schemas.openxmlformats.org/officeDocument/2006/relationships/ctrlProp" Target="../ctrlProps/ctrlProp1544.xml"/><Relationship Id="rId1754" Type="http://schemas.openxmlformats.org/officeDocument/2006/relationships/ctrlProp" Target="../ctrlProps/ctrlProp1751.xml"/><Relationship Id="rId1961" Type="http://schemas.openxmlformats.org/officeDocument/2006/relationships/ctrlProp" Target="../ctrlProps/ctrlProp1958.xml"/><Relationship Id="rId2805" Type="http://schemas.openxmlformats.org/officeDocument/2006/relationships/table" Target="../tables/table115.xml"/><Relationship Id="rId46" Type="http://schemas.openxmlformats.org/officeDocument/2006/relationships/ctrlProp" Target="../ctrlProps/ctrlProp43.xml"/><Relationship Id="rId1407" Type="http://schemas.openxmlformats.org/officeDocument/2006/relationships/ctrlProp" Target="../ctrlProps/ctrlProp1404.xml"/><Relationship Id="rId1614" Type="http://schemas.openxmlformats.org/officeDocument/2006/relationships/ctrlProp" Target="../ctrlProps/ctrlProp1611.xml"/><Relationship Id="rId1821" Type="http://schemas.openxmlformats.org/officeDocument/2006/relationships/ctrlProp" Target="../ctrlProps/ctrlProp1818.xml"/><Relationship Id="rId195" Type="http://schemas.openxmlformats.org/officeDocument/2006/relationships/ctrlProp" Target="../ctrlProps/ctrlProp192.xml"/><Relationship Id="rId1919" Type="http://schemas.openxmlformats.org/officeDocument/2006/relationships/ctrlProp" Target="../ctrlProps/ctrlProp1916.xml"/><Relationship Id="rId2083" Type="http://schemas.openxmlformats.org/officeDocument/2006/relationships/ctrlProp" Target="../ctrlProps/ctrlProp2080.xml"/><Relationship Id="rId2290" Type="http://schemas.openxmlformats.org/officeDocument/2006/relationships/ctrlProp" Target="../ctrlProps/ctrlProp2287.xml"/><Relationship Id="rId2388" Type="http://schemas.openxmlformats.org/officeDocument/2006/relationships/ctrlProp" Target="../ctrlProps/ctrlProp2385.xml"/><Relationship Id="rId2595" Type="http://schemas.openxmlformats.org/officeDocument/2006/relationships/ctrlProp" Target="../ctrlProps/ctrlProp2592.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2150" Type="http://schemas.openxmlformats.org/officeDocument/2006/relationships/ctrlProp" Target="../ctrlProps/ctrlProp2147.xml"/><Relationship Id="rId2248" Type="http://schemas.openxmlformats.org/officeDocument/2006/relationships/ctrlProp" Target="../ctrlProps/ctrlProp2245.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2010" Type="http://schemas.openxmlformats.org/officeDocument/2006/relationships/ctrlProp" Target="../ctrlProps/ctrlProp2007.xml"/><Relationship Id="rId2455" Type="http://schemas.openxmlformats.org/officeDocument/2006/relationships/ctrlProp" Target="../ctrlProps/ctrlProp2452.xml"/><Relationship Id="rId2662" Type="http://schemas.openxmlformats.org/officeDocument/2006/relationships/ctrlProp" Target="../ctrlProps/ctrlProp2659.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1569" Type="http://schemas.openxmlformats.org/officeDocument/2006/relationships/ctrlProp" Target="../ctrlProps/ctrlProp1566.xml"/><Relationship Id="rId2108" Type="http://schemas.openxmlformats.org/officeDocument/2006/relationships/ctrlProp" Target="../ctrlProps/ctrlProp2105.xml"/><Relationship Id="rId2315" Type="http://schemas.openxmlformats.org/officeDocument/2006/relationships/ctrlProp" Target="../ctrlProps/ctrlProp2312.xml"/><Relationship Id="rId2522" Type="http://schemas.openxmlformats.org/officeDocument/2006/relationships/ctrlProp" Target="../ctrlProps/ctrlProp2519.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1776" Type="http://schemas.openxmlformats.org/officeDocument/2006/relationships/ctrlProp" Target="../ctrlProps/ctrlProp1773.xml"/><Relationship Id="rId1983" Type="http://schemas.openxmlformats.org/officeDocument/2006/relationships/ctrlProp" Target="../ctrlProps/ctrlProp1980.xml"/><Relationship Id="rId2827" Type="http://schemas.openxmlformats.org/officeDocument/2006/relationships/table" Target="../tables/table137.xml"/><Relationship Id="rId68" Type="http://schemas.openxmlformats.org/officeDocument/2006/relationships/ctrlProp" Target="../ctrlProps/ctrlProp65.xml"/><Relationship Id="rId1429" Type="http://schemas.openxmlformats.org/officeDocument/2006/relationships/ctrlProp" Target="../ctrlProps/ctrlProp1426.xml"/><Relationship Id="rId1636" Type="http://schemas.openxmlformats.org/officeDocument/2006/relationships/ctrlProp" Target="../ctrlProps/ctrlProp1633.xml"/><Relationship Id="rId1843" Type="http://schemas.openxmlformats.org/officeDocument/2006/relationships/ctrlProp" Target="../ctrlProps/ctrlProp1840.xml"/><Relationship Id="rId1703" Type="http://schemas.openxmlformats.org/officeDocument/2006/relationships/ctrlProp" Target="../ctrlProps/ctrlProp1700.xml"/><Relationship Id="rId1910" Type="http://schemas.openxmlformats.org/officeDocument/2006/relationships/ctrlProp" Target="../ctrlProps/ctrlProp1907.xml"/><Relationship Id="rId284" Type="http://schemas.openxmlformats.org/officeDocument/2006/relationships/ctrlProp" Target="../ctrlProps/ctrlProp281.xml"/><Relationship Id="rId491" Type="http://schemas.openxmlformats.org/officeDocument/2006/relationships/ctrlProp" Target="../ctrlProps/ctrlProp488.xml"/><Relationship Id="rId2172" Type="http://schemas.openxmlformats.org/officeDocument/2006/relationships/ctrlProp" Target="../ctrlProps/ctrlProp2169.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2477" Type="http://schemas.openxmlformats.org/officeDocument/2006/relationships/ctrlProp" Target="../ctrlProps/ctrlProp2474.xml"/><Relationship Id="rId2684" Type="http://schemas.openxmlformats.org/officeDocument/2006/relationships/ctrlProp" Target="../ctrlProps/ctrlProp2681.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2032" Type="http://schemas.openxmlformats.org/officeDocument/2006/relationships/ctrlProp" Target="../ctrlProps/ctrlProp2029.xml"/><Relationship Id="rId2337" Type="http://schemas.openxmlformats.org/officeDocument/2006/relationships/ctrlProp" Target="../ctrlProps/ctrlProp2334.xml"/><Relationship Id="rId2544" Type="http://schemas.openxmlformats.org/officeDocument/2006/relationships/ctrlProp" Target="../ctrlProps/ctrlProp2541.xml"/><Relationship Id="rId2891" Type="http://schemas.openxmlformats.org/officeDocument/2006/relationships/table" Target="../tables/table201.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1798" Type="http://schemas.openxmlformats.org/officeDocument/2006/relationships/ctrlProp" Target="../ctrlProps/ctrlProp1795.xml"/><Relationship Id="rId2751" Type="http://schemas.openxmlformats.org/officeDocument/2006/relationships/table" Target="../tables/table61.xml"/><Relationship Id="rId2849" Type="http://schemas.openxmlformats.org/officeDocument/2006/relationships/table" Target="../tables/table159.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ctrlProp" Target="../ctrlProps/ctrlProp1557.xml"/><Relationship Id="rId1658" Type="http://schemas.openxmlformats.org/officeDocument/2006/relationships/ctrlProp" Target="../ctrlProps/ctrlProp1655.xml"/><Relationship Id="rId1865" Type="http://schemas.openxmlformats.org/officeDocument/2006/relationships/ctrlProp" Target="../ctrlProps/ctrlProp1862.xml"/><Relationship Id="rId2404" Type="http://schemas.openxmlformats.org/officeDocument/2006/relationships/ctrlProp" Target="../ctrlProps/ctrlProp2401.xml"/><Relationship Id="rId2611" Type="http://schemas.openxmlformats.org/officeDocument/2006/relationships/ctrlProp" Target="../ctrlProps/ctrlProp2608.xml"/><Relationship Id="rId2709" Type="http://schemas.openxmlformats.org/officeDocument/2006/relationships/table" Target="../tables/table19.xml"/><Relationship Id="rId1213" Type="http://schemas.openxmlformats.org/officeDocument/2006/relationships/ctrlProp" Target="../ctrlProps/ctrlProp1210.xml"/><Relationship Id="rId1420" Type="http://schemas.openxmlformats.org/officeDocument/2006/relationships/ctrlProp" Target="../ctrlProps/ctrlProp1417.xml"/><Relationship Id="rId1518" Type="http://schemas.openxmlformats.org/officeDocument/2006/relationships/ctrlProp" Target="../ctrlProps/ctrlProp1515.xml"/><Relationship Id="rId2916" Type="http://schemas.openxmlformats.org/officeDocument/2006/relationships/table" Target="../tables/table226.xml"/><Relationship Id="rId1725" Type="http://schemas.openxmlformats.org/officeDocument/2006/relationships/ctrlProp" Target="../ctrlProps/ctrlProp1722.xml"/><Relationship Id="rId1932" Type="http://schemas.openxmlformats.org/officeDocument/2006/relationships/ctrlProp" Target="../ctrlProps/ctrlProp1929.xml"/><Relationship Id="rId17" Type="http://schemas.openxmlformats.org/officeDocument/2006/relationships/ctrlProp" Target="../ctrlProps/ctrlProp14.xml"/><Relationship Id="rId2194" Type="http://schemas.openxmlformats.org/officeDocument/2006/relationships/ctrlProp" Target="../ctrlProps/ctrlProp2191.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2054" Type="http://schemas.openxmlformats.org/officeDocument/2006/relationships/ctrlProp" Target="../ctrlProps/ctrlProp2051.xml"/><Relationship Id="rId2261" Type="http://schemas.openxmlformats.org/officeDocument/2006/relationships/ctrlProp" Target="../ctrlProps/ctrlProp2258.xml"/><Relationship Id="rId2499" Type="http://schemas.openxmlformats.org/officeDocument/2006/relationships/ctrlProp" Target="../ctrlProps/ctrlProp249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121" Type="http://schemas.openxmlformats.org/officeDocument/2006/relationships/ctrlProp" Target="../ctrlProps/ctrlProp2118.xml"/><Relationship Id="rId2359" Type="http://schemas.openxmlformats.org/officeDocument/2006/relationships/ctrlProp" Target="../ctrlProps/ctrlProp2356.xml"/><Relationship Id="rId2566" Type="http://schemas.openxmlformats.org/officeDocument/2006/relationships/ctrlProp" Target="../ctrlProps/ctrlProp2563.xml"/><Relationship Id="rId2773" Type="http://schemas.openxmlformats.org/officeDocument/2006/relationships/table" Target="../tables/table83.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1582" Type="http://schemas.openxmlformats.org/officeDocument/2006/relationships/ctrlProp" Target="../ctrlProps/ctrlProp1579.xml"/><Relationship Id="rId2219" Type="http://schemas.openxmlformats.org/officeDocument/2006/relationships/ctrlProp" Target="../ctrlProps/ctrlProp2216.xml"/><Relationship Id="rId2426" Type="http://schemas.openxmlformats.org/officeDocument/2006/relationships/ctrlProp" Target="../ctrlProps/ctrlProp2423.xml"/><Relationship Id="rId2633" Type="http://schemas.openxmlformats.org/officeDocument/2006/relationships/ctrlProp" Target="../ctrlProps/ctrlProp2630.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1887" Type="http://schemas.openxmlformats.org/officeDocument/2006/relationships/ctrlProp" Target="../ctrlProps/ctrlProp1884.xml"/><Relationship Id="rId2840" Type="http://schemas.openxmlformats.org/officeDocument/2006/relationships/table" Target="../tables/table150.xml"/><Relationship Id="rId1302" Type="http://schemas.openxmlformats.org/officeDocument/2006/relationships/ctrlProp" Target="../ctrlProps/ctrlProp1299.xml"/><Relationship Id="rId1747" Type="http://schemas.openxmlformats.org/officeDocument/2006/relationships/ctrlProp" Target="../ctrlProps/ctrlProp1744.xml"/><Relationship Id="rId1954" Type="http://schemas.openxmlformats.org/officeDocument/2006/relationships/ctrlProp" Target="../ctrlProps/ctrlProp1951.xml"/><Relationship Id="rId2700" Type="http://schemas.openxmlformats.org/officeDocument/2006/relationships/table" Target="../tables/table10.xml"/><Relationship Id="rId39" Type="http://schemas.openxmlformats.org/officeDocument/2006/relationships/ctrlProp" Target="../ctrlProps/ctrlProp36.xml"/><Relationship Id="rId1607" Type="http://schemas.openxmlformats.org/officeDocument/2006/relationships/ctrlProp" Target="../ctrlProps/ctrlProp1604.xml"/><Relationship Id="rId1814" Type="http://schemas.openxmlformats.org/officeDocument/2006/relationships/ctrlProp" Target="../ctrlProps/ctrlProp1811.xml"/><Relationship Id="rId188" Type="http://schemas.openxmlformats.org/officeDocument/2006/relationships/ctrlProp" Target="../ctrlProps/ctrlProp185.xml"/><Relationship Id="rId395" Type="http://schemas.openxmlformats.org/officeDocument/2006/relationships/ctrlProp" Target="../ctrlProps/ctrlProp392.xml"/><Relationship Id="rId2076" Type="http://schemas.openxmlformats.org/officeDocument/2006/relationships/ctrlProp" Target="../ctrlProps/ctrlProp2073.xml"/><Relationship Id="rId2283" Type="http://schemas.openxmlformats.org/officeDocument/2006/relationships/ctrlProp" Target="../ctrlProps/ctrlProp2280.xml"/><Relationship Id="rId2490" Type="http://schemas.openxmlformats.org/officeDocument/2006/relationships/ctrlProp" Target="../ctrlProps/ctrlProp2487.xml"/><Relationship Id="rId2588" Type="http://schemas.openxmlformats.org/officeDocument/2006/relationships/ctrlProp" Target="../ctrlProps/ctrlProp2585.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397" Type="http://schemas.openxmlformats.org/officeDocument/2006/relationships/ctrlProp" Target="../ctrlProps/ctrlProp1394.xml"/><Relationship Id="rId2143" Type="http://schemas.openxmlformats.org/officeDocument/2006/relationships/ctrlProp" Target="../ctrlProps/ctrlProp2140.xml"/><Relationship Id="rId2350" Type="http://schemas.openxmlformats.org/officeDocument/2006/relationships/ctrlProp" Target="../ctrlProps/ctrlProp2347.xml"/><Relationship Id="rId2795" Type="http://schemas.openxmlformats.org/officeDocument/2006/relationships/table" Target="../tables/table105.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2003" Type="http://schemas.openxmlformats.org/officeDocument/2006/relationships/ctrlProp" Target="../ctrlProps/ctrlProp2000.xml"/><Relationship Id="rId2210" Type="http://schemas.openxmlformats.org/officeDocument/2006/relationships/ctrlProp" Target="../ctrlProps/ctrlProp2207.xml"/><Relationship Id="rId2448" Type="http://schemas.openxmlformats.org/officeDocument/2006/relationships/ctrlProp" Target="../ctrlProps/ctrlProp2445.xml"/><Relationship Id="rId2655" Type="http://schemas.openxmlformats.org/officeDocument/2006/relationships/ctrlProp" Target="../ctrlProps/ctrlProp2652.xml"/><Relationship Id="rId2862" Type="http://schemas.openxmlformats.org/officeDocument/2006/relationships/table" Target="../tables/table172.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1671" Type="http://schemas.openxmlformats.org/officeDocument/2006/relationships/ctrlProp" Target="../ctrlProps/ctrlProp1668.xml"/><Relationship Id="rId2308" Type="http://schemas.openxmlformats.org/officeDocument/2006/relationships/ctrlProp" Target="../ctrlProps/ctrlProp2305.xml"/><Relationship Id="rId2515" Type="http://schemas.openxmlformats.org/officeDocument/2006/relationships/ctrlProp" Target="../ctrlProps/ctrlProp2512.xml"/><Relationship Id="rId2722" Type="http://schemas.openxmlformats.org/officeDocument/2006/relationships/table" Target="../tables/table32.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ctrlProp" Target="../ctrlProps/ctrlProp1528.xml"/><Relationship Id="rId1769" Type="http://schemas.openxmlformats.org/officeDocument/2006/relationships/ctrlProp" Target="../ctrlProps/ctrlProp1766.xml"/><Relationship Id="rId1976" Type="http://schemas.openxmlformats.org/officeDocument/2006/relationships/ctrlProp" Target="../ctrlProps/ctrlProp1973.xml"/><Relationship Id="rId30" Type="http://schemas.openxmlformats.org/officeDocument/2006/relationships/ctrlProp" Target="../ctrlProps/ctrlProp27.xml"/><Relationship Id="rId1629" Type="http://schemas.openxmlformats.org/officeDocument/2006/relationships/ctrlProp" Target="../ctrlProps/ctrlProp1626.xml"/><Relationship Id="rId1836" Type="http://schemas.openxmlformats.org/officeDocument/2006/relationships/ctrlProp" Target="../ctrlProps/ctrlProp1833.xml"/><Relationship Id="rId1903" Type="http://schemas.openxmlformats.org/officeDocument/2006/relationships/ctrlProp" Target="../ctrlProps/ctrlProp1900.xml"/><Relationship Id="rId2098" Type="http://schemas.openxmlformats.org/officeDocument/2006/relationships/ctrlProp" Target="../ctrlProps/ctrlProp2095.xml"/><Relationship Id="rId277" Type="http://schemas.openxmlformats.org/officeDocument/2006/relationships/ctrlProp" Target="../ctrlProps/ctrlProp274.xml"/><Relationship Id="rId484" Type="http://schemas.openxmlformats.org/officeDocument/2006/relationships/ctrlProp" Target="../ctrlProps/ctrlProp481.xml"/><Relationship Id="rId2165" Type="http://schemas.openxmlformats.org/officeDocument/2006/relationships/ctrlProp" Target="../ctrlProps/ctrlProp2162.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96" Type="http://schemas.openxmlformats.org/officeDocument/2006/relationships/ctrlProp" Target="../ctrlProps/ctrlProp993.xml"/><Relationship Id="rId2025" Type="http://schemas.openxmlformats.org/officeDocument/2006/relationships/ctrlProp" Target="../ctrlProps/ctrlProp2022.xml"/><Relationship Id="rId2372" Type="http://schemas.openxmlformats.org/officeDocument/2006/relationships/ctrlProp" Target="../ctrlProps/ctrlProp2369.xml"/><Relationship Id="rId2677" Type="http://schemas.openxmlformats.org/officeDocument/2006/relationships/ctrlProp" Target="../ctrlProps/ctrlProp2674.xml"/><Relationship Id="rId2884" Type="http://schemas.openxmlformats.org/officeDocument/2006/relationships/table" Target="../tables/table194.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86" Type="http://schemas.openxmlformats.org/officeDocument/2006/relationships/ctrlProp" Target="../ctrlProps/ctrlProp1483.xml"/><Relationship Id="rId2232" Type="http://schemas.openxmlformats.org/officeDocument/2006/relationships/ctrlProp" Target="../ctrlProps/ctrlProp2229.xml"/><Relationship Id="rId2537" Type="http://schemas.openxmlformats.org/officeDocument/2006/relationships/ctrlProp" Target="../ctrlProps/ctrlProp2534.xml"/><Relationship Id="rId204" Type="http://schemas.openxmlformats.org/officeDocument/2006/relationships/ctrlProp" Target="../ctrlProps/ctrlProp201.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1693" Type="http://schemas.openxmlformats.org/officeDocument/2006/relationships/ctrlProp" Target="../ctrlProps/ctrlProp1690.xml"/><Relationship Id="rId1998" Type="http://schemas.openxmlformats.org/officeDocument/2006/relationships/ctrlProp" Target="../ctrlProps/ctrlProp1995.xml"/><Relationship Id="rId2744" Type="http://schemas.openxmlformats.org/officeDocument/2006/relationships/table" Target="../tables/table54.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ctrlProp" Target="../ctrlProps/ctrlProp1550.xml"/><Relationship Id="rId1760" Type="http://schemas.openxmlformats.org/officeDocument/2006/relationships/ctrlProp" Target="../ctrlProps/ctrlProp1757.xml"/><Relationship Id="rId1858" Type="http://schemas.openxmlformats.org/officeDocument/2006/relationships/ctrlProp" Target="../ctrlProps/ctrlProp1855.xml"/><Relationship Id="rId2604" Type="http://schemas.openxmlformats.org/officeDocument/2006/relationships/ctrlProp" Target="../ctrlProps/ctrlProp2601.xml"/><Relationship Id="rId2811" Type="http://schemas.openxmlformats.org/officeDocument/2006/relationships/table" Target="../tables/table121.xml"/><Relationship Id="rId52" Type="http://schemas.openxmlformats.org/officeDocument/2006/relationships/ctrlProp" Target="../ctrlProps/ctrlProp49.xml"/><Relationship Id="rId1206" Type="http://schemas.openxmlformats.org/officeDocument/2006/relationships/ctrlProp" Target="../ctrlProps/ctrlProp1203.xml"/><Relationship Id="rId1413" Type="http://schemas.openxmlformats.org/officeDocument/2006/relationships/ctrlProp" Target="../ctrlProps/ctrlProp1410.xml"/><Relationship Id="rId1620" Type="http://schemas.openxmlformats.org/officeDocument/2006/relationships/ctrlProp" Target="../ctrlProps/ctrlProp1617.xml"/><Relationship Id="rId2909" Type="http://schemas.openxmlformats.org/officeDocument/2006/relationships/table" Target="../tables/table219.xml"/><Relationship Id="rId1718" Type="http://schemas.openxmlformats.org/officeDocument/2006/relationships/ctrlProp" Target="../ctrlProps/ctrlProp1715.xml"/><Relationship Id="rId1925" Type="http://schemas.openxmlformats.org/officeDocument/2006/relationships/ctrlProp" Target="../ctrlProps/ctrlProp1922.xml"/><Relationship Id="rId299" Type="http://schemas.openxmlformats.org/officeDocument/2006/relationships/ctrlProp" Target="../ctrlProps/ctrlProp296.xml"/><Relationship Id="rId2187" Type="http://schemas.openxmlformats.org/officeDocument/2006/relationships/ctrlProp" Target="../ctrlProps/ctrlProp2184.xml"/><Relationship Id="rId2394" Type="http://schemas.openxmlformats.org/officeDocument/2006/relationships/ctrlProp" Target="../ctrlProps/ctrlProp2391.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047" Type="http://schemas.openxmlformats.org/officeDocument/2006/relationships/ctrlProp" Target="../ctrlProps/ctrlProp2044.xml"/><Relationship Id="rId2254" Type="http://schemas.openxmlformats.org/officeDocument/2006/relationships/ctrlProp" Target="../ctrlProps/ctrlProp2251.xml"/><Relationship Id="rId2461" Type="http://schemas.openxmlformats.org/officeDocument/2006/relationships/ctrlProp" Target="../ctrlProps/ctrlProp2458.xml"/><Relationship Id="rId2699" Type="http://schemas.openxmlformats.org/officeDocument/2006/relationships/table" Target="../tables/table9.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2114" Type="http://schemas.openxmlformats.org/officeDocument/2006/relationships/ctrlProp" Target="../ctrlProps/ctrlProp2111.xml"/><Relationship Id="rId2559" Type="http://schemas.openxmlformats.org/officeDocument/2006/relationships/ctrlProp" Target="../ctrlProps/ctrlProp2556.xml"/><Relationship Id="rId2766" Type="http://schemas.openxmlformats.org/officeDocument/2006/relationships/table" Target="../tables/table76.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1575" Type="http://schemas.openxmlformats.org/officeDocument/2006/relationships/ctrlProp" Target="../ctrlProps/ctrlProp1572.xml"/><Relationship Id="rId1782" Type="http://schemas.openxmlformats.org/officeDocument/2006/relationships/ctrlProp" Target="../ctrlProps/ctrlProp1779.xml"/><Relationship Id="rId2321" Type="http://schemas.openxmlformats.org/officeDocument/2006/relationships/ctrlProp" Target="../ctrlProps/ctrlProp2318.xml"/><Relationship Id="rId2419" Type="http://schemas.openxmlformats.org/officeDocument/2006/relationships/ctrlProp" Target="../ctrlProps/ctrlProp2416.xml"/><Relationship Id="rId2626" Type="http://schemas.openxmlformats.org/officeDocument/2006/relationships/ctrlProp" Target="../ctrlProps/ctrlProp2623.xml"/><Relationship Id="rId2833" Type="http://schemas.openxmlformats.org/officeDocument/2006/relationships/table" Target="../tables/table143.xml"/><Relationship Id="rId74" Type="http://schemas.openxmlformats.org/officeDocument/2006/relationships/ctrlProp" Target="../ctrlProps/ctrlProp71.xml"/><Relationship Id="rId500" Type="http://schemas.openxmlformats.org/officeDocument/2006/relationships/ctrlProp" Target="../ctrlProps/ctrlProp497.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1642" Type="http://schemas.openxmlformats.org/officeDocument/2006/relationships/ctrlProp" Target="../ctrlProps/ctrlProp1639.xml"/><Relationship Id="rId1947" Type="http://schemas.openxmlformats.org/officeDocument/2006/relationships/ctrlProp" Target="../ctrlProps/ctrlProp1944.xml"/><Relationship Id="rId2900" Type="http://schemas.openxmlformats.org/officeDocument/2006/relationships/table" Target="../tables/table210.xml"/><Relationship Id="rId1502" Type="http://schemas.openxmlformats.org/officeDocument/2006/relationships/ctrlProp" Target="../ctrlProps/ctrlProp1499.xml"/><Relationship Id="rId1807" Type="http://schemas.openxmlformats.org/officeDocument/2006/relationships/ctrlProp" Target="../ctrlProps/ctrlProp1804.xml"/><Relationship Id="rId290" Type="http://schemas.openxmlformats.org/officeDocument/2006/relationships/ctrlProp" Target="../ctrlProps/ctrlProp287.xml"/><Relationship Id="rId388" Type="http://schemas.openxmlformats.org/officeDocument/2006/relationships/ctrlProp" Target="../ctrlProps/ctrlProp385.xml"/><Relationship Id="rId2069" Type="http://schemas.openxmlformats.org/officeDocument/2006/relationships/ctrlProp" Target="../ctrlProps/ctrlProp2066.xml"/><Relationship Id="rId150" Type="http://schemas.openxmlformats.org/officeDocument/2006/relationships/ctrlProp" Target="../ctrlProps/ctrlProp147.xml"/><Relationship Id="rId595" Type="http://schemas.openxmlformats.org/officeDocument/2006/relationships/ctrlProp" Target="../ctrlProps/ctrlProp592.xml"/><Relationship Id="rId2276" Type="http://schemas.openxmlformats.org/officeDocument/2006/relationships/ctrlProp" Target="../ctrlProps/ctrlProp2273.xml"/><Relationship Id="rId2483" Type="http://schemas.openxmlformats.org/officeDocument/2006/relationships/ctrlProp" Target="../ctrlProps/ctrlProp2480.xml"/><Relationship Id="rId2690" Type="http://schemas.openxmlformats.org/officeDocument/2006/relationships/ctrlProp" Target="../ctrlProps/ctrlProp2687.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2136" Type="http://schemas.openxmlformats.org/officeDocument/2006/relationships/ctrlProp" Target="../ctrlProps/ctrlProp2133.xml"/><Relationship Id="rId2343" Type="http://schemas.openxmlformats.org/officeDocument/2006/relationships/ctrlProp" Target="../ctrlProps/ctrlProp2340.xml"/><Relationship Id="rId2550" Type="http://schemas.openxmlformats.org/officeDocument/2006/relationships/ctrlProp" Target="../ctrlProps/ctrlProp2547.xml"/><Relationship Id="rId2788" Type="http://schemas.openxmlformats.org/officeDocument/2006/relationships/table" Target="../tables/table98.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1597" Type="http://schemas.openxmlformats.org/officeDocument/2006/relationships/ctrlProp" Target="../ctrlProps/ctrlProp1594.xml"/><Relationship Id="rId2203" Type="http://schemas.openxmlformats.org/officeDocument/2006/relationships/ctrlProp" Target="../ctrlProps/ctrlProp2200.xml"/><Relationship Id="rId2410" Type="http://schemas.openxmlformats.org/officeDocument/2006/relationships/ctrlProp" Target="../ctrlProps/ctrlProp2407.xml"/><Relationship Id="rId2648" Type="http://schemas.openxmlformats.org/officeDocument/2006/relationships/ctrlProp" Target="../ctrlProps/ctrlProp2645.xml"/><Relationship Id="rId2855" Type="http://schemas.openxmlformats.org/officeDocument/2006/relationships/table" Target="../tables/table165.xml"/><Relationship Id="rId96" Type="http://schemas.openxmlformats.org/officeDocument/2006/relationships/ctrlProp" Target="../ctrlProps/ctrlProp93.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1664" Type="http://schemas.openxmlformats.org/officeDocument/2006/relationships/ctrlProp" Target="../ctrlProps/ctrlProp1661.xml"/><Relationship Id="rId1871" Type="http://schemas.openxmlformats.org/officeDocument/2006/relationships/ctrlProp" Target="../ctrlProps/ctrlProp1868.xml"/><Relationship Id="rId2508" Type="http://schemas.openxmlformats.org/officeDocument/2006/relationships/ctrlProp" Target="../ctrlProps/ctrlProp2505.xml"/><Relationship Id="rId2715" Type="http://schemas.openxmlformats.org/officeDocument/2006/relationships/table" Target="../tables/table25.xml"/><Relationship Id="rId1317" Type="http://schemas.openxmlformats.org/officeDocument/2006/relationships/ctrlProp" Target="../ctrlProps/ctrlProp1314.xml"/><Relationship Id="rId1524" Type="http://schemas.openxmlformats.org/officeDocument/2006/relationships/ctrlProp" Target="../ctrlProps/ctrlProp1521.xml"/><Relationship Id="rId1731" Type="http://schemas.openxmlformats.org/officeDocument/2006/relationships/ctrlProp" Target="../ctrlProps/ctrlProp1728.xml"/><Relationship Id="rId1969" Type="http://schemas.openxmlformats.org/officeDocument/2006/relationships/ctrlProp" Target="../ctrlProps/ctrlProp1966.xml"/><Relationship Id="rId23" Type="http://schemas.openxmlformats.org/officeDocument/2006/relationships/ctrlProp" Target="../ctrlProps/ctrlProp20.xml"/><Relationship Id="rId1829" Type="http://schemas.openxmlformats.org/officeDocument/2006/relationships/ctrlProp" Target="../ctrlProps/ctrlProp1826.xml"/><Relationship Id="rId2298" Type="http://schemas.openxmlformats.org/officeDocument/2006/relationships/ctrlProp" Target="../ctrlProps/ctrlProp2295.xml"/><Relationship Id="rId172" Type="http://schemas.openxmlformats.org/officeDocument/2006/relationships/ctrlProp" Target="../ctrlProps/ctrlProp169.xml"/><Relationship Id="rId477" Type="http://schemas.openxmlformats.org/officeDocument/2006/relationships/ctrlProp" Target="../ctrlProps/ctrlProp474.xml"/><Relationship Id="rId684" Type="http://schemas.openxmlformats.org/officeDocument/2006/relationships/ctrlProp" Target="../ctrlProps/ctrlProp681.xml"/><Relationship Id="rId2060" Type="http://schemas.openxmlformats.org/officeDocument/2006/relationships/ctrlProp" Target="../ctrlProps/ctrlProp2057.xml"/><Relationship Id="rId2158" Type="http://schemas.openxmlformats.org/officeDocument/2006/relationships/ctrlProp" Target="../ctrlProps/ctrlProp2155.xml"/><Relationship Id="rId2365" Type="http://schemas.openxmlformats.org/officeDocument/2006/relationships/ctrlProp" Target="../ctrlProps/ctrlProp2362.xml"/><Relationship Id="rId337" Type="http://schemas.openxmlformats.org/officeDocument/2006/relationships/ctrlProp" Target="../ctrlProps/ctrlProp334.xml"/><Relationship Id="rId891" Type="http://schemas.openxmlformats.org/officeDocument/2006/relationships/ctrlProp" Target="../ctrlProps/ctrlProp888.xml"/><Relationship Id="rId989" Type="http://schemas.openxmlformats.org/officeDocument/2006/relationships/ctrlProp" Target="../ctrlProps/ctrlProp986.xml"/><Relationship Id="rId2018" Type="http://schemas.openxmlformats.org/officeDocument/2006/relationships/ctrlProp" Target="../ctrlProps/ctrlProp2015.xml"/><Relationship Id="rId2572" Type="http://schemas.openxmlformats.org/officeDocument/2006/relationships/ctrlProp" Target="../ctrlProps/ctrlProp2569.xml"/><Relationship Id="rId2877" Type="http://schemas.openxmlformats.org/officeDocument/2006/relationships/table" Target="../tables/table187.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1686" Type="http://schemas.openxmlformats.org/officeDocument/2006/relationships/ctrlProp" Target="../ctrlProps/ctrlProp1683.xml"/><Relationship Id="rId2225" Type="http://schemas.openxmlformats.org/officeDocument/2006/relationships/ctrlProp" Target="../ctrlProps/ctrlProp2222.xml"/><Relationship Id="rId2432" Type="http://schemas.openxmlformats.org/officeDocument/2006/relationships/ctrlProp" Target="../ctrlProps/ctrlProp2429.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1893" Type="http://schemas.openxmlformats.org/officeDocument/2006/relationships/ctrlProp" Target="../ctrlProps/ctrlProp1890.xml"/><Relationship Id="rId2737" Type="http://schemas.openxmlformats.org/officeDocument/2006/relationships/table" Target="../tables/table47.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1546" Type="http://schemas.openxmlformats.org/officeDocument/2006/relationships/ctrlProp" Target="../ctrlProps/ctrlProp1543.xml"/><Relationship Id="rId1753" Type="http://schemas.openxmlformats.org/officeDocument/2006/relationships/ctrlProp" Target="../ctrlProps/ctrlProp1750.xml"/><Relationship Id="rId1960" Type="http://schemas.openxmlformats.org/officeDocument/2006/relationships/ctrlProp" Target="../ctrlProps/ctrlProp1957.xml"/><Relationship Id="rId2804" Type="http://schemas.openxmlformats.org/officeDocument/2006/relationships/table" Target="../tables/table114.xml"/><Relationship Id="rId45" Type="http://schemas.openxmlformats.org/officeDocument/2006/relationships/ctrlProp" Target="../ctrlProps/ctrlProp42.xml"/><Relationship Id="rId1406" Type="http://schemas.openxmlformats.org/officeDocument/2006/relationships/ctrlProp" Target="../ctrlProps/ctrlProp1403.xml"/><Relationship Id="rId1613" Type="http://schemas.openxmlformats.org/officeDocument/2006/relationships/ctrlProp" Target="../ctrlProps/ctrlProp1610.xml"/><Relationship Id="rId1820" Type="http://schemas.openxmlformats.org/officeDocument/2006/relationships/ctrlProp" Target="../ctrlProps/ctrlProp1817.xml"/><Relationship Id="rId194" Type="http://schemas.openxmlformats.org/officeDocument/2006/relationships/ctrlProp" Target="../ctrlProps/ctrlProp191.xml"/><Relationship Id="rId1918" Type="http://schemas.openxmlformats.org/officeDocument/2006/relationships/ctrlProp" Target="../ctrlProps/ctrlProp1915.xml"/><Relationship Id="rId2082" Type="http://schemas.openxmlformats.org/officeDocument/2006/relationships/ctrlProp" Target="../ctrlProps/ctrlProp2079.xml"/><Relationship Id="rId261" Type="http://schemas.openxmlformats.org/officeDocument/2006/relationships/ctrlProp" Target="../ctrlProps/ctrlProp258.xml"/><Relationship Id="rId499" Type="http://schemas.openxmlformats.org/officeDocument/2006/relationships/ctrlProp" Target="../ctrlProps/ctrlProp496.xml"/><Relationship Id="rId2387" Type="http://schemas.openxmlformats.org/officeDocument/2006/relationships/ctrlProp" Target="../ctrlProps/ctrlProp2384.xml"/><Relationship Id="rId2594" Type="http://schemas.openxmlformats.org/officeDocument/2006/relationships/ctrlProp" Target="../ctrlProps/ctrlProp2591.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2247" Type="http://schemas.openxmlformats.org/officeDocument/2006/relationships/ctrlProp" Target="../ctrlProps/ctrlProp2244.xml"/><Relationship Id="rId2454" Type="http://schemas.openxmlformats.org/officeDocument/2006/relationships/ctrlProp" Target="../ctrlProps/ctrlProp2451.xml"/><Relationship Id="rId2899" Type="http://schemas.openxmlformats.org/officeDocument/2006/relationships/table" Target="../tables/table209.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2107" Type="http://schemas.openxmlformats.org/officeDocument/2006/relationships/ctrlProp" Target="../ctrlProps/ctrlProp2104.xml"/><Relationship Id="rId2314" Type="http://schemas.openxmlformats.org/officeDocument/2006/relationships/ctrlProp" Target="../ctrlProps/ctrlProp2311.xml"/><Relationship Id="rId2661" Type="http://schemas.openxmlformats.org/officeDocument/2006/relationships/ctrlProp" Target="../ctrlProps/ctrlProp2658.xml"/><Relationship Id="rId2759" Type="http://schemas.openxmlformats.org/officeDocument/2006/relationships/table" Target="../tables/table69.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1568" Type="http://schemas.openxmlformats.org/officeDocument/2006/relationships/ctrlProp" Target="../ctrlProps/ctrlProp1565.xml"/><Relationship Id="rId1775" Type="http://schemas.openxmlformats.org/officeDocument/2006/relationships/ctrlProp" Target="../ctrlProps/ctrlProp1772.xml"/><Relationship Id="rId2521" Type="http://schemas.openxmlformats.org/officeDocument/2006/relationships/ctrlProp" Target="../ctrlProps/ctrlProp2518.xml"/><Relationship Id="rId2619" Type="http://schemas.openxmlformats.org/officeDocument/2006/relationships/ctrlProp" Target="../ctrlProps/ctrlProp2616.xml"/><Relationship Id="rId2826" Type="http://schemas.openxmlformats.org/officeDocument/2006/relationships/table" Target="../tables/table136.xml"/><Relationship Id="rId67" Type="http://schemas.openxmlformats.org/officeDocument/2006/relationships/ctrlProp" Target="../ctrlProps/ctrlProp6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635" Type="http://schemas.openxmlformats.org/officeDocument/2006/relationships/ctrlProp" Target="../ctrlProps/ctrlProp1632.xml"/><Relationship Id="rId1982" Type="http://schemas.openxmlformats.org/officeDocument/2006/relationships/ctrlProp" Target="../ctrlProps/ctrlProp1979.xml"/><Relationship Id="rId1842" Type="http://schemas.openxmlformats.org/officeDocument/2006/relationships/ctrlProp" Target="../ctrlProps/ctrlProp1839.xml"/><Relationship Id="rId1702" Type="http://schemas.openxmlformats.org/officeDocument/2006/relationships/ctrlProp" Target="../ctrlProps/ctrlProp1699.xml"/><Relationship Id="rId283" Type="http://schemas.openxmlformats.org/officeDocument/2006/relationships/ctrlProp" Target="../ctrlProps/ctrlProp280.xml"/><Relationship Id="rId490" Type="http://schemas.openxmlformats.org/officeDocument/2006/relationships/ctrlProp" Target="../ctrlProps/ctrlProp487.xml"/><Relationship Id="rId2171" Type="http://schemas.openxmlformats.org/officeDocument/2006/relationships/ctrlProp" Target="../ctrlProps/ctrlProp2168.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2031" Type="http://schemas.openxmlformats.org/officeDocument/2006/relationships/ctrlProp" Target="../ctrlProps/ctrlProp2028.xml"/><Relationship Id="rId2269" Type="http://schemas.openxmlformats.org/officeDocument/2006/relationships/ctrlProp" Target="../ctrlProps/ctrlProp2266.xml"/><Relationship Id="rId2476" Type="http://schemas.openxmlformats.org/officeDocument/2006/relationships/ctrlProp" Target="../ctrlProps/ctrlProp2473.xml"/><Relationship Id="rId2683" Type="http://schemas.openxmlformats.org/officeDocument/2006/relationships/ctrlProp" Target="../ctrlProps/ctrlProp2680.xml"/><Relationship Id="rId2890" Type="http://schemas.openxmlformats.org/officeDocument/2006/relationships/table" Target="../tables/table200.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2129" Type="http://schemas.openxmlformats.org/officeDocument/2006/relationships/ctrlProp" Target="../ctrlProps/ctrlProp2126.xml"/><Relationship Id="rId2336" Type="http://schemas.openxmlformats.org/officeDocument/2006/relationships/ctrlProp" Target="../ctrlProps/ctrlProp2333.xml"/><Relationship Id="rId2543" Type="http://schemas.openxmlformats.org/officeDocument/2006/relationships/ctrlProp" Target="../ctrlProps/ctrlProp2540.xml"/><Relationship Id="rId2750" Type="http://schemas.openxmlformats.org/officeDocument/2006/relationships/table" Target="../tables/table60.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1797" Type="http://schemas.openxmlformats.org/officeDocument/2006/relationships/ctrlProp" Target="../ctrlProps/ctrlProp1794.xml"/><Relationship Id="rId2403" Type="http://schemas.openxmlformats.org/officeDocument/2006/relationships/ctrlProp" Target="../ctrlProps/ctrlProp2400.xml"/><Relationship Id="rId2848" Type="http://schemas.openxmlformats.org/officeDocument/2006/relationships/table" Target="../tables/table158.xml"/><Relationship Id="rId89" Type="http://schemas.openxmlformats.org/officeDocument/2006/relationships/ctrlProp" Target="../ctrlProps/ctrlProp86.xml"/><Relationship Id="rId1005" Type="http://schemas.openxmlformats.org/officeDocument/2006/relationships/ctrlProp" Target="../ctrlProps/ctrlProp1002.xml"/><Relationship Id="rId1212" Type="http://schemas.openxmlformats.org/officeDocument/2006/relationships/ctrlProp" Target="../ctrlProps/ctrlProp1209.xml"/><Relationship Id="rId1657" Type="http://schemas.openxmlformats.org/officeDocument/2006/relationships/ctrlProp" Target="../ctrlProps/ctrlProp1654.xml"/><Relationship Id="rId1864" Type="http://schemas.openxmlformats.org/officeDocument/2006/relationships/ctrlProp" Target="../ctrlProps/ctrlProp1861.xml"/><Relationship Id="rId2610" Type="http://schemas.openxmlformats.org/officeDocument/2006/relationships/ctrlProp" Target="../ctrlProps/ctrlProp2607.xml"/><Relationship Id="rId2708" Type="http://schemas.openxmlformats.org/officeDocument/2006/relationships/table" Target="../tables/table18.xml"/><Relationship Id="rId2915" Type="http://schemas.openxmlformats.org/officeDocument/2006/relationships/table" Target="../tables/table225.xml"/><Relationship Id="rId1517" Type="http://schemas.openxmlformats.org/officeDocument/2006/relationships/ctrlProp" Target="../ctrlProps/ctrlProp1514.xml"/><Relationship Id="rId1724" Type="http://schemas.openxmlformats.org/officeDocument/2006/relationships/ctrlProp" Target="../ctrlProps/ctrlProp1721.xml"/><Relationship Id="rId16" Type="http://schemas.openxmlformats.org/officeDocument/2006/relationships/ctrlProp" Target="../ctrlProps/ctrlProp13.xml"/><Relationship Id="rId1931" Type="http://schemas.openxmlformats.org/officeDocument/2006/relationships/ctrlProp" Target="../ctrlProps/ctrlProp1928.xml"/><Relationship Id="rId2193" Type="http://schemas.openxmlformats.org/officeDocument/2006/relationships/ctrlProp" Target="../ctrlProps/ctrlProp2190.xml"/><Relationship Id="rId2498" Type="http://schemas.openxmlformats.org/officeDocument/2006/relationships/ctrlProp" Target="../ctrlProps/ctrlProp2495.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053" Type="http://schemas.openxmlformats.org/officeDocument/2006/relationships/ctrlProp" Target="../ctrlProps/ctrlProp2050.xml"/><Relationship Id="rId2260" Type="http://schemas.openxmlformats.org/officeDocument/2006/relationships/ctrlProp" Target="../ctrlProps/ctrlProp2257.xml"/><Relationship Id="rId2358" Type="http://schemas.openxmlformats.org/officeDocument/2006/relationships/ctrlProp" Target="../ctrlProps/ctrlProp2355.xml"/><Relationship Id="rId232" Type="http://schemas.openxmlformats.org/officeDocument/2006/relationships/ctrlProp" Target="../ctrlProps/ctrlProp229.xml"/><Relationship Id="rId884" Type="http://schemas.openxmlformats.org/officeDocument/2006/relationships/ctrlProp" Target="../ctrlProps/ctrlProp881.xml"/><Relationship Id="rId2120" Type="http://schemas.openxmlformats.org/officeDocument/2006/relationships/ctrlProp" Target="../ctrlProps/ctrlProp2117.xml"/><Relationship Id="rId2565" Type="http://schemas.openxmlformats.org/officeDocument/2006/relationships/ctrlProp" Target="../ctrlProps/ctrlProp2562.xml"/><Relationship Id="rId2772" Type="http://schemas.openxmlformats.org/officeDocument/2006/relationships/table" Target="../tables/table82.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1581" Type="http://schemas.openxmlformats.org/officeDocument/2006/relationships/ctrlProp" Target="../ctrlProps/ctrlProp1578.xml"/><Relationship Id="rId1679" Type="http://schemas.openxmlformats.org/officeDocument/2006/relationships/ctrlProp" Target="../ctrlProps/ctrlProp1676.xml"/><Relationship Id="rId2218" Type="http://schemas.openxmlformats.org/officeDocument/2006/relationships/ctrlProp" Target="../ctrlProps/ctrlProp2215.xml"/><Relationship Id="rId2425" Type="http://schemas.openxmlformats.org/officeDocument/2006/relationships/ctrlProp" Target="../ctrlProps/ctrlProp2422.xml"/><Relationship Id="rId2632" Type="http://schemas.openxmlformats.org/officeDocument/2006/relationships/ctrlProp" Target="../ctrlProps/ctrlProp2629.xml"/><Relationship Id="rId80" Type="http://schemas.openxmlformats.org/officeDocument/2006/relationships/ctrlProp" Target="../ctrlProps/ctrlProp7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1886" Type="http://schemas.openxmlformats.org/officeDocument/2006/relationships/ctrlProp" Target="../ctrlProps/ctrlProp1883.xml"/><Relationship Id="rId909" Type="http://schemas.openxmlformats.org/officeDocument/2006/relationships/ctrlProp" Target="../ctrlProps/ctrlProp906.xml"/><Relationship Id="rId1301" Type="http://schemas.openxmlformats.org/officeDocument/2006/relationships/ctrlProp" Target="../ctrlProps/ctrlProp1298.xml"/><Relationship Id="rId1539" Type="http://schemas.openxmlformats.org/officeDocument/2006/relationships/ctrlProp" Target="../ctrlProps/ctrlProp1536.xml"/><Relationship Id="rId1746" Type="http://schemas.openxmlformats.org/officeDocument/2006/relationships/ctrlProp" Target="../ctrlProps/ctrlProp1743.xml"/><Relationship Id="rId1953" Type="http://schemas.openxmlformats.org/officeDocument/2006/relationships/ctrlProp" Target="../ctrlProps/ctrlProp1950.xml"/><Relationship Id="rId38" Type="http://schemas.openxmlformats.org/officeDocument/2006/relationships/ctrlProp" Target="../ctrlProps/ctrlProp35.xml"/><Relationship Id="rId1606" Type="http://schemas.openxmlformats.org/officeDocument/2006/relationships/ctrlProp" Target="../ctrlProps/ctrlProp1603.xml"/><Relationship Id="rId1813" Type="http://schemas.openxmlformats.org/officeDocument/2006/relationships/ctrlProp" Target="../ctrlProps/ctrlProp1810.xml"/><Relationship Id="rId187" Type="http://schemas.openxmlformats.org/officeDocument/2006/relationships/ctrlProp" Target="../ctrlProps/ctrlProp184.xml"/><Relationship Id="rId394" Type="http://schemas.openxmlformats.org/officeDocument/2006/relationships/ctrlProp" Target="../ctrlProps/ctrlProp391.xml"/><Relationship Id="rId2075" Type="http://schemas.openxmlformats.org/officeDocument/2006/relationships/ctrlProp" Target="../ctrlProps/ctrlProp2072.xml"/><Relationship Id="rId2282" Type="http://schemas.openxmlformats.org/officeDocument/2006/relationships/ctrlProp" Target="../ctrlProps/ctrlProp2279.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2587" Type="http://schemas.openxmlformats.org/officeDocument/2006/relationships/ctrlProp" Target="../ctrlProps/ctrlProp2584.xml"/><Relationship Id="rId2794" Type="http://schemas.openxmlformats.org/officeDocument/2006/relationships/table" Target="../tables/table104.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2142" Type="http://schemas.openxmlformats.org/officeDocument/2006/relationships/ctrlProp" Target="../ctrlProps/ctrlProp2139.xml"/><Relationship Id="rId2447" Type="http://schemas.openxmlformats.org/officeDocument/2006/relationships/ctrlProp" Target="../ctrlProps/ctrlProp2444.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2002" Type="http://schemas.openxmlformats.org/officeDocument/2006/relationships/ctrlProp" Target="../ctrlProps/ctrlProp1999.xml"/><Relationship Id="rId2307" Type="http://schemas.openxmlformats.org/officeDocument/2006/relationships/ctrlProp" Target="../ctrlProps/ctrlProp2304.xml"/><Relationship Id="rId2654" Type="http://schemas.openxmlformats.org/officeDocument/2006/relationships/ctrlProp" Target="../ctrlProps/ctrlProp2651.xml"/><Relationship Id="rId2861" Type="http://schemas.openxmlformats.org/officeDocument/2006/relationships/table" Target="../tables/table171.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1670" Type="http://schemas.openxmlformats.org/officeDocument/2006/relationships/ctrlProp" Target="../ctrlProps/ctrlProp1667.xml"/><Relationship Id="rId1768" Type="http://schemas.openxmlformats.org/officeDocument/2006/relationships/ctrlProp" Target="../ctrlProps/ctrlProp1765.xml"/><Relationship Id="rId2514" Type="http://schemas.openxmlformats.org/officeDocument/2006/relationships/ctrlProp" Target="../ctrlProps/ctrlProp2511.xml"/><Relationship Id="rId2721" Type="http://schemas.openxmlformats.org/officeDocument/2006/relationships/table" Target="../tables/table31.xml"/><Relationship Id="rId2819" Type="http://schemas.openxmlformats.org/officeDocument/2006/relationships/table" Target="../tables/table129.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ctrlProp" Target="../ctrlProps/ctrlProp1527.xml"/><Relationship Id="rId1628" Type="http://schemas.openxmlformats.org/officeDocument/2006/relationships/ctrlProp" Target="../ctrlProps/ctrlProp1625.xml"/><Relationship Id="rId1975" Type="http://schemas.openxmlformats.org/officeDocument/2006/relationships/ctrlProp" Target="../ctrlProps/ctrlProp1972.xml"/><Relationship Id="rId1835" Type="http://schemas.openxmlformats.org/officeDocument/2006/relationships/ctrlProp" Target="../ctrlProps/ctrlProp1832.xml"/><Relationship Id="rId1902" Type="http://schemas.openxmlformats.org/officeDocument/2006/relationships/ctrlProp" Target="../ctrlProps/ctrlProp1899.xml"/><Relationship Id="rId2097" Type="http://schemas.openxmlformats.org/officeDocument/2006/relationships/ctrlProp" Target="../ctrlProps/ctrlProp209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2164" Type="http://schemas.openxmlformats.org/officeDocument/2006/relationships/ctrlProp" Target="../ctrlProps/ctrlProp2161.xml"/><Relationship Id="rId2371" Type="http://schemas.openxmlformats.org/officeDocument/2006/relationships/ctrlProp" Target="../ctrlProps/ctrlProp2368.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2024" Type="http://schemas.openxmlformats.org/officeDocument/2006/relationships/ctrlProp" Target="../ctrlProps/ctrlProp2021.xml"/><Relationship Id="rId2231" Type="http://schemas.openxmlformats.org/officeDocument/2006/relationships/ctrlProp" Target="../ctrlProps/ctrlProp2228.xml"/><Relationship Id="rId2469" Type="http://schemas.openxmlformats.org/officeDocument/2006/relationships/ctrlProp" Target="../ctrlProps/ctrlProp2466.xml"/><Relationship Id="rId2676" Type="http://schemas.openxmlformats.org/officeDocument/2006/relationships/ctrlProp" Target="../ctrlProps/ctrlProp2673.xml"/><Relationship Id="rId2883" Type="http://schemas.openxmlformats.org/officeDocument/2006/relationships/table" Target="../tables/table193.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1692" Type="http://schemas.openxmlformats.org/officeDocument/2006/relationships/ctrlProp" Target="../ctrlProps/ctrlProp1689.xml"/><Relationship Id="rId2329" Type="http://schemas.openxmlformats.org/officeDocument/2006/relationships/ctrlProp" Target="../ctrlProps/ctrlProp2326.xml"/><Relationship Id="rId2536" Type="http://schemas.openxmlformats.org/officeDocument/2006/relationships/ctrlProp" Target="../ctrlProps/ctrlProp2533.xml"/><Relationship Id="rId2743" Type="http://schemas.openxmlformats.org/officeDocument/2006/relationships/table" Target="../tables/table53.xml"/><Relationship Id="rId410" Type="http://schemas.openxmlformats.org/officeDocument/2006/relationships/ctrlProp" Target="../ctrlProps/ctrlProp407.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ctrlProp" Target="../ctrlProps/ctrlProp1549.xml"/><Relationship Id="rId1997" Type="http://schemas.openxmlformats.org/officeDocument/2006/relationships/ctrlProp" Target="../ctrlProps/ctrlProp1994.xml"/><Relationship Id="rId2603" Type="http://schemas.openxmlformats.org/officeDocument/2006/relationships/ctrlProp" Target="../ctrlProps/ctrlProp2600.xml"/><Relationship Id="rId1205" Type="http://schemas.openxmlformats.org/officeDocument/2006/relationships/ctrlProp" Target="../ctrlProps/ctrlProp1202.xml"/><Relationship Id="rId1857" Type="http://schemas.openxmlformats.org/officeDocument/2006/relationships/ctrlProp" Target="../ctrlProps/ctrlProp1854.xml"/><Relationship Id="rId2810" Type="http://schemas.openxmlformats.org/officeDocument/2006/relationships/table" Target="../tables/table120.xml"/><Relationship Id="rId2908" Type="http://schemas.openxmlformats.org/officeDocument/2006/relationships/table" Target="../tables/table218.xml"/><Relationship Id="rId51" Type="http://schemas.openxmlformats.org/officeDocument/2006/relationships/ctrlProp" Target="../ctrlProps/ctrlProp48.xml"/><Relationship Id="rId1412" Type="http://schemas.openxmlformats.org/officeDocument/2006/relationships/ctrlProp" Target="../ctrlProps/ctrlProp1409.xml"/><Relationship Id="rId1717" Type="http://schemas.openxmlformats.org/officeDocument/2006/relationships/ctrlProp" Target="../ctrlProps/ctrlProp1714.xml"/><Relationship Id="rId1924" Type="http://schemas.openxmlformats.org/officeDocument/2006/relationships/ctrlProp" Target="../ctrlProps/ctrlProp1921.xml"/><Relationship Id="rId298" Type="http://schemas.openxmlformats.org/officeDocument/2006/relationships/ctrlProp" Target="../ctrlProps/ctrlProp295.xml"/><Relationship Id="rId158" Type="http://schemas.openxmlformats.org/officeDocument/2006/relationships/ctrlProp" Target="../ctrlProps/ctrlProp155.xml"/><Relationship Id="rId2186" Type="http://schemas.openxmlformats.org/officeDocument/2006/relationships/ctrlProp" Target="../ctrlProps/ctrlProp2183.xml"/><Relationship Id="rId2393" Type="http://schemas.openxmlformats.org/officeDocument/2006/relationships/ctrlProp" Target="../ctrlProps/ctrlProp2390.xml"/><Relationship Id="rId2698" Type="http://schemas.openxmlformats.org/officeDocument/2006/relationships/table" Target="../tables/table8.xml"/><Relationship Id="rId365" Type="http://schemas.openxmlformats.org/officeDocument/2006/relationships/ctrlProp" Target="../ctrlProps/ctrlProp362.xml"/><Relationship Id="rId572" Type="http://schemas.openxmlformats.org/officeDocument/2006/relationships/ctrlProp" Target="../ctrlProps/ctrlProp569.xml"/><Relationship Id="rId2046" Type="http://schemas.openxmlformats.org/officeDocument/2006/relationships/ctrlProp" Target="../ctrlProps/ctrlProp2043.xml"/><Relationship Id="rId2253" Type="http://schemas.openxmlformats.org/officeDocument/2006/relationships/ctrlProp" Target="../ctrlProps/ctrlProp2250.xml"/><Relationship Id="rId2460" Type="http://schemas.openxmlformats.org/officeDocument/2006/relationships/ctrlProp" Target="../ctrlProps/ctrlProp2457.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2113" Type="http://schemas.openxmlformats.org/officeDocument/2006/relationships/ctrlProp" Target="../ctrlProps/ctrlProp2110.xml"/><Relationship Id="rId2320" Type="http://schemas.openxmlformats.org/officeDocument/2006/relationships/ctrlProp" Target="../ctrlProps/ctrlProp2317.xml"/><Relationship Id="rId2558" Type="http://schemas.openxmlformats.org/officeDocument/2006/relationships/ctrlProp" Target="../ctrlProps/ctrlProp2555.xml"/><Relationship Id="rId2765" Type="http://schemas.openxmlformats.org/officeDocument/2006/relationships/table" Target="../tables/table75.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1574" Type="http://schemas.openxmlformats.org/officeDocument/2006/relationships/ctrlProp" Target="../ctrlProps/ctrlProp1571.xml"/><Relationship Id="rId1781" Type="http://schemas.openxmlformats.org/officeDocument/2006/relationships/ctrlProp" Target="../ctrlProps/ctrlProp1778.xml"/><Relationship Id="rId2418" Type="http://schemas.openxmlformats.org/officeDocument/2006/relationships/ctrlProp" Target="../ctrlProps/ctrlProp2415.xml"/><Relationship Id="rId2625" Type="http://schemas.openxmlformats.org/officeDocument/2006/relationships/ctrlProp" Target="../ctrlProps/ctrlProp2622.xml"/><Relationship Id="rId2832" Type="http://schemas.openxmlformats.org/officeDocument/2006/relationships/table" Target="../tables/table142.xml"/><Relationship Id="rId73" Type="http://schemas.openxmlformats.org/officeDocument/2006/relationships/ctrlProp" Target="../ctrlProps/ctrlProp70.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1641" Type="http://schemas.openxmlformats.org/officeDocument/2006/relationships/ctrlProp" Target="../ctrlProps/ctrlProp1638.xml"/><Relationship Id="rId1879" Type="http://schemas.openxmlformats.org/officeDocument/2006/relationships/ctrlProp" Target="../ctrlProps/ctrlProp1876.xml"/><Relationship Id="rId1501" Type="http://schemas.openxmlformats.org/officeDocument/2006/relationships/ctrlProp" Target="../ctrlProps/ctrlProp1498.xml"/><Relationship Id="rId1739" Type="http://schemas.openxmlformats.org/officeDocument/2006/relationships/ctrlProp" Target="../ctrlProps/ctrlProp1736.xml"/><Relationship Id="rId1946" Type="http://schemas.openxmlformats.org/officeDocument/2006/relationships/ctrlProp" Target="../ctrlProps/ctrlProp1943.xml"/><Relationship Id="rId1806" Type="http://schemas.openxmlformats.org/officeDocument/2006/relationships/ctrlProp" Target="../ctrlProps/ctrlProp1803.xml"/><Relationship Id="rId387" Type="http://schemas.openxmlformats.org/officeDocument/2006/relationships/ctrlProp" Target="../ctrlProps/ctrlProp384.xml"/><Relationship Id="rId594" Type="http://schemas.openxmlformats.org/officeDocument/2006/relationships/ctrlProp" Target="../ctrlProps/ctrlProp591.xml"/><Relationship Id="rId2068" Type="http://schemas.openxmlformats.org/officeDocument/2006/relationships/ctrlProp" Target="../ctrlProps/ctrlProp2065.xml"/><Relationship Id="rId2275" Type="http://schemas.openxmlformats.org/officeDocument/2006/relationships/ctrlProp" Target="../ctrlProps/ctrlProp2272.xml"/><Relationship Id="rId247" Type="http://schemas.openxmlformats.org/officeDocument/2006/relationships/ctrlProp" Target="../ctrlProps/ctrlProp244.xml"/><Relationship Id="rId899" Type="http://schemas.openxmlformats.org/officeDocument/2006/relationships/ctrlProp" Target="../ctrlProps/ctrlProp896.xml"/><Relationship Id="rId1084" Type="http://schemas.openxmlformats.org/officeDocument/2006/relationships/ctrlProp" Target="../ctrlProps/ctrlProp1081.xml"/><Relationship Id="rId2482" Type="http://schemas.openxmlformats.org/officeDocument/2006/relationships/ctrlProp" Target="../ctrlProps/ctrlProp2479.xml"/><Relationship Id="rId2787" Type="http://schemas.openxmlformats.org/officeDocument/2006/relationships/table" Target="../tables/table97.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96" Type="http://schemas.openxmlformats.org/officeDocument/2006/relationships/ctrlProp" Target="../ctrlProps/ctrlProp1593.xml"/><Relationship Id="rId2135" Type="http://schemas.openxmlformats.org/officeDocument/2006/relationships/ctrlProp" Target="../ctrlProps/ctrlProp2132.xml"/><Relationship Id="rId2342" Type="http://schemas.openxmlformats.org/officeDocument/2006/relationships/ctrlProp" Target="../ctrlProps/ctrlProp2339.xml"/><Relationship Id="rId2647" Type="http://schemas.openxmlformats.org/officeDocument/2006/relationships/ctrlProp" Target="../ctrlProps/ctrlProp2644.xml"/><Relationship Id="rId314" Type="http://schemas.openxmlformats.org/officeDocument/2006/relationships/ctrlProp" Target="../ctrlProps/ctrlProp311.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2202" Type="http://schemas.openxmlformats.org/officeDocument/2006/relationships/ctrlProp" Target="../ctrlProps/ctrlProp2199.xml"/><Relationship Id="rId2854" Type="http://schemas.openxmlformats.org/officeDocument/2006/relationships/table" Target="../tables/table164.xml"/><Relationship Id="rId95" Type="http://schemas.openxmlformats.org/officeDocument/2006/relationships/ctrlProp" Target="../ctrlProps/ctrlProp92.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1663" Type="http://schemas.openxmlformats.org/officeDocument/2006/relationships/ctrlProp" Target="../ctrlProps/ctrlProp1660.xml"/><Relationship Id="rId1870" Type="http://schemas.openxmlformats.org/officeDocument/2006/relationships/ctrlProp" Target="../ctrlProps/ctrlProp1867.xml"/><Relationship Id="rId1968" Type="http://schemas.openxmlformats.org/officeDocument/2006/relationships/ctrlProp" Target="../ctrlProps/ctrlProp1965.xml"/><Relationship Id="rId2507" Type="http://schemas.openxmlformats.org/officeDocument/2006/relationships/ctrlProp" Target="../ctrlProps/ctrlProp2504.xml"/><Relationship Id="rId2714" Type="http://schemas.openxmlformats.org/officeDocument/2006/relationships/table" Target="../tables/table24.xml"/><Relationship Id="rId1316" Type="http://schemas.openxmlformats.org/officeDocument/2006/relationships/ctrlProp" Target="../ctrlProps/ctrlProp1313.xml"/><Relationship Id="rId1523" Type="http://schemas.openxmlformats.org/officeDocument/2006/relationships/ctrlProp" Target="../ctrlProps/ctrlProp1520.xml"/><Relationship Id="rId1730" Type="http://schemas.openxmlformats.org/officeDocument/2006/relationships/ctrlProp" Target="../ctrlProps/ctrlProp1727.xml"/><Relationship Id="rId22" Type="http://schemas.openxmlformats.org/officeDocument/2006/relationships/ctrlProp" Target="../ctrlProps/ctrlProp19.xml"/><Relationship Id="rId1828" Type="http://schemas.openxmlformats.org/officeDocument/2006/relationships/ctrlProp" Target="../ctrlProps/ctrlProp1825.xml"/><Relationship Id="rId171" Type="http://schemas.openxmlformats.org/officeDocument/2006/relationships/ctrlProp" Target="../ctrlProps/ctrlProp168.xml"/><Relationship Id="rId2297" Type="http://schemas.openxmlformats.org/officeDocument/2006/relationships/ctrlProp" Target="../ctrlProps/ctrlProp229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2157" Type="http://schemas.openxmlformats.org/officeDocument/2006/relationships/ctrlProp" Target="../ctrlProps/ctrlProp2154.xml"/><Relationship Id="rId2364" Type="http://schemas.openxmlformats.org/officeDocument/2006/relationships/ctrlProp" Target="../ctrlProps/ctrlProp2361.xml"/><Relationship Id="rId2571" Type="http://schemas.openxmlformats.org/officeDocument/2006/relationships/ctrlProp" Target="../ctrlProps/ctrlProp2568.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2017" Type="http://schemas.openxmlformats.org/officeDocument/2006/relationships/ctrlProp" Target="../ctrlProps/ctrlProp2014.xml"/><Relationship Id="rId2224" Type="http://schemas.openxmlformats.org/officeDocument/2006/relationships/ctrlProp" Target="../ctrlProps/ctrlProp2221.xml"/><Relationship Id="rId2669" Type="http://schemas.openxmlformats.org/officeDocument/2006/relationships/ctrlProp" Target="../ctrlProps/ctrlProp2666.xml"/><Relationship Id="rId2876" Type="http://schemas.openxmlformats.org/officeDocument/2006/relationships/table" Target="../tables/table186.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1685" Type="http://schemas.openxmlformats.org/officeDocument/2006/relationships/ctrlProp" Target="../ctrlProps/ctrlProp1682.xml"/><Relationship Id="rId1892" Type="http://schemas.openxmlformats.org/officeDocument/2006/relationships/ctrlProp" Target="../ctrlProps/ctrlProp1889.xml"/><Relationship Id="rId2431" Type="http://schemas.openxmlformats.org/officeDocument/2006/relationships/ctrlProp" Target="../ctrlProps/ctrlProp2428.xml"/><Relationship Id="rId2529" Type="http://schemas.openxmlformats.org/officeDocument/2006/relationships/ctrlProp" Target="../ctrlProps/ctrlProp2526.xml"/><Relationship Id="rId2736" Type="http://schemas.openxmlformats.org/officeDocument/2006/relationships/table" Target="../tables/table46.xml"/><Relationship Id="rId610" Type="http://schemas.openxmlformats.org/officeDocument/2006/relationships/ctrlProp" Target="../ctrlProps/ctrlProp607.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1545" Type="http://schemas.openxmlformats.org/officeDocument/2006/relationships/ctrlProp" Target="../ctrlProps/ctrlProp1542.xml"/><Relationship Id="rId1100" Type="http://schemas.openxmlformats.org/officeDocument/2006/relationships/ctrlProp" Target="../ctrlProps/ctrlProp1097.xml"/><Relationship Id="rId1405" Type="http://schemas.openxmlformats.org/officeDocument/2006/relationships/ctrlProp" Target="../ctrlProps/ctrlProp1402.xml"/><Relationship Id="rId1752" Type="http://schemas.openxmlformats.org/officeDocument/2006/relationships/ctrlProp" Target="../ctrlProps/ctrlProp1749.xml"/><Relationship Id="rId2803" Type="http://schemas.openxmlformats.org/officeDocument/2006/relationships/table" Target="../tables/table113.xml"/><Relationship Id="rId44" Type="http://schemas.openxmlformats.org/officeDocument/2006/relationships/ctrlProp" Target="../ctrlProps/ctrlProp41.xml"/><Relationship Id="rId1612" Type="http://schemas.openxmlformats.org/officeDocument/2006/relationships/ctrlProp" Target="../ctrlProps/ctrlProp1609.xml"/><Relationship Id="rId1917" Type="http://schemas.openxmlformats.org/officeDocument/2006/relationships/ctrlProp" Target="../ctrlProps/ctrlProp1914.xml"/><Relationship Id="rId193" Type="http://schemas.openxmlformats.org/officeDocument/2006/relationships/ctrlProp" Target="../ctrlProps/ctrlProp190.xml"/><Relationship Id="rId498" Type="http://schemas.openxmlformats.org/officeDocument/2006/relationships/ctrlProp" Target="../ctrlProps/ctrlProp495.xml"/><Relationship Id="rId2081" Type="http://schemas.openxmlformats.org/officeDocument/2006/relationships/ctrlProp" Target="../ctrlProps/ctrlProp2078.xml"/><Relationship Id="rId2179" Type="http://schemas.openxmlformats.org/officeDocument/2006/relationships/ctrlProp" Target="../ctrlProps/ctrlProp2176.xml"/><Relationship Id="rId260" Type="http://schemas.openxmlformats.org/officeDocument/2006/relationships/ctrlProp" Target="../ctrlProps/ctrlProp257.xml"/><Relationship Id="rId2386" Type="http://schemas.openxmlformats.org/officeDocument/2006/relationships/ctrlProp" Target="../ctrlProps/ctrlProp2383.xml"/><Relationship Id="rId2593" Type="http://schemas.openxmlformats.org/officeDocument/2006/relationships/ctrlProp" Target="../ctrlProps/ctrlProp2590.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2039" Type="http://schemas.openxmlformats.org/officeDocument/2006/relationships/ctrlProp" Target="../ctrlProps/ctrlProp2036.xml"/><Relationship Id="rId2246" Type="http://schemas.openxmlformats.org/officeDocument/2006/relationships/ctrlProp" Target="../ctrlProps/ctrlProp2243.xml"/><Relationship Id="rId2453" Type="http://schemas.openxmlformats.org/officeDocument/2006/relationships/ctrlProp" Target="../ctrlProps/ctrlProp2450.xml"/><Relationship Id="rId2660" Type="http://schemas.openxmlformats.org/officeDocument/2006/relationships/ctrlProp" Target="../ctrlProps/ctrlProp2657.xml"/><Relationship Id="rId2898" Type="http://schemas.openxmlformats.org/officeDocument/2006/relationships/table" Target="../tables/table208.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106" Type="http://schemas.openxmlformats.org/officeDocument/2006/relationships/ctrlProp" Target="../ctrlProps/ctrlProp2103.xml"/><Relationship Id="rId2313" Type="http://schemas.openxmlformats.org/officeDocument/2006/relationships/ctrlProp" Target="../ctrlProps/ctrlProp2310.xml"/><Relationship Id="rId2520" Type="http://schemas.openxmlformats.org/officeDocument/2006/relationships/ctrlProp" Target="../ctrlProps/ctrlProp2517.xml"/><Relationship Id="rId2758" Type="http://schemas.openxmlformats.org/officeDocument/2006/relationships/table" Target="../tables/table68.xml"/><Relationship Id="rId937" Type="http://schemas.openxmlformats.org/officeDocument/2006/relationships/ctrlProp" Target="../ctrlProps/ctrlProp934.xml"/><Relationship Id="rId1122" Type="http://schemas.openxmlformats.org/officeDocument/2006/relationships/ctrlProp" Target="../ctrlProps/ctrlProp1119.xml"/><Relationship Id="rId1567" Type="http://schemas.openxmlformats.org/officeDocument/2006/relationships/ctrlProp" Target="../ctrlProps/ctrlProp1564.xml"/><Relationship Id="rId1774" Type="http://schemas.openxmlformats.org/officeDocument/2006/relationships/ctrlProp" Target="../ctrlProps/ctrlProp1771.xml"/><Relationship Id="rId1981" Type="http://schemas.openxmlformats.org/officeDocument/2006/relationships/ctrlProp" Target="../ctrlProps/ctrlProp1978.xml"/><Relationship Id="rId2618" Type="http://schemas.openxmlformats.org/officeDocument/2006/relationships/ctrlProp" Target="../ctrlProps/ctrlProp2615.xml"/><Relationship Id="rId2825" Type="http://schemas.openxmlformats.org/officeDocument/2006/relationships/table" Target="../tables/table135.xml"/><Relationship Id="rId66" Type="http://schemas.openxmlformats.org/officeDocument/2006/relationships/ctrlProp" Target="../ctrlProps/ctrlProp63.xml"/><Relationship Id="rId1427" Type="http://schemas.openxmlformats.org/officeDocument/2006/relationships/ctrlProp" Target="../ctrlProps/ctrlProp1424.xml"/><Relationship Id="rId1634" Type="http://schemas.openxmlformats.org/officeDocument/2006/relationships/ctrlProp" Target="../ctrlProps/ctrlProp1631.xml"/><Relationship Id="rId1841" Type="http://schemas.openxmlformats.org/officeDocument/2006/relationships/ctrlProp" Target="../ctrlProps/ctrlProp1838.xml"/><Relationship Id="rId1939" Type="http://schemas.openxmlformats.org/officeDocument/2006/relationships/ctrlProp" Target="../ctrlProps/ctrlProp1936.xml"/><Relationship Id="rId1701" Type="http://schemas.openxmlformats.org/officeDocument/2006/relationships/ctrlProp" Target="../ctrlProps/ctrlProp1698.xml"/><Relationship Id="rId282" Type="http://schemas.openxmlformats.org/officeDocument/2006/relationships/ctrlProp" Target="../ctrlProps/ctrlProp279.xml"/><Relationship Id="rId587" Type="http://schemas.openxmlformats.org/officeDocument/2006/relationships/ctrlProp" Target="../ctrlProps/ctrlProp584.xml"/><Relationship Id="rId2170" Type="http://schemas.openxmlformats.org/officeDocument/2006/relationships/ctrlProp" Target="../ctrlProps/ctrlProp2167.xml"/><Relationship Id="rId2268" Type="http://schemas.openxmlformats.org/officeDocument/2006/relationships/ctrlProp" Target="../ctrlProps/ctrlProp226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2030" Type="http://schemas.openxmlformats.org/officeDocument/2006/relationships/ctrlProp" Target="../ctrlProps/ctrlProp2027.xml"/><Relationship Id="rId2128" Type="http://schemas.openxmlformats.org/officeDocument/2006/relationships/ctrlProp" Target="../ctrlProps/ctrlProp2125.xml"/><Relationship Id="rId2475" Type="http://schemas.openxmlformats.org/officeDocument/2006/relationships/ctrlProp" Target="../ctrlProps/ctrlProp2472.xml"/><Relationship Id="rId2682" Type="http://schemas.openxmlformats.org/officeDocument/2006/relationships/ctrlProp" Target="../ctrlProps/ctrlProp2679.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ctrlProp" Target="../ctrlProps/ctrlProp1488.xml"/><Relationship Id="rId1589" Type="http://schemas.openxmlformats.org/officeDocument/2006/relationships/ctrlProp" Target="../ctrlProps/ctrlProp1586.xml"/><Relationship Id="rId2335" Type="http://schemas.openxmlformats.org/officeDocument/2006/relationships/ctrlProp" Target="../ctrlProps/ctrlProp2332.xml"/><Relationship Id="rId2542" Type="http://schemas.openxmlformats.org/officeDocument/2006/relationships/ctrlProp" Target="../ctrlProps/ctrlProp2539.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1796" Type="http://schemas.openxmlformats.org/officeDocument/2006/relationships/ctrlProp" Target="../ctrlProps/ctrlProp1793.xml"/><Relationship Id="rId2402" Type="http://schemas.openxmlformats.org/officeDocument/2006/relationships/ctrlProp" Target="../ctrlProps/ctrlProp2399.xml"/><Relationship Id="rId2847" Type="http://schemas.openxmlformats.org/officeDocument/2006/relationships/table" Target="../tables/table157.xml"/><Relationship Id="rId88" Type="http://schemas.openxmlformats.org/officeDocument/2006/relationships/ctrlProp" Target="../ctrlProps/ctrlProp8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1656" Type="http://schemas.openxmlformats.org/officeDocument/2006/relationships/ctrlProp" Target="../ctrlProps/ctrlProp1653.xml"/><Relationship Id="rId1863" Type="http://schemas.openxmlformats.org/officeDocument/2006/relationships/ctrlProp" Target="../ctrlProps/ctrlProp1860.xml"/><Relationship Id="rId2707" Type="http://schemas.openxmlformats.org/officeDocument/2006/relationships/table" Target="../tables/table17.xml"/><Relationship Id="rId2914" Type="http://schemas.openxmlformats.org/officeDocument/2006/relationships/table" Target="../tables/table224.xml"/><Relationship Id="rId1309" Type="http://schemas.openxmlformats.org/officeDocument/2006/relationships/ctrlProp" Target="../ctrlProps/ctrlProp1306.xml"/><Relationship Id="rId1516" Type="http://schemas.openxmlformats.org/officeDocument/2006/relationships/ctrlProp" Target="../ctrlProps/ctrlProp1513.xml"/><Relationship Id="rId1723" Type="http://schemas.openxmlformats.org/officeDocument/2006/relationships/ctrlProp" Target="../ctrlProps/ctrlProp1720.xml"/><Relationship Id="rId1930" Type="http://schemas.openxmlformats.org/officeDocument/2006/relationships/ctrlProp" Target="../ctrlProps/ctrlProp1927.xml"/><Relationship Id="rId15" Type="http://schemas.openxmlformats.org/officeDocument/2006/relationships/ctrlProp" Target="../ctrlProps/ctrlProp12.xml"/><Relationship Id="rId2192" Type="http://schemas.openxmlformats.org/officeDocument/2006/relationships/ctrlProp" Target="../ctrlProps/ctrlProp2189.xml"/><Relationship Id="rId164" Type="http://schemas.openxmlformats.org/officeDocument/2006/relationships/ctrlProp" Target="../ctrlProps/ctrlProp161.xml"/><Relationship Id="rId371" Type="http://schemas.openxmlformats.org/officeDocument/2006/relationships/ctrlProp" Target="../ctrlProps/ctrlProp368.xml"/><Relationship Id="rId2052" Type="http://schemas.openxmlformats.org/officeDocument/2006/relationships/ctrlProp" Target="../ctrlProps/ctrlProp2049.xml"/><Relationship Id="rId2497" Type="http://schemas.openxmlformats.org/officeDocument/2006/relationships/ctrlProp" Target="../ctrlProps/ctrlProp2494.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357" Type="http://schemas.openxmlformats.org/officeDocument/2006/relationships/ctrlProp" Target="../ctrlProps/ctrlProp2354.xml"/><Relationship Id="rId2564" Type="http://schemas.openxmlformats.org/officeDocument/2006/relationships/ctrlProp" Target="../ctrlProps/ctrlProp2561.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2217" Type="http://schemas.openxmlformats.org/officeDocument/2006/relationships/ctrlProp" Target="../ctrlProps/ctrlProp2214.xml"/><Relationship Id="rId2771" Type="http://schemas.openxmlformats.org/officeDocument/2006/relationships/table" Target="../tables/table81.xml"/><Relationship Id="rId2869" Type="http://schemas.openxmlformats.org/officeDocument/2006/relationships/table" Target="../tables/table179.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1580" Type="http://schemas.openxmlformats.org/officeDocument/2006/relationships/ctrlProp" Target="../ctrlProps/ctrlProp1577.xml"/><Relationship Id="rId1678" Type="http://schemas.openxmlformats.org/officeDocument/2006/relationships/ctrlProp" Target="../ctrlProps/ctrlProp1675.xml"/><Relationship Id="rId1885" Type="http://schemas.openxmlformats.org/officeDocument/2006/relationships/ctrlProp" Target="../ctrlProps/ctrlProp1882.xml"/><Relationship Id="rId2424" Type="http://schemas.openxmlformats.org/officeDocument/2006/relationships/ctrlProp" Target="../ctrlProps/ctrlProp2421.xml"/><Relationship Id="rId2631" Type="http://schemas.openxmlformats.org/officeDocument/2006/relationships/ctrlProp" Target="../ctrlProps/ctrlProp2628.xml"/><Relationship Id="rId2729" Type="http://schemas.openxmlformats.org/officeDocument/2006/relationships/table" Target="../tables/table39.xml"/><Relationship Id="rId603" Type="http://schemas.openxmlformats.org/officeDocument/2006/relationships/ctrlProp" Target="../ctrlProps/ctrlProp600.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1538" Type="http://schemas.openxmlformats.org/officeDocument/2006/relationships/ctrlProp" Target="../ctrlProps/ctrlProp1535.xml"/><Relationship Id="rId1300" Type="http://schemas.openxmlformats.org/officeDocument/2006/relationships/ctrlProp" Target="../ctrlProps/ctrlProp1297.xml"/><Relationship Id="rId1745" Type="http://schemas.openxmlformats.org/officeDocument/2006/relationships/ctrlProp" Target="../ctrlProps/ctrlProp1742.xml"/><Relationship Id="rId1952" Type="http://schemas.openxmlformats.org/officeDocument/2006/relationships/ctrlProp" Target="../ctrlProps/ctrlProp1949.xml"/><Relationship Id="rId37" Type="http://schemas.openxmlformats.org/officeDocument/2006/relationships/ctrlProp" Target="../ctrlProps/ctrlProp34.xml"/><Relationship Id="rId1605" Type="http://schemas.openxmlformats.org/officeDocument/2006/relationships/ctrlProp" Target="../ctrlProps/ctrlProp1602.xml"/><Relationship Id="rId1812" Type="http://schemas.openxmlformats.org/officeDocument/2006/relationships/ctrlProp" Target="../ctrlProps/ctrlProp1809.xml"/><Relationship Id="rId186" Type="http://schemas.openxmlformats.org/officeDocument/2006/relationships/ctrlProp" Target="../ctrlProps/ctrlProp183.xml"/><Relationship Id="rId393" Type="http://schemas.openxmlformats.org/officeDocument/2006/relationships/ctrlProp" Target="../ctrlProps/ctrlProp390.xml"/><Relationship Id="rId2074" Type="http://schemas.openxmlformats.org/officeDocument/2006/relationships/ctrlProp" Target="../ctrlProps/ctrlProp2071.xml"/><Relationship Id="rId2281" Type="http://schemas.openxmlformats.org/officeDocument/2006/relationships/ctrlProp" Target="../ctrlProps/ctrlProp227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1090" Type="http://schemas.openxmlformats.org/officeDocument/2006/relationships/ctrlProp" Target="../ctrlProps/ctrlProp1087.xml"/><Relationship Id="rId2141" Type="http://schemas.openxmlformats.org/officeDocument/2006/relationships/ctrlProp" Target="../ctrlProps/ctrlProp2138.xml"/><Relationship Id="rId2379" Type="http://schemas.openxmlformats.org/officeDocument/2006/relationships/ctrlProp" Target="../ctrlProps/ctrlProp2376.xml"/><Relationship Id="rId2586" Type="http://schemas.openxmlformats.org/officeDocument/2006/relationships/ctrlProp" Target="../ctrlProps/ctrlProp2583.xml"/><Relationship Id="rId2793" Type="http://schemas.openxmlformats.org/officeDocument/2006/relationships/table" Target="../tables/table103.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2001" Type="http://schemas.openxmlformats.org/officeDocument/2006/relationships/ctrlProp" Target="../ctrlProps/ctrlProp1998.xml"/><Relationship Id="rId2239" Type="http://schemas.openxmlformats.org/officeDocument/2006/relationships/ctrlProp" Target="../ctrlProps/ctrlProp2236.xml"/><Relationship Id="rId2446" Type="http://schemas.openxmlformats.org/officeDocument/2006/relationships/ctrlProp" Target="../ctrlProps/ctrlProp2443.xml"/><Relationship Id="rId2653" Type="http://schemas.openxmlformats.org/officeDocument/2006/relationships/ctrlProp" Target="../ctrlProps/ctrlProp2650.xml"/><Relationship Id="rId2860" Type="http://schemas.openxmlformats.org/officeDocument/2006/relationships/table" Target="../tables/table170.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306" Type="http://schemas.openxmlformats.org/officeDocument/2006/relationships/ctrlProp" Target="../ctrlProps/ctrlProp2303.xml"/><Relationship Id="rId2513" Type="http://schemas.openxmlformats.org/officeDocument/2006/relationships/ctrlProp" Target="../ctrlProps/ctrlProp2510.xml"/><Relationship Id="rId1115" Type="http://schemas.openxmlformats.org/officeDocument/2006/relationships/ctrlProp" Target="../ctrlProps/ctrlProp1112.xml"/><Relationship Id="rId1322" Type="http://schemas.openxmlformats.org/officeDocument/2006/relationships/ctrlProp" Target="../ctrlProps/ctrlProp1319.xml"/><Relationship Id="rId1767" Type="http://schemas.openxmlformats.org/officeDocument/2006/relationships/ctrlProp" Target="../ctrlProps/ctrlProp1764.xml"/><Relationship Id="rId1974" Type="http://schemas.openxmlformats.org/officeDocument/2006/relationships/ctrlProp" Target="../ctrlProps/ctrlProp1971.xml"/><Relationship Id="rId2720" Type="http://schemas.openxmlformats.org/officeDocument/2006/relationships/table" Target="../tables/table30.xml"/><Relationship Id="rId2818" Type="http://schemas.openxmlformats.org/officeDocument/2006/relationships/table" Target="../tables/table128.xml"/><Relationship Id="rId59" Type="http://schemas.openxmlformats.org/officeDocument/2006/relationships/ctrlProp" Target="../ctrlProps/ctrlProp56.xml"/><Relationship Id="rId1627" Type="http://schemas.openxmlformats.org/officeDocument/2006/relationships/ctrlProp" Target="../ctrlProps/ctrlProp1624.xml"/><Relationship Id="rId1834" Type="http://schemas.openxmlformats.org/officeDocument/2006/relationships/ctrlProp" Target="../ctrlProps/ctrlProp1831.xml"/><Relationship Id="rId2096" Type="http://schemas.openxmlformats.org/officeDocument/2006/relationships/ctrlProp" Target="../ctrlProps/ctrlProp2093.xml"/><Relationship Id="rId1901" Type="http://schemas.openxmlformats.org/officeDocument/2006/relationships/ctrlProp" Target="../ctrlProps/ctrlProp1898.xml"/><Relationship Id="rId275" Type="http://schemas.openxmlformats.org/officeDocument/2006/relationships/ctrlProp" Target="../ctrlProps/ctrlProp272.xml"/><Relationship Id="rId482" Type="http://schemas.openxmlformats.org/officeDocument/2006/relationships/ctrlProp" Target="../ctrlProps/ctrlProp479.xml"/><Relationship Id="rId2163" Type="http://schemas.openxmlformats.org/officeDocument/2006/relationships/ctrlProp" Target="../ctrlProps/ctrlProp2160.xml"/><Relationship Id="rId2370" Type="http://schemas.openxmlformats.org/officeDocument/2006/relationships/ctrlProp" Target="../ctrlProps/ctrlProp236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3" Type="http://schemas.openxmlformats.org/officeDocument/2006/relationships/ctrlProp" Target="../ctrlProps/ctrlProp2020.xml"/><Relationship Id="rId2230" Type="http://schemas.openxmlformats.org/officeDocument/2006/relationships/ctrlProp" Target="../ctrlProps/ctrlProp2227.xml"/><Relationship Id="rId2468" Type="http://schemas.openxmlformats.org/officeDocument/2006/relationships/ctrlProp" Target="../ctrlProps/ctrlProp2465.xml"/><Relationship Id="rId2675" Type="http://schemas.openxmlformats.org/officeDocument/2006/relationships/ctrlProp" Target="../ctrlProps/ctrlProp2672.xml"/><Relationship Id="rId2882" Type="http://schemas.openxmlformats.org/officeDocument/2006/relationships/table" Target="../tables/table192.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1691" Type="http://schemas.openxmlformats.org/officeDocument/2006/relationships/ctrlProp" Target="../ctrlProps/ctrlProp1688.xml"/><Relationship Id="rId2328" Type="http://schemas.openxmlformats.org/officeDocument/2006/relationships/ctrlProp" Target="../ctrlProps/ctrlProp2325.xml"/><Relationship Id="rId2535" Type="http://schemas.openxmlformats.org/officeDocument/2006/relationships/ctrlProp" Target="../ctrlProps/ctrlProp2532.xml"/><Relationship Id="rId2742" Type="http://schemas.openxmlformats.org/officeDocument/2006/relationships/table" Target="../tables/table52.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ctrlProp" Target="../ctrlProps/ctrlProp1548.xml"/><Relationship Id="rId1789" Type="http://schemas.openxmlformats.org/officeDocument/2006/relationships/ctrlProp" Target="../ctrlProps/ctrlProp1786.xml"/><Relationship Id="rId1996" Type="http://schemas.openxmlformats.org/officeDocument/2006/relationships/ctrlProp" Target="../ctrlProps/ctrlProp1993.xml"/><Relationship Id="rId2602" Type="http://schemas.openxmlformats.org/officeDocument/2006/relationships/ctrlProp" Target="../ctrlProps/ctrlProp2599.xml"/><Relationship Id="rId50" Type="http://schemas.openxmlformats.org/officeDocument/2006/relationships/ctrlProp" Target="../ctrlProps/ctrlProp47.xml"/><Relationship Id="rId1204" Type="http://schemas.openxmlformats.org/officeDocument/2006/relationships/ctrlProp" Target="../ctrlProps/ctrlProp1201.xml"/><Relationship Id="rId1411" Type="http://schemas.openxmlformats.org/officeDocument/2006/relationships/ctrlProp" Target="../ctrlProps/ctrlProp1408.xml"/><Relationship Id="rId1649" Type="http://schemas.openxmlformats.org/officeDocument/2006/relationships/ctrlProp" Target="../ctrlProps/ctrlProp1646.xml"/><Relationship Id="rId1856" Type="http://schemas.openxmlformats.org/officeDocument/2006/relationships/ctrlProp" Target="../ctrlProps/ctrlProp1853.xml"/><Relationship Id="rId2907" Type="http://schemas.openxmlformats.org/officeDocument/2006/relationships/table" Target="../tables/table217.xml"/><Relationship Id="rId1509" Type="http://schemas.openxmlformats.org/officeDocument/2006/relationships/ctrlProp" Target="../ctrlProps/ctrlProp1506.xml"/><Relationship Id="rId1716" Type="http://schemas.openxmlformats.org/officeDocument/2006/relationships/ctrlProp" Target="../ctrlProps/ctrlProp1713.xml"/><Relationship Id="rId1923" Type="http://schemas.openxmlformats.org/officeDocument/2006/relationships/ctrlProp" Target="../ctrlProps/ctrlProp1920.xml"/><Relationship Id="rId297" Type="http://schemas.openxmlformats.org/officeDocument/2006/relationships/ctrlProp" Target="../ctrlProps/ctrlProp294.xml"/><Relationship Id="rId2185" Type="http://schemas.openxmlformats.org/officeDocument/2006/relationships/ctrlProp" Target="../ctrlProps/ctrlProp2182.xml"/><Relationship Id="rId2392" Type="http://schemas.openxmlformats.org/officeDocument/2006/relationships/ctrlProp" Target="../ctrlProps/ctrlProp2389.xml"/><Relationship Id="rId157" Type="http://schemas.openxmlformats.org/officeDocument/2006/relationships/ctrlProp" Target="../ctrlProps/ctrlProp154.xml"/><Relationship Id="rId364" Type="http://schemas.openxmlformats.org/officeDocument/2006/relationships/ctrlProp" Target="../ctrlProps/ctrlProp361.xml"/><Relationship Id="rId2045" Type="http://schemas.openxmlformats.org/officeDocument/2006/relationships/ctrlProp" Target="../ctrlProps/ctrlProp2042.xml"/><Relationship Id="rId2697" Type="http://schemas.openxmlformats.org/officeDocument/2006/relationships/table" Target="../tables/table7.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2252" Type="http://schemas.openxmlformats.org/officeDocument/2006/relationships/ctrlProp" Target="../ctrlProps/ctrlProp2249.xml"/><Relationship Id="rId2557" Type="http://schemas.openxmlformats.org/officeDocument/2006/relationships/ctrlProp" Target="../ctrlProps/ctrlProp2554.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2112" Type="http://schemas.openxmlformats.org/officeDocument/2006/relationships/ctrlProp" Target="../ctrlProps/ctrlProp2109.xml"/><Relationship Id="rId2417" Type="http://schemas.openxmlformats.org/officeDocument/2006/relationships/ctrlProp" Target="../ctrlProps/ctrlProp2414.xml"/><Relationship Id="rId2764" Type="http://schemas.openxmlformats.org/officeDocument/2006/relationships/table" Target="../tables/table74.xml"/><Relationship Id="rId943" Type="http://schemas.openxmlformats.org/officeDocument/2006/relationships/ctrlProp" Target="../ctrlProps/ctrlProp940.xml"/><Relationship Id="rId1019" Type="http://schemas.openxmlformats.org/officeDocument/2006/relationships/ctrlProp" Target="../ctrlProps/ctrlProp1016.xml"/><Relationship Id="rId1573" Type="http://schemas.openxmlformats.org/officeDocument/2006/relationships/ctrlProp" Target="../ctrlProps/ctrlProp1570.xml"/><Relationship Id="rId1780" Type="http://schemas.openxmlformats.org/officeDocument/2006/relationships/ctrlProp" Target="../ctrlProps/ctrlProp1777.xml"/><Relationship Id="rId1878" Type="http://schemas.openxmlformats.org/officeDocument/2006/relationships/ctrlProp" Target="../ctrlProps/ctrlProp1875.xml"/><Relationship Id="rId2624" Type="http://schemas.openxmlformats.org/officeDocument/2006/relationships/ctrlProp" Target="../ctrlProps/ctrlProp2621.xml"/><Relationship Id="rId2831" Type="http://schemas.openxmlformats.org/officeDocument/2006/relationships/table" Target="../tables/table141.xml"/><Relationship Id="rId72" Type="http://schemas.openxmlformats.org/officeDocument/2006/relationships/ctrlProp" Target="../ctrlProps/ctrlProp6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1640" Type="http://schemas.openxmlformats.org/officeDocument/2006/relationships/ctrlProp" Target="../ctrlProps/ctrlProp1637.xml"/><Relationship Id="rId1738" Type="http://schemas.openxmlformats.org/officeDocument/2006/relationships/ctrlProp" Target="../ctrlProps/ctrlProp1735.xml"/><Relationship Id="rId1500" Type="http://schemas.openxmlformats.org/officeDocument/2006/relationships/ctrlProp" Target="../ctrlProps/ctrlProp1497.xml"/><Relationship Id="rId1945" Type="http://schemas.openxmlformats.org/officeDocument/2006/relationships/ctrlProp" Target="../ctrlProps/ctrlProp1942.xml"/><Relationship Id="rId1805" Type="http://schemas.openxmlformats.org/officeDocument/2006/relationships/ctrlProp" Target="../ctrlProps/ctrlProp1802.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2067" Type="http://schemas.openxmlformats.org/officeDocument/2006/relationships/ctrlProp" Target="../ctrlProps/ctrlProp2064.xml"/><Relationship Id="rId2274" Type="http://schemas.openxmlformats.org/officeDocument/2006/relationships/ctrlProp" Target="../ctrlProps/ctrlProp2271.xml"/><Relationship Id="rId2481" Type="http://schemas.openxmlformats.org/officeDocument/2006/relationships/ctrlProp" Target="../ctrlProps/ctrlProp2478.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2134" Type="http://schemas.openxmlformats.org/officeDocument/2006/relationships/ctrlProp" Target="../ctrlProps/ctrlProp2131.xml"/><Relationship Id="rId2341" Type="http://schemas.openxmlformats.org/officeDocument/2006/relationships/ctrlProp" Target="../ctrlProps/ctrlProp2338.xml"/><Relationship Id="rId2579" Type="http://schemas.openxmlformats.org/officeDocument/2006/relationships/ctrlProp" Target="../ctrlProps/ctrlProp2576.xml"/><Relationship Id="rId2786" Type="http://schemas.openxmlformats.org/officeDocument/2006/relationships/table" Target="../tables/table96.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595" Type="http://schemas.openxmlformats.org/officeDocument/2006/relationships/ctrlProp" Target="../ctrlProps/ctrlProp1592.xml"/><Relationship Id="rId2439" Type="http://schemas.openxmlformats.org/officeDocument/2006/relationships/ctrlProp" Target="../ctrlProps/ctrlProp2436.xml"/><Relationship Id="rId2646" Type="http://schemas.openxmlformats.org/officeDocument/2006/relationships/ctrlProp" Target="../ctrlProps/ctrlProp2643.xml"/><Relationship Id="rId2853" Type="http://schemas.openxmlformats.org/officeDocument/2006/relationships/table" Target="../tables/table163.xml"/><Relationship Id="rId94" Type="http://schemas.openxmlformats.org/officeDocument/2006/relationships/ctrlProp" Target="../ctrlProps/ctrlProp91.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1662" Type="http://schemas.openxmlformats.org/officeDocument/2006/relationships/ctrlProp" Target="../ctrlProps/ctrlProp1659.xml"/><Relationship Id="rId2201" Type="http://schemas.openxmlformats.org/officeDocument/2006/relationships/ctrlProp" Target="../ctrlProps/ctrlProp2198.xml"/><Relationship Id="rId2506" Type="http://schemas.openxmlformats.org/officeDocument/2006/relationships/ctrlProp" Target="../ctrlProps/ctrlProp2503.xml"/><Relationship Id="rId1010" Type="http://schemas.openxmlformats.org/officeDocument/2006/relationships/ctrlProp" Target="../ctrlProps/ctrlProp1007.xml"/><Relationship Id="rId1108" Type="http://schemas.openxmlformats.org/officeDocument/2006/relationships/ctrlProp" Target="../ctrlProps/ctrlProp1105.xml"/><Relationship Id="rId1315" Type="http://schemas.openxmlformats.org/officeDocument/2006/relationships/ctrlProp" Target="../ctrlProps/ctrlProp1312.xml"/><Relationship Id="rId1967" Type="http://schemas.openxmlformats.org/officeDocument/2006/relationships/ctrlProp" Target="../ctrlProps/ctrlProp1964.xml"/><Relationship Id="rId2713" Type="http://schemas.openxmlformats.org/officeDocument/2006/relationships/table" Target="../tables/table23.xml"/><Relationship Id="rId2920" Type="http://schemas.openxmlformats.org/officeDocument/2006/relationships/comments" Target="../comments1.xml"/><Relationship Id="rId1522" Type="http://schemas.openxmlformats.org/officeDocument/2006/relationships/ctrlProp" Target="../ctrlProps/ctrlProp1519.xml"/><Relationship Id="rId21" Type="http://schemas.openxmlformats.org/officeDocument/2006/relationships/ctrlProp" Target="../ctrlProps/ctrlProp18.xml"/><Relationship Id="rId2089" Type="http://schemas.openxmlformats.org/officeDocument/2006/relationships/ctrlProp" Target="../ctrlProps/ctrlProp2086.xml"/><Relationship Id="rId2296" Type="http://schemas.openxmlformats.org/officeDocument/2006/relationships/ctrlProp" Target="../ctrlProps/ctrlProp2293.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2156" Type="http://schemas.openxmlformats.org/officeDocument/2006/relationships/ctrlProp" Target="../ctrlProps/ctrlProp2153.xml"/><Relationship Id="rId2363" Type="http://schemas.openxmlformats.org/officeDocument/2006/relationships/ctrlProp" Target="../ctrlProps/ctrlProp2360.xml"/><Relationship Id="rId2570" Type="http://schemas.openxmlformats.org/officeDocument/2006/relationships/ctrlProp" Target="../ctrlProps/ctrlProp2567.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172" Type="http://schemas.openxmlformats.org/officeDocument/2006/relationships/ctrlProp" Target="../ctrlProps/ctrlProp1169.xml"/><Relationship Id="rId2016" Type="http://schemas.openxmlformats.org/officeDocument/2006/relationships/ctrlProp" Target="../ctrlProps/ctrlProp2013.xml"/><Relationship Id="rId2223" Type="http://schemas.openxmlformats.org/officeDocument/2006/relationships/ctrlProp" Target="../ctrlProps/ctrlProp2220.xml"/><Relationship Id="rId2430" Type="http://schemas.openxmlformats.org/officeDocument/2006/relationships/ctrlProp" Target="../ctrlProps/ctrlProp2427.xml"/><Relationship Id="rId402" Type="http://schemas.openxmlformats.org/officeDocument/2006/relationships/ctrlProp" Target="../ctrlProps/ctrlProp399.xml"/><Relationship Id="rId1032" Type="http://schemas.openxmlformats.org/officeDocument/2006/relationships/ctrlProp" Target="../ctrlProps/ctrlProp1029.xml"/><Relationship Id="rId1989" Type="http://schemas.openxmlformats.org/officeDocument/2006/relationships/ctrlProp" Target="../ctrlProps/ctrlProp1986.xml"/><Relationship Id="rId1849" Type="http://schemas.openxmlformats.org/officeDocument/2006/relationships/ctrlProp" Target="../ctrlProps/ctrlProp1846.xml"/><Relationship Id="rId192" Type="http://schemas.openxmlformats.org/officeDocument/2006/relationships/ctrlProp" Target="../ctrlProps/ctrlProp189.xml"/><Relationship Id="rId1709" Type="http://schemas.openxmlformats.org/officeDocument/2006/relationships/ctrlProp" Target="../ctrlProps/ctrlProp1706.xml"/><Relationship Id="rId1916" Type="http://schemas.openxmlformats.org/officeDocument/2006/relationships/ctrlProp" Target="../ctrlProps/ctrlProp1913.xml"/><Relationship Id="rId2080" Type="http://schemas.openxmlformats.org/officeDocument/2006/relationships/ctrlProp" Target="../ctrlProps/ctrlProp2077.xml"/><Relationship Id="rId2897" Type="http://schemas.openxmlformats.org/officeDocument/2006/relationships/table" Target="../tables/table207.xml"/><Relationship Id="rId869" Type="http://schemas.openxmlformats.org/officeDocument/2006/relationships/ctrlProp" Target="../ctrlProps/ctrlProp866.xml"/><Relationship Id="rId1499" Type="http://schemas.openxmlformats.org/officeDocument/2006/relationships/ctrlProp" Target="../ctrlProps/ctrlProp1496.xml"/><Relationship Id="rId729" Type="http://schemas.openxmlformats.org/officeDocument/2006/relationships/ctrlProp" Target="../ctrlProps/ctrlProp726.xml"/><Relationship Id="rId1359" Type="http://schemas.openxmlformats.org/officeDocument/2006/relationships/ctrlProp" Target="../ctrlProps/ctrlProp1356.xml"/><Relationship Id="rId2757" Type="http://schemas.openxmlformats.org/officeDocument/2006/relationships/table" Target="../tables/table67.xml"/><Relationship Id="rId936" Type="http://schemas.openxmlformats.org/officeDocument/2006/relationships/ctrlProp" Target="../ctrlProps/ctrlProp933.xml"/><Relationship Id="rId1219" Type="http://schemas.openxmlformats.org/officeDocument/2006/relationships/ctrlProp" Target="../ctrlProps/ctrlProp1216.xml"/><Relationship Id="rId1566" Type="http://schemas.openxmlformats.org/officeDocument/2006/relationships/ctrlProp" Target="../ctrlProps/ctrlProp1563.xml"/><Relationship Id="rId1773" Type="http://schemas.openxmlformats.org/officeDocument/2006/relationships/ctrlProp" Target="../ctrlProps/ctrlProp1770.xml"/><Relationship Id="rId1980" Type="http://schemas.openxmlformats.org/officeDocument/2006/relationships/ctrlProp" Target="../ctrlProps/ctrlProp1977.xml"/><Relationship Id="rId2617" Type="http://schemas.openxmlformats.org/officeDocument/2006/relationships/ctrlProp" Target="../ctrlProps/ctrlProp2614.xml"/><Relationship Id="rId2824" Type="http://schemas.openxmlformats.org/officeDocument/2006/relationships/table" Target="../tables/table134.xml"/><Relationship Id="rId65" Type="http://schemas.openxmlformats.org/officeDocument/2006/relationships/ctrlProp" Target="../ctrlProps/ctrlProp62.xml"/><Relationship Id="rId1426" Type="http://schemas.openxmlformats.org/officeDocument/2006/relationships/ctrlProp" Target="../ctrlProps/ctrlProp1423.xml"/><Relationship Id="rId1633" Type="http://schemas.openxmlformats.org/officeDocument/2006/relationships/ctrlProp" Target="../ctrlProps/ctrlProp1630.xml"/><Relationship Id="rId1840" Type="http://schemas.openxmlformats.org/officeDocument/2006/relationships/ctrlProp" Target="../ctrlProps/ctrlProp1837.xml"/><Relationship Id="rId1700" Type="http://schemas.openxmlformats.org/officeDocument/2006/relationships/ctrlProp" Target="../ctrlProps/ctrlProp1697.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2267" Type="http://schemas.openxmlformats.org/officeDocument/2006/relationships/ctrlProp" Target="../ctrlProps/ctrlProp2264.xml"/><Relationship Id="rId2474" Type="http://schemas.openxmlformats.org/officeDocument/2006/relationships/ctrlProp" Target="../ctrlProps/ctrlProp2471.xml"/><Relationship Id="rId2681" Type="http://schemas.openxmlformats.org/officeDocument/2006/relationships/ctrlProp" Target="../ctrlProps/ctrlProp2678.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2127" Type="http://schemas.openxmlformats.org/officeDocument/2006/relationships/ctrlProp" Target="../ctrlProps/ctrlProp2124.xml"/><Relationship Id="rId2334" Type="http://schemas.openxmlformats.org/officeDocument/2006/relationships/ctrlProp" Target="../ctrlProps/ctrlProp2331.xml"/><Relationship Id="rId306" Type="http://schemas.openxmlformats.org/officeDocument/2006/relationships/ctrlProp" Target="../ctrlProps/ctrlProp303.xml"/><Relationship Id="rId860" Type="http://schemas.openxmlformats.org/officeDocument/2006/relationships/ctrlProp" Target="../ctrlProps/ctrlProp857.xml"/><Relationship Id="rId1143" Type="http://schemas.openxmlformats.org/officeDocument/2006/relationships/ctrlProp" Target="../ctrlProps/ctrlProp1140.xml"/><Relationship Id="rId2541" Type="http://schemas.openxmlformats.org/officeDocument/2006/relationships/ctrlProp" Target="../ctrlProps/ctrlProp2538.xml"/><Relationship Id="rId513" Type="http://schemas.openxmlformats.org/officeDocument/2006/relationships/ctrlProp" Target="../ctrlProps/ctrlProp510.xml"/><Relationship Id="rId720" Type="http://schemas.openxmlformats.org/officeDocument/2006/relationships/ctrlProp" Target="../ctrlProps/ctrlProp717.xml"/><Relationship Id="rId1350" Type="http://schemas.openxmlformats.org/officeDocument/2006/relationships/ctrlProp" Target="../ctrlProps/ctrlProp1347.xml"/><Relationship Id="rId2401" Type="http://schemas.openxmlformats.org/officeDocument/2006/relationships/ctrlProp" Target="../ctrlProps/ctrlProp2398.xml"/><Relationship Id="rId1003" Type="http://schemas.openxmlformats.org/officeDocument/2006/relationships/ctrlProp" Target="../ctrlProps/ctrlProp1000.xml"/><Relationship Id="rId1210" Type="http://schemas.openxmlformats.org/officeDocument/2006/relationships/ctrlProp" Target="../ctrlProps/ctrlProp1207.xml"/><Relationship Id="rId2191" Type="http://schemas.openxmlformats.org/officeDocument/2006/relationships/ctrlProp" Target="../ctrlProps/ctrlProp2188.xml"/><Relationship Id="rId163" Type="http://schemas.openxmlformats.org/officeDocument/2006/relationships/ctrlProp" Target="../ctrlProps/ctrlProp160.xml"/><Relationship Id="rId370" Type="http://schemas.openxmlformats.org/officeDocument/2006/relationships/ctrlProp" Target="../ctrlProps/ctrlProp367.xml"/><Relationship Id="rId2051" Type="http://schemas.openxmlformats.org/officeDocument/2006/relationships/ctrlProp" Target="../ctrlProps/ctrlProp2048.xml"/><Relationship Id="rId230" Type="http://schemas.openxmlformats.org/officeDocument/2006/relationships/ctrlProp" Target="../ctrlProps/ctrlProp227.xml"/><Relationship Id="rId2868" Type="http://schemas.openxmlformats.org/officeDocument/2006/relationships/table" Target="../tables/table178.xml"/><Relationship Id="rId1677" Type="http://schemas.openxmlformats.org/officeDocument/2006/relationships/ctrlProp" Target="../ctrlProps/ctrlProp1674.xml"/><Relationship Id="rId1884" Type="http://schemas.openxmlformats.org/officeDocument/2006/relationships/ctrlProp" Target="../ctrlProps/ctrlProp1881.xml"/><Relationship Id="rId2728" Type="http://schemas.openxmlformats.org/officeDocument/2006/relationships/table" Target="../tables/table38.xml"/><Relationship Id="rId907" Type="http://schemas.openxmlformats.org/officeDocument/2006/relationships/ctrlProp" Target="../ctrlProps/ctrlProp904.xml"/><Relationship Id="rId1537" Type="http://schemas.openxmlformats.org/officeDocument/2006/relationships/ctrlProp" Target="../ctrlProps/ctrlProp1534.xml"/><Relationship Id="rId1744" Type="http://schemas.openxmlformats.org/officeDocument/2006/relationships/ctrlProp" Target="../ctrlProps/ctrlProp1741.xml"/><Relationship Id="rId1951" Type="http://schemas.openxmlformats.org/officeDocument/2006/relationships/ctrlProp" Target="../ctrlProps/ctrlProp1948.xml"/><Relationship Id="rId36" Type="http://schemas.openxmlformats.org/officeDocument/2006/relationships/ctrlProp" Target="../ctrlProps/ctrlProp33.xml"/><Relationship Id="rId1604" Type="http://schemas.openxmlformats.org/officeDocument/2006/relationships/ctrlProp" Target="../ctrlProps/ctrlProp1601.xml"/><Relationship Id="rId1811" Type="http://schemas.openxmlformats.org/officeDocument/2006/relationships/ctrlProp" Target="../ctrlProps/ctrlProp1808.xml"/><Relationship Id="rId697" Type="http://schemas.openxmlformats.org/officeDocument/2006/relationships/ctrlProp" Target="../ctrlProps/ctrlProp694.xml"/><Relationship Id="rId2378" Type="http://schemas.openxmlformats.org/officeDocument/2006/relationships/ctrlProp" Target="../ctrlProps/ctrlProp2375.xml"/><Relationship Id="rId1187" Type="http://schemas.openxmlformats.org/officeDocument/2006/relationships/ctrlProp" Target="../ctrlProps/ctrlProp1184.xml"/><Relationship Id="rId2585" Type="http://schemas.openxmlformats.org/officeDocument/2006/relationships/ctrlProp" Target="../ctrlProps/ctrlProp2582.xml"/><Relationship Id="rId2792" Type="http://schemas.openxmlformats.org/officeDocument/2006/relationships/table" Target="../tables/table102.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2238" Type="http://schemas.openxmlformats.org/officeDocument/2006/relationships/ctrlProp" Target="../ctrlProps/ctrlProp2235.xml"/><Relationship Id="rId2445" Type="http://schemas.openxmlformats.org/officeDocument/2006/relationships/ctrlProp" Target="../ctrlProps/ctrlProp2442.xml"/><Relationship Id="rId2652" Type="http://schemas.openxmlformats.org/officeDocument/2006/relationships/ctrlProp" Target="../ctrlProps/ctrlProp2649.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2305" Type="http://schemas.openxmlformats.org/officeDocument/2006/relationships/ctrlProp" Target="../ctrlProps/ctrlProp2302.xml"/><Relationship Id="rId2512" Type="http://schemas.openxmlformats.org/officeDocument/2006/relationships/ctrlProp" Target="../ctrlProps/ctrlProp2509.xml"/><Relationship Id="rId1114" Type="http://schemas.openxmlformats.org/officeDocument/2006/relationships/ctrlProp" Target="../ctrlProps/ctrlProp1111.xml"/><Relationship Id="rId1321" Type="http://schemas.openxmlformats.org/officeDocument/2006/relationships/ctrlProp" Target="../ctrlProps/ctrlProp1318.xml"/><Relationship Id="rId2095" Type="http://schemas.openxmlformats.org/officeDocument/2006/relationships/ctrlProp" Target="../ctrlProps/ctrlProp2092.xml"/><Relationship Id="rId274" Type="http://schemas.openxmlformats.org/officeDocument/2006/relationships/ctrlProp" Target="../ctrlProps/ctrlProp271.xml"/><Relationship Id="rId481" Type="http://schemas.openxmlformats.org/officeDocument/2006/relationships/ctrlProp" Target="../ctrlProps/ctrlProp478.xml"/><Relationship Id="rId2162" Type="http://schemas.openxmlformats.org/officeDocument/2006/relationships/ctrlProp" Target="../ctrlProps/ctrlProp2159.xml"/><Relationship Id="rId134" Type="http://schemas.openxmlformats.org/officeDocument/2006/relationships/ctrlProp" Target="../ctrlProps/ctrlProp131.xml"/><Relationship Id="rId341" Type="http://schemas.openxmlformats.org/officeDocument/2006/relationships/ctrlProp" Target="../ctrlProps/ctrlProp338.xml"/><Relationship Id="rId2022" Type="http://schemas.openxmlformats.org/officeDocument/2006/relationships/ctrlProp" Target="../ctrlProps/ctrlProp2019.xml"/><Relationship Id="rId201" Type="http://schemas.openxmlformats.org/officeDocument/2006/relationships/ctrlProp" Target="../ctrlProps/ctrlProp198.xml"/><Relationship Id="rId1788" Type="http://schemas.openxmlformats.org/officeDocument/2006/relationships/ctrlProp" Target="../ctrlProps/ctrlProp1785.xml"/><Relationship Id="rId1995" Type="http://schemas.openxmlformats.org/officeDocument/2006/relationships/ctrlProp" Target="../ctrlProps/ctrlProp1992.xml"/><Relationship Id="rId2839" Type="http://schemas.openxmlformats.org/officeDocument/2006/relationships/table" Target="../tables/table149.xml"/><Relationship Id="rId1648" Type="http://schemas.openxmlformats.org/officeDocument/2006/relationships/ctrlProp" Target="../ctrlProps/ctrlProp1645.xml"/><Relationship Id="rId1508" Type="http://schemas.openxmlformats.org/officeDocument/2006/relationships/ctrlProp" Target="../ctrlProps/ctrlProp1505.xml"/><Relationship Id="rId1855" Type="http://schemas.openxmlformats.org/officeDocument/2006/relationships/ctrlProp" Target="../ctrlProps/ctrlProp1852.xml"/><Relationship Id="rId2906" Type="http://schemas.openxmlformats.org/officeDocument/2006/relationships/table" Target="../tables/table216.xml"/><Relationship Id="rId1715" Type="http://schemas.openxmlformats.org/officeDocument/2006/relationships/ctrlProp" Target="../ctrlProps/ctrlProp1712.xml"/><Relationship Id="rId1922" Type="http://schemas.openxmlformats.org/officeDocument/2006/relationships/ctrlProp" Target="../ctrlProps/ctrlProp1919.xml"/><Relationship Id="rId2489" Type="http://schemas.openxmlformats.org/officeDocument/2006/relationships/ctrlProp" Target="../ctrlProps/ctrlProp2486.xml"/><Relationship Id="rId2696" Type="http://schemas.openxmlformats.org/officeDocument/2006/relationships/table" Target="../tables/table6.xml"/><Relationship Id="rId668" Type="http://schemas.openxmlformats.org/officeDocument/2006/relationships/ctrlProp" Target="../ctrlProps/ctrlProp665.xml"/><Relationship Id="rId875" Type="http://schemas.openxmlformats.org/officeDocument/2006/relationships/ctrlProp" Target="../ctrlProps/ctrlProp872.xml"/><Relationship Id="rId1298" Type="http://schemas.openxmlformats.org/officeDocument/2006/relationships/ctrlProp" Target="../ctrlProps/ctrlProp1295.xml"/><Relationship Id="rId2349" Type="http://schemas.openxmlformats.org/officeDocument/2006/relationships/ctrlProp" Target="../ctrlProps/ctrlProp2346.xml"/><Relationship Id="rId2556" Type="http://schemas.openxmlformats.org/officeDocument/2006/relationships/ctrlProp" Target="../ctrlProps/ctrlProp2553.xml"/><Relationship Id="rId2763" Type="http://schemas.openxmlformats.org/officeDocument/2006/relationships/table" Target="../tables/table73.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572" Type="http://schemas.openxmlformats.org/officeDocument/2006/relationships/ctrlProp" Target="../ctrlProps/ctrlProp1569.xml"/><Relationship Id="rId2209" Type="http://schemas.openxmlformats.org/officeDocument/2006/relationships/ctrlProp" Target="../ctrlProps/ctrlProp2206.xml"/><Relationship Id="rId2416" Type="http://schemas.openxmlformats.org/officeDocument/2006/relationships/ctrlProp" Target="../ctrlProps/ctrlProp2413.xml"/><Relationship Id="rId2623" Type="http://schemas.openxmlformats.org/officeDocument/2006/relationships/ctrlProp" Target="../ctrlProps/ctrlProp2620.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2830" Type="http://schemas.openxmlformats.org/officeDocument/2006/relationships/table" Target="../tables/table140.xml"/><Relationship Id="rId71" Type="http://schemas.openxmlformats.org/officeDocument/2006/relationships/ctrlProp" Target="../ctrlProps/ctrlProp68.xml"/><Relationship Id="rId802" Type="http://schemas.openxmlformats.org/officeDocument/2006/relationships/ctrlProp" Target="../ctrlProps/ctrlProp799.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066" Type="http://schemas.openxmlformats.org/officeDocument/2006/relationships/ctrlProp" Target="../ctrlProps/ctrlProp2063.xml"/><Relationship Id="rId2273" Type="http://schemas.openxmlformats.org/officeDocument/2006/relationships/ctrlProp" Target="../ctrlProps/ctrlProp2270.xml"/><Relationship Id="rId2480" Type="http://schemas.openxmlformats.org/officeDocument/2006/relationships/ctrlProp" Target="../ctrlProps/ctrlProp2477.xml"/><Relationship Id="rId245" Type="http://schemas.openxmlformats.org/officeDocument/2006/relationships/ctrlProp" Target="../ctrlProps/ctrlProp242.xml"/><Relationship Id="rId452" Type="http://schemas.openxmlformats.org/officeDocument/2006/relationships/ctrlProp" Target="../ctrlProps/ctrlProp449.xml"/><Relationship Id="rId1082" Type="http://schemas.openxmlformats.org/officeDocument/2006/relationships/ctrlProp" Target="../ctrlProps/ctrlProp1079.xml"/><Relationship Id="rId2133" Type="http://schemas.openxmlformats.org/officeDocument/2006/relationships/ctrlProp" Target="../ctrlProps/ctrlProp2130.xml"/><Relationship Id="rId2340" Type="http://schemas.openxmlformats.org/officeDocument/2006/relationships/ctrlProp" Target="../ctrlProps/ctrlProp2337.xml"/><Relationship Id="rId105" Type="http://schemas.openxmlformats.org/officeDocument/2006/relationships/ctrlProp" Target="../ctrlProps/ctrlProp102.xml"/><Relationship Id="rId312" Type="http://schemas.openxmlformats.org/officeDocument/2006/relationships/ctrlProp" Target="../ctrlProps/ctrlProp309.xml"/><Relationship Id="rId2200" Type="http://schemas.openxmlformats.org/officeDocument/2006/relationships/ctrlProp" Target="../ctrlProps/ctrlProp2197.xml"/><Relationship Id="rId1899" Type="http://schemas.openxmlformats.org/officeDocument/2006/relationships/ctrlProp" Target="../ctrlProps/ctrlProp1896.xml"/><Relationship Id="rId1759" Type="http://schemas.openxmlformats.org/officeDocument/2006/relationships/ctrlProp" Target="../ctrlProps/ctrlProp1756.xml"/><Relationship Id="rId1966" Type="http://schemas.openxmlformats.org/officeDocument/2006/relationships/ctrlProp" Target="../ctrlProps/ctrlProp1963.xml"/><Relationship Id="rId1619" Type="http://schemas.openxmlformats.org/officeDocument/2006/relationships/ctrlProp" Target="../ctrlProps/ctrlProp1616.xml"/><Relationship Id="rId1826" Type="http://schemas.openxmlformats.org/officeDocument/2006/relationships/ctrlProp" Target="../ctrlProps/ctrlProp1823.xml"/><Relationship Id="rId779" Type="http://schemas.openxmlformats.org/officeDocument/2006/relationships/ctrlProp" Target="../ctrlProps/ctrlProp776.xml"/><Relationship Id="rId986" Type="http://schemas.openxmlformats.org/officeDocument/2006/relationships/ctrlProp" Target="../ctrlProps/ctrlProp983.xml"/><Relationship Id="rId2667" Type="http://schemas.openxmlformats.org/officeDocument/2006/relationships/ctrlProp" Target="../ctrlProps/ctrlProp2664.xml"/><Relationship Id="rId639" Type="http://schemas.openxmlformats.org/officeDocument/2006/relationships/ctrlProp" Target="../ctrlProps/ctrlProp636.xml"/><Relationship Id="rId1269" Type="http://schemas.openxmlformats.org/officeDocument/2006/relationships/ctrlProp" Target="../ctrlProps/ctrlProp1266.xml"/><Relationship Id="rId1476" Type="http://schemas.openxmlformats.org/officeDocument/2006/relationships/ctrlProp" Target="../ctrlProps/ctrlProp1473.xml"/><Relationship Id="rId2874" Type="http://schemas.openxmlformats.org/officeDocument/2006/relationships/table" Target="../tables/table184.xml"/><Relationship Id="rId846" Type="http://schemas.openxmlformats.org/officeDocument/2006/relationships/ctrlProp" Target="../ctrlProps/ctrlProp843.xml"/><Relationship Id="rId1129" Type="http://schemas.openxmlformats.org/officeDocument/2006/relationships/ctrlProp" Target="../ctrlProps/ctrlProp1126.xml"/><Relationship Id="rId1683" Type="http://schemas.openxmlformats.org/officeDocument/2006/relationships/ctrlProp" Target="../ctrlProps/ctrlProp1680.xml"/><Relationship Id="rId1890" Type="http://schemas.openxmlformats.org/officeDocument/2006/relationships/ctrlProp" Target="../ctrlProps/ctrlProp1887.xml"/><Relationship Id="rId2527" Type="http://schemas.openxmlformats.org/officeDocument/2006/relationships/ctrlProp" Target="../ctrlProps/ctrlProp2524.xml"/><Relationship Id="rId2734" Type="http://schemas.openxmlformats.org/officeDocument/2006/relationships/table" Target="../tables/table44.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ctrlProp" Target="../ctrlProps/ctrlProp1540.xml"/><Relationship Id="rId1750" Type="http://schemas.openxmlformats.org/officeDocument/2006/relationships/ctrlProp" Target="../ctrlProps/ctrlProp1747.xml"/><Relationship Id="rId2801" Type="http://schemas.openxmlformats.org/officeDocument/2006/relationships/table" Target="../tables/table111.xml"/><Relationship Id="rId42" Type="http://schemas.openxmlformats.org/officeDocument/2006/relationships/ctrlProp" Target="../ctrlProps/ctrlProp39.xml"/><Relationship Id="rId1403" Type="http://schemas.openxmlformats.org/officeDocument/2006/relationships/ctrlProp" Target="../ctrlProps/ctrlProp1400.xml"/><Relationship Id="rId1610" Type="http://schemas.openxmlformats.org/officeDocument/2006/relationships/ctrlProp" Target="../ctrlProps/ctrlProp1607.xml"/><Relationship Id="rId289" Type="http://schemas.openxmlformats.org/officeDocument/2006/relationships/ctrlProp" Target="../ctrlProps/ctrlProp286.xml"/><Relationship Id="rId496" Type="http://schemas.openxmlformats.org/officeDocument/2006/relationships/ctrlProp" Target="../ctrlProps/ctrlProp493.xml"/><Relationship Id="rId2177" Type="http://schemas.openxmlformats.org/officeDocument/2006/relationships/ctrlProp" Target="../ctrlProps/ctrlProp2174.xml"/><Relationship Id="rId2384" Type="http://schemas.openxmlformats.org/officeDocument/2006/relationships/ctrlProp" Target="../ctrlProps/ctrlProp2381.xml"/><Relationship Id="rId2591" Type="http://schemas.openxmlformats.org/officeDocument/2006/relationships/ctrlProp" Target="../ctrlProps/ctrlProp2588.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037" Type="http://schemas.openxmlformats.org/officeDocument/2006/relationships/ctrlProp" Target="../ctrlProps/ctrlProp2034.xml"/><Relationship Id="rId2244" Type="http://schemas.openxmlformats.org/officeDocument/2006/relationships/ctrlProp" Target="../ctrlProps/ctrlProp2241.xml"/><Relationship Id="rId2451" Type="http://schemas.openxmlformats.org/officeDocument/2006/relationships/ctrlProp" Target="../ctrlProps/ctrlProp2448.xml"/><Relationship Id="rId216" Type="http://schemas.openxmlformats.org/officeDocument/2006/relationships/ctrlProp" Target="../ctrlProps/ctrlProp213.xml"/><Relationship Id="rId423" Type="http://schemas.openxmlformats.org/officeDocument/2006/relationships/ctrlProp" Target="../ctrlProps/ctrlProp420.xml"/><Relationship Id="rId1053" Type="http://schemas.openxmlformats.org/officeDocument/2006/relationships/ctrlProp" Target="../ctrlProps/ctrlProp1050.xml"/><Relationship Id="rId1260" Type="http://schemas.openxmlformats.org/officeDocument/2006/relationships/ctrlProp" Target="../ctrlProps/ctrlProp1257.xml"/><Relationship Id="rId2104" Type="http://schemas.openxmlformats.org/officeDocument/2006/relationships/ctrlProp" Target="../ctrlProps/ctrlProp2101.xml"/><Relationship Id="rId630" Type="http://schemas.openxmlformats.org/officeDocument/2006/relationships/ctrlProp" Target="../ctrlProps/ctrlProp627.xml"/><Relationship Id="rId2311" Type="http://schemas.openxmlformats.org/officeDocument/2006/relationships/ctrlProp" Target="../ctrlProps/ctrlProp2308.xml"/><Relationship Id="rId1120" Type="http://schemas.openxmlformats.org/officeDocument/2006/relationships/ctrlProp" Target="../ctrlProps/ctrlProp1117.xml"/><Relationship Id="rId1937" Type="http://schemas.openxmlformats.org/officeDocument/2006/relationships/ctrlProp" Target="../ctrlProps/ctrlProp1934.xml"/><Relationship Id="rId280" Type="http://schemas.openxmlformats.org/officeDocument/2006/relationships/ctrlProp" Target="../ctrlProps/ctrlProp277.xml"/><Relationship Id="rId140" Type="http://schemas.openxmlformats.org/officeDocument/2006/relationships/ctrlProp" Target="../ctrlProps/ctrlProp137.xml"/><Relationship Id="rId6" Type="http://schemas.openxmlformats.org/officeDocument/2006/relationships/ctrlProp" Target="../ctrlProps/ctrlProp3.xml"/><Relationship Id="rId2778" Type="http://schemas.openxmlformats.org/officeDocument/2006/relationships/table" Target="../tables/table88.xml"/><Relationship Id="rId957" Type="http://schemas.openxmlformats.org/officeDocument/2006/relationships/ctrlProp" Target="../ctrlProps/ctrlProp954.xml"/><Relationship Id="rId1587" Type="http://schemas.openxmlformats.org/officeDocument/2006/relationships/ctrlProp" Target="../ctrlProps/ctrlProp1584.xml"/><Relationship Id="rId1794" Type="http://schemas.openxmlformats.org/officeDocument/2006/relationships/ctrlProp" Target="../ctrlProps/ctrlProp1791.xml"/><Relationship Id="rId2638" Type="http://schemas.openxmlformats.org/officeDocument/2006/relationships/ctrlProp" Target="../ctrlProps/ctrlProp2635.xml"/><Relationship Id="rId2845" Type="http://schemas.openxmlformats.org/officeDocument/2006/relationships/table" Target="../tables/table155.xml"/><Relationship Id="rId86" Type="http://schemas.openxmlformats.org/officeDocument/2006/relationships/ctrlProp" Target="../ctrlProps/ctrlProp83.xml"/><Relationship Id="rId817" Type="http://schemas.openxmlformats.org/officeDocument/2006/relationships/ctrlProp" Target="../ctrlProps/ctrlProp814.xml"/><Relationship Id="rId1447" Type="http://schemas.openxmlformats.org/officeDocument/2006/relationships/ctrlProp" Target="../ctrlProps/ctrlProp1444.xml"/><Relationship Id="rId1654" Type="http://schemas.openxmlformats.org/officeDocument/2006/relationships/ctrlProp" Target="../ctrlProps/ctrlProp1651.xml"/><Relationship Id="rId1861" Type="http://schemas.openxmlformats.org/officeDocument/2006/relationships/ctrlProp" Target="../ctrlProps/ctrlProp1858.xml"/><Relationship Id="rId2705" Type="http://schemas.openxmlformats.org/officeDocument/2006/relationships/table" Target="../tables/table15.xml"/><Relationship Id="rId2912" Type="http://schemas.openxmlformats.org/officeDocument/2006/relationships/table" Target="../tables/table222.xml"/><Relationship Id="rId1307" Type="http://schemas.openxmlformats.org/officeDocument/2006/relationships/ctrlProp" Target="../ctrlProps/ctrlProp1304.xml"/><Relationship Id="rId1514" Type="http://schemas.openxmlformats.org/officeDocument/2006/relationships/ctrlProp" Target="../ctrlProps/ctrlProp1511.xml"/><Relationship Id="rId1721" Type="http://schemas.openxmlformats.org/officeDocument/2006/relationships/ctrlProp" Target="../ctrlProps/ctrlProp1718.xml"/><Relationship Id="rId13" Type="http://schemas.openxmlformats.org/officeDocument/2006/relationships/ctrlProp" Target="../ctrlProps/ctrlProp10.xml"/><Relationship Id="rId2288" Type="http://schemas.openxmlformats.org/officeDocument/2006/relationships/ctrlProp" Target="../ctrlProps/ctrlProp2285.xml"/><Relationship Id="rId2495" Type="http://schemas.openxmlformats.org/officeDocument/2006/relationships/ctrlProp" Target="../ctrlProps/ctrlProp2492.xml"/><Relationship Id="rId467" Type="http://schemas.openxmlformats.org/officeDocument/2006/relationships/ctrlProp" Target="../ctrlProps/ctrlProp464.xml"/><Relationship Id="rId1097" Type="http://schemas.openxmlformats.org/officeDocument/2006/relationships/ctrlProp" Target="../ctrlProps/ctrlProp1094.xml"/><Relationship Id="rId2148" Type="http://schemas.openxmlformats.org/officeDocument/2006/relationships/ctrlProp" Target="../ctrlProps/ctrlProp2145.xml"/><Relationship Id="rId674" Type="http://schemas.openxmlformats.org/officeDocument/2006/relationships/ctrlProp" Target="../ctrlProps/ctrlProp671.xml"/><Relationship Id="rId881" Type="http://schemas.openxmlformats.org/officeDocument/2006/relationships/ctrlProp" Target="../ctrlProps/ctrlProp878.xml"/><Relationship Id="rId2355" Type="http://schemas.openxmlformats.org/officeDocument/2006/relationships/ctrlProp" Target="../ctrlProps/ctrlProp2352.xml"/><Relationship Id="rId2562" Type="http://schemas.openxmlformats.org/officeDocument/2006/relationships/ctrlProp" Target="../ctrlProps/ctrlProp2559.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1164" Type="http://schemas.openxmlformats.org/officeDocument/2006/relationships/ctrlProp" Target="../ctrlProps/ctrlProp1161.xml"/><Relationship Id="rId1371" Type="http://schemas.openxmlformats.org/officeDocument/2006/relationships/ctrlProp" Target="../ctrlProps/ctrlProp1368.xml"/><Relationship Id="rId2008" Type="http://schemas.openxmlformats.org/officeDocument/2006/relationships/ctrlProp" Target="../ctrlProps/ctrlProp2005.xml"/><Relationship Id="rId2215" Type="http://schemas.openxmlformats.org/officeDocument/2006/relationships/ctrlProp" Target="../ctrlProps/ctrlProp2212.xml"/><Relationship Id="rId2422" Type="http://schemas.openxmlformats.org/officeDocument/2006/relationships/ctrlProp" Target="../ctrlProps/ctrlProp2419.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184" Type="http://schemas.openxmlformats.org/officeDocument/2006/relationships/ctrlProp" Target="../ctrlProps/ctrlProp181.xml"/><Relationship Id="rId391" Type="http://schemas.openxmlformats.org/officeDocument/2006/relationships/ctrlProp" Target="../ctrlProps/ctrlProp388.xml"/><Relationship Id="rId1908" Type="http://schemas.openxmlformats.org/officeDocument/2006/relationships/ctrlProp" Target="../ctrlProps/ctrlProp1905.xml"/><Relationship Id="rId2072" Type="http://schemas.openxmlformats.org/officeDocument/2006/relationships/ctrlProp" Target="../ctrlProps/ctrlProp2069.xml"/><Relationship Id="rId251" Type="http://schemas.openxmlformats.org/officeDocument/2006/relationships/ctrlProp" Target="../ctrlProps/ctrlProp248.xml"/><Relationship Id="rId2889" Type="http://schemas.openxmlformats.org/officeDocument/2006/relationships/table" Target="../tables/table199.xml"/><Relationship Id="rId111" Type="http://schemas.openxmlformats.org/officeDocument/2006/relationships/ctrlProp" Target="../ctrlProps/ctrlProp108.xml"/><Relationship Id="rId1698" Type="http://schemas.openxmlformats.org/officeDocument/2006/relationships/ctrlProp" Target="../ctrlProps/ctrlProp1695.xml"/><Relationship Id="rId2749" Type="http://schemas.openxmlformats.org/officeDocument/2006/relationships/table" Target="../tables/table59.xml"/><Relationship Id="rId928" Type="http://schemas.openxmlformats.org/officeDocument/2006/relationships/ctrlProp" Target="../ctrlProps/ctrlProp925.xml"/><Relationship Id="rId1558" Type="http://schemas.openxmlformats.org/officeDocument/2006/relationships/ctrlProp" Target="../ctrlProps/ctrlProp1555.xml"/><Relationship Id="rId1765" Type="http://schemas.openxmlformats.org/officeDocument/2006/relationships/ctrlProp" Target="../ctrlProps/ctrlProp1762.xml"/><Relationship Id="rId2609" Type="http://schemas.openxmlformats.org/officeDocument/2006/relationships/ctrlProp" Target="../ctrlProps/ctrlProp2606.xml"/><Relationship Id="rId57" Type="http://schemas.openxmlformats.org/officeDocument/2006/relationships/ctrlProp" Target="../ctrlProps/ctrlProp54.xml"/><Relationship Id="rId1418" Type="http://schemas.openxmlformats.org/officeDocument/2006/relationships/ctrlProp" Target="../ctrlProps/ctrlProp1415.xml"/><Relationship Id="rId1972" Type="http://schemas.openxmlformats.org/officeDocument/2006/relationships/ctrlProp" Target="../ctrlProps/ctrlProp1969.xml"/><Relationship Id="rId2816" Type="http://schemas.openxmlformats.org/officeDocument/2006/relationships/table" Target="../tables/table126.xml"/><Relationship Id="rId1625" Type="http://schemas.openxmlformats.org/officeDocument/2006/relationships/ctrlProp" Target="../ctrlProps/ctrlProp1622.xml"/><Relationship Id="rId1832" Type="http://schemas.openxmlformats.org/officeDocument/2006/relationships/ctrlProp" Target="../ctrlProps/ctrlProp1829.xml"/><Relationship Id="rId2399" Type="http://schemas.openxmlformats.org/officeDocument/2006/relationships/ctrlProp" Target="../ctrlProps/ctrlProp2396.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259" Type="http://schemas.openxmlformats.org/officeDocument/2006/relationships/ctrlProp" Target="../ctrlProps/ctrlProp2256.xml"/><Relationship Id="rId2466" Type="http://schemas.openxmlformats.org/officeDocument/2006/relationships/ctrlProp" Target="../ctrlProps/ctrlProp2463.xml"/><Relationship Id="rId2673" Type="http://schemas.openxmlformats.org/officeDocument/2006/relationships/ctrlProp" Target="../ctrlProps/ctrlProp2670.xml"/><Relationship Id="rId2880" Type="http://schemas.openxmlformats.org/officeDocument/2006/relationships/table" Target="../tables/table190.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2119" Type="http://schemas.openxmlformats.org/officeDocument/2006/relationships/ctrlProp" Target="../ctrlProps/ctrlProp2116.xml"/><Relationship Id="rId2326" Type="http://schemas.openxmlformats.org/officeDocument/2006/relationships/ctrlProp" Target="../ctrlProps/ctrlProp2323.xml"/><Relationship Id="rId2533" Type="http://schemas.openxmlformats.org/officeDocument/2006/relationships/ctrlProp" Target="../ctrlProps/ctrlProp2530.xml"/><Relationship Id="rId2740" Type="http://schemas.openxmlformats.org/officeDocument/2006/relationships/table" Target="../tables/table50.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1202" Type="http://schemas.openxmlformats.org/officeDocument/2006/relationships/ctrlProp" Target="../ctrlProps/ctrlProp1199.xml"/><Relationship Id="rId2600" Type="http://schemas.openxmlformats.org/officeDocument/2006/relationships/ctrlProp" Target="../ctrlProps/ctrlProp2597.xml"/><Relationship Id="rId295" Type="http://schemas.openxmlformats.org/officeDocument/2006/relationships/ctrlProp" Target="../ctrlProps/ctrlProp292.xml"/><Relationship Id="rId2183" Type="http://schemas.openxmlformats.org/officeDocument/2006/relationships/ctrlProp" Target="../ctrlProps/ctrlProp2180.xml"/><Relationship Id="rId2390" Type="http://schemas.openxmlformats.org/officeDocument/2006/relationships/ctrlProp" Target="../ctrlProps/ctrlProp2387.xml"/><Relationship Id="rId155" Type="http://schemas.openxmlformats.org/officeDocument/2006/relationships/ctrlProp" Target="../ctrlProps/ctrlProp152.xml"/><Relationship Id="rId362" Type="http://schemas.openxmlformats.org/officeDocument/2006/relationships/ctrlProp" Target="../ctrlProps/ctrlProp359.xml"/><Relationship Id="rId2043" Type="http://schemas.openxmlformats.org/officeDocument/2006/relationships/ctrlProp" Target="../ctrlProps/ctrlProp2040.xml"/><Relationship Id="rId2250" Type="http://schemas.openxmlformats.org/officeDocument/2006/relationships/ctrlProp" Target="../ctrlProps/ctrlProp2247.xml"/><Relationship Id="rId222" Type="http://schemas.openxmlformats.org/officeDocument/2006/relationships/ctrlProp" Target="../ctrlProps/ctrlProp219.xml"/><Relationship Id="rId2110" Type="http://schemas.openxmlformats.org/officeDocument/2006/relationships/ctrlProp" Target="../ctrlProps/ctrlProp2107.xml"/><Relationship Id="rId1669" Type="http://schemas.openxmlformats.org/officeDocument/2006/relationships/ctrlProp" Target="../ctrlProps/ctrlProp1666.xml"/><Relationship Id="rId1876" Type="http://schemas.openxmlformats.org/officeDocument/2006/relationships/ctrlProp" Target="../ctrlProps/ctrlProp1873.xml"/><Relationship Id="rId1529" Type="http://schemas.openxmlformats.org/officeDocument/2006/relationships/ctrlProp" Target="../ctrlProps/ctrlProp1526.xml"/><Relationship Id="rId1736" Type="http://schemas.openxmlformats.org/officeDocument/2006/relationships/ctrlProp" Target="../ctrlProps/ctrlProp1733.xml"/><Relationship Id="rId1943" Type="http://schemas.openxmlformats.org/officeDocument/2006/relationships/ctrlProp" Target="../ctrlProps/ctrlProp1940.xml"/><Relationship Id="rId28" Type="http://schemas.openxmlformats.org/officeDocument/2006/relationships/ctrlProp" Target="../ctrlProps/ctrlProp25.xml"/><Relationship Id="rId1803" Type="http://schemas.openxmlformats.org/officeDocument/2006/relationships/ctrlProp" Target="../ctrlProps/ctrlProp1800.xml"/><Relationship Id="rId689" Type="http://schemas.openxmlformats.org/officeDocument/2006/relationships/ctrlProp" Target="../ctrlProps/ctrlProp686.xml"/><Relationship Id="rId896" Type="http://schemas.openxmlformats.org/officeDocument/2006/relationships/ctrlProp" Target="../ctrlProps/ctrlProp893.xml"/><Relationship Id="rId2577" Type="http://schemas.openxmlformats.org/officeDocument/2006/relationships/ctrlProp" Target="../ctrlProps/ctrlProp2574.xml"/><Relationship Id="rId2784" Type="http://schemas.openxmlformats.org/officeDocument/2006/relationships/table" Target="../tables/table94.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593" Type="http://schemas.openxmlformats.org/officeDocument/2006/relationships/ctrlProp" Target="../ctrlProps/ctrlProp1590.xml"/><Relationship Id="rId2437" Type="http://schemas.openxmlformats.org/officeDocument/2006/relationships/ctrlProp" Target="../ctrlProps/ctrlProp2434.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2644" Type="http://schemas.openxmlformats.org/officeDocument/2006/relationships/ctrlProp" Target="../ctrlProps/ctrlProp2641.xml"/><Relationship Id="rId2851" Type="http://schemas.openxmlformats.org/officeDocument/2006/relationships/table" Target="../tables/table161.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660" Type="http://schemas.openxmlformats.org/officeDocument/2006/relationships/ctrlProp" Target="../ctrlProps/ctrlProp1657.xml"/><Relationship Id="rId2504" Type="http://schemas.openxmlformats.org/officeDocument/2006/relationships/ctrlProp" Target="../ctrlProps/ctrlProp2501.xml"/><Relationship Id="rId2711" Type="http://schemas.openxmlformats.org/officeDocument/2006/relationships/table" Target="../tables/table21.xml"/><Relationship Id="rId1106" Type="http://schemas.openxmlformats.org/officeDocument/2006/relationships/ctrlProp" Target="../ctrlProps/ctrlProp1103.xml"/><Relationship Id="rId1313" Type="http://schemas.openxmlformats.org/officeDocument/2006/relationships/ctrlProp" Target="../ctrlProps/ctrlProp1310.xml"/><Relationship Id="rId1520" Type="http://schemas.openxmlformats.org/officeDocument/2006/relationships/ctrlProp" Target="../ctrlProps/ctrlProp1517.xml"/><Relationship Id="rId199" Type="http://schemas.openxmlformats.org/officeDocument/2006/relationships/ctrlProp" Target="../ctrlProps/ctrlProp196.xml"/><Relationship Id="rId2087" Type="http://schemas.openxmlformats.org/officeDocument/2006/relationships/ctrlProp" Target="../ctrlProps/ctrlProp2084.xml"/><Relationship Id="rId2294" Type="http://schemas.openxmlformats.org/officeDocument/2006/relationships/ctrlProp" Target="../ctrlProps/ctrlProp229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2154" Type="http://schemas.openxmlformats.org/officeDocument/2006/relationships/ctrlProp" Target="../ctrlProps/ctrlProp2151.xml"/><Relationship Id="rId2361" Type="http://schemas.openxmlformats.org/officeDocument/2006/relationships/ctrlProp" Target="../ctrlProps/ctrlProp2358.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1170" Type="http://schemas.openxmlformats.org/officeDocument/2006/relationships/ctrlProp" Target="../ctrlProps/ctrlProp1167.xml"/><Relationship Id="rId2014" Type="http://schemas.openxmlformats.org/officeDocument/2006/relationships/ctrlProp" Target="../ctrlProps/ctrlProp2011.xml"/><Relationship Id="rId2221" Type="http://schemas.openxmlformats.org/officeDocument/2006/relationships/ctrlProp" Target="../ctrlProps/ctrlProp2218.xml"/><Relationship Id="rId1030" Type="http://schemas.openxmlformats.org/officeDocument/2006/relationships/ctrlProp" Target="../ctrlProps/ctrlProp1027.xml"/><Relationship Id="rId400" Type="http://schemas.openxmlformats.org/officeDocument/2006/relationships/ctrlProp" Target="../ctrlProps/ctrlProp397.xml"/><Relationship Id="rId1987" Type="http://schemas.openxmlformats.org/officeDocument/2006/relationships/ctrlProp" Target="../ctrlProps/ctrlProp1984.xml"/><Relationship Id="rId1847" Type="http://schemas.openxmlformats.org/officeDocument/2006/relationships/ctrlProp" Target="../ctrlProps/ctrlProp1844.xml"/><Relationship Id="rId1707" Type="http://schemas.openxmlformats.org/officeDocument/2006/relationships/ctrlProp" Target="../ctrlProps/ctrlProp1704.xml"/><Relationship Id="rId190" Type="http://schemas.openxmlformats.org/officeDocument/2006/relationships/ctrlProp" Target="../ctrlProps/ctrlProp187.xml"/><Relationship Id="rId1914" Type="http://schemas.openxmlformats.org/officeDocument/2006/relationships/ctrlProp" Target="../ctrlProps/ctrlProp1911.xml"/><Relationship Id="rId2688" Type="http://schemas.openxmlformats.org/officeDocument/2006/relationships/ctrlProp" Target="../ctrlProps/ctrlProp2685.xml"/><Relationship Id="rId2895" Type="http://schemas.openxmlformats.org/officeDocument/2006/relationships/table" Target="../tables/table205.xml"/><Relationship Id="rId867" Type="http://schemas.openxmlformats.org/officeDocument/2006/relationships/ctrlProp" Target="../ctrlProps/ctrlProp864.xml"/><Relationship Id="rId1497" Type="http://schemas.openxmlformats.org/officeDocument/2006/relationships/ctrlProp" Target="../ctrlProps/ctrlProp1494.xml"/><Relationship Id="rId2548" Type="http://schemas.openxmlformats.org/officeDocument/2006/relationships/ctrlProp" Target="../ctrlProps/ctrlProp2545.xml"/><Relationship Id="rId2755" Type="http://schemas.openxmlformats.org/officeDocument/2006/relationships/table" Target="../tables/table65.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ctrlProp" Target="../ctrlProps/ctrlProp1561.xml"/><Relationship Id="rId1771" Type="http://schemas.openxmlformats.org/officeDocument/2006/relationships/ctrlProp" Target="../ctrlProps/ctrlProp1768.xml"/><Relationship Id="rId2408" Type="http://schemas.openxmlformats.org/officeDocument/2006/relationships/ctrlProp" Target="../ctrlProps/ctrlProp2405.xml"/><Relationship Id="rId2615" Type="http://schemas.openxmlformats.org/officeDocument/2006/relationships/ctrlProp" Target="../ctrlProps/ctrlProp2612.xml"/><Relationship Id="rId2822" Type="http://schemas.openxmlformats.org/officeDocument/2006/relationships/table" Target="../tables/table132.xml"/><Relationship Id="rId63" Type="http://schemas.openxmlformats.org/officeDocument/2006/relationships/ctrlProp" Target="../ctrlProps/ctrlProp60.xml"/><Relationship Id="rId1217" Type="http://schemas.openxmlformats.org/officeDocument/2006/relationships/ctrlProp" Target="../ctrlProps/ctrlProp1214.xml"/><Relationship Id="rId1424" Type="http://schemas.openxmlformats.org/officeDocument/2006/relationships/ctrlProp" Target="../ctrlProps/ctrlProp1421.xml"/><Relationship Id="rId1631" Type="http://schemas.openxmlformats.org/officeDocument/2006/relationships/ctrlProp" Target="../ctrlProps/ctrlProp1628.xml"/><Relationship Id="rId2198" Type="http://schemas.openxmlformats.org/officeDocument/2006/relationships/ctrlProp" Target="../ctrlProps/ctrlProp2195.xml"/><Relationship Id="rId377" Type="http://schemas.openxmlformats.org/officeDocument/2006/relationships/ctrlProp" Target="../ctrlProps/ctrlProp374.xml"/><Relationship Id="rId584" Type="http://schemas.openxmlformats.org/officeDocument/2006/relationships/ctrlProp" Target="../ctrlProps/ctrlProp581.xml"/><Relationship Id="rId2058" Type="http://schemas.openxmlformats.org/officeDocument/2006/relationships/ctrlProp" Target="../ctrlProps/ctrlProp2055.xml"/><Relationship Id="rId2265" Type="http://schemas.openxmlformats.org/officeDocument/2006/relationships/ctrlProp" Target="../ctrlProps/ctrlProp2262.xml"/><Relationship Id="rId237" Type="http://schemas.openxmlformats.org/officeDocument/2006/relationships/ctrlProp" Target="../ctrlProps/ctrlProp234.xml"/><Relationship Id="rId791" Type="http://schemas.openxmlformats.org/officeDocument/2006/relationships/ctrlProp" Target="../ctrlProps/ctrlProp788.xml"/><Relationship Id="rId1074" Type="http://schemas.openxmlformats.org/officeDocument/2006/relationships/ctrlProp" Target="../ctrlProps/ctrlProp1071.xml"/><Relationship Id="rId2472" Type="http://schemas.openxmlformats.org/officeDocument/2006/relationships/ctrlProp" Target="../ctrlProps/ctrlProp2469.xml"/><Relationship Id="rId444" Type="http://schemas.openxmlformats.org/officeDocument/2006/relationships/ctrlProp" Target="../ctrlProps/ctrlProp441.xml"/><Relationship Id="rId651" Type="http://schemas.openxmlformats.org/officeDocument/2006/relationships/ctrlProp" Target="../ctrlProps/ctrlProp648.xml"/><Relationship Id="rId1281" Type="http://schemas.openxmlformats.org/officeDocument/2006/relationships/ctrlProp" Target="../ctrlProps/ctrlProp1278.xml"/><Relationship Id="rId2125" Type="http://schemas.openxmlformats.org/officeDocument/2006/relationships/ctrlProp" Target="../ctrlProps/ctrlProp2122.xml"/><Relationship Id="rId2332" Type="http://schemas.openxmlformats.org/officeDocument/2006/relationships/ctrlProp" Target="../ctrlProps/ctrlProp2329.xml"/><Relationship Id="rId304" Type="http://schemas.openxmlformats.org/officeDocument/2006/relationships/ctrlProp" Target="../ctrlProps/ctrlProp301.xml"/><Relationship Id="rId511" Type="http://schemas.openxmlformats.org/officeDocument/2006/relationships/ctrlProp" Target="../ctrlProps/ctrlProp508.xml"/><Relationship Id="rId1141" Type="http://schemas.openxmlformats.org/officeDocument/2006/relationships/ctrlProp" Target="../ctrlProps/ctrlProp1138.xml"/><Relationship Id="rId1001" Type="http://schemas.openxmlformats.org/officeDocument/2006/relationships/ctrlProp" Target="../ctrlProps/ctrlProp998.xml"/><Relationship Id="rId1958" Type="http://schemas.openxmlformats.org/officeDocument/2006/relationships/ctrlProp" Target="../ctrlProps/ctrlProp1955.xml"/><Relationship Id="rId1818" Type="http://schemas.openxmlformats.org/officeDocument/2006/relationships/ctrlProp" Target="../ctrlProps/ctrlProp1815.xml"/><Relationship Id="rId161" Type="http://schemas.openxmlformats.org/officeDocument/2006/relationships/ctrlProp" Target="../ctrlProps/ctrlProp158.xml"/><Relationship Id="rId2799" Type="http://schemas.openxmlformats.org/officeDocument/2006/relationships/table" Target="../tables/table109.xml"/><Relationship Id="rId978" Type="http://schemas.openxmlformats.org/officeDocument/2006/relationships/ctrlProp" Target="../ctrlProps/ctrlProp975.xml"/><Relationship Id="rId2659" Type="http://schemas.openxmlformats.org/officeDocument/2006/relationships/ctrlProp" Target="../ctrlProps/ctrlProp2656.xml"/><Relationship Id="rId2866" Type="http://schemas.openxmlformats.org/officeDocument/2006/relationships/table" Target="../tables/table176.xml"/><Relationship Id="rId838" Type="http://schemas.openxmlformats.org/officeDocument/2006/relationships/ctrlProp" Target="../ctrlProps/ctrlProp835.xml"/><Relationship Id="rId1468" Type="http://schemas.openxmlformats.org/officeDocument/2006/relationships/ctrlProp" Target="../ctrlProps/ctrlProp1465.xml"/><Relationship Id="rId1675" Type="http://schemas.openxmlformats.org/officeDocument/2006/relationships/ctrlProp" Target="../ctrlProps/ctrlProp1672.xml"/><Relationship Id="rId1882" Type="http://schemas.openxmlformats.org/officeDocument/2006/relationships/ctrlProp" Target="../ctrlProps/ctrlProp1879.xml"/><Relationship Id="rId2519" Type="http://schemas.openxmlformats.org/officeDocument/2006/relationships/ctrlProp" Target="../ctrlProps/ctrlProp2516.xml"/><Relationship Id="rId2726" Type="http://schemas.openxmlformats.org/officeDocument/2006/relationships/table" Target="../tables/table36.xml"/><Relationship Id="rId1328" Type="http://schemas.openxmlformats.org/officeDocument/2006/relationships/ctrlProp" Target="../ctrlProps/ctrlProp1325.xml"/><Relationship Id="rId1535" Type="http://schemas.openxmlformats.org/officeDocument/2006/relationships/ctrlProp" Target="../ctrlProps/ctrlProp1532.xml"/><Relationship Id="rId905" Type="http://schemas.openxmlformats.org/officeDocument/2006/relationships/ctrlProp" Target="../ctrlProps/ctrlProp902.xml"/><Relationship Id="rId1742" Type="http://schemas.openxmlformats.org/officeDocument/2006/relationships/ctrlProp" Target="../ctrlProps/ctrlProp1739.xml"/><Relationship Id="rId34" Type="http://schemas.openxmlformats.org/officeDocument/2006/relationships/ctrlProp" Target="../ctrlProps/ctrlProp31.xml"/><Relationship Id="rId1602" Type="http://schemas.openxmlformats.org/officeDocument/2006/relationships/ctrlProp" Target="../ctrlProps/ctrlProp1599.xml"/><Relationship Id="rId488" Type="http://schemas.openxmlformats.org/officeDocument/2006/relationships/ctrlProp" Target="../ctrlProps/ctrlProp485.xml"/><Relationship Id="rId695" Type="http://schemas.openxmlformats.org/officeDocument/2006/relationships/ctrlProp" Target="../ctrlProps/ctrlProp692.xml"/><Relationship Id="rId2169" Type="http://schemas.openxmlformats.org/officeDocument/2006/relationships/ctrlProp" Target="../ctrlProps/ctrlProp2166.xml"/><Relationship Id="rId2376" Type="http://schemas.openxmlformats.org/officeDocument/2006/relationships/ctrlProp" Target="../ctrlProps/ctrlProp2373.xml"/><Relationship Id="rId2583" Type="http://schemas.openxmlformats.org/officeDocument/2006/relationships/ctrlProp" Target="../ctrlProps/ctrlProp2580.xml"/><Relationship Id="rId2790" Type="http://schemas.openxmlformats.org/officeDocument/2006/relationships/table" Target="../tables/table100.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2029" Type="http://schemas.openxmlformats.org/officeDocument/2006/relationships/ctrlProp" Target="../ctrlProps/ctrlProp2026.xml"/><Relationship Id="rId2236" Type="http://schemas.openxmlformats.org/officeDocument/2006/relationships/ctrlProp" Target="../ctrlProps/ctrlProp2233.xml"/><Relationship Id="rId2443" Type="http://schemas.openxmlformats.org/officeDocument/2006/relationships/ctrlProp" Target="../ctrlProps/ctrlProp2440.xml"/><Relationship Id="rId2650" Type="http://schemas.openxmlformats.org/officeDocument/2006/relationships/ctrlProp" Target="../ctrlProps/ctrlProp2647.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2303" Type="http://schemas.openxmlformats.org/officeDocument/2006/relationships/ctrlProp" Target="../ctrlProps/ctrlProp2300.xml"/><Relationship Id="rId2510" Type="http://schemas.openxmlformats.org/officeDocument/2006/relationships/ctrlProp" Target="../ctrlProps/ctrlProp2507.xml"/><Relationship Id="rId1112" Type="http://schemas.openxmlformats.org/officeDocument/2006/relationships/ctrlProp" Target="../ctrlProps/ctrlProp1109.xml"/><Relationship Id="rId1929" Type="http://schemas.openxmlformats.org/officeDocument/2006/relationships/ctrlProp" Target="../ctrlProps/ctrlProp1926.xml"/><Relationship Id="rId2093" Type="http://schemas.openxmlformats.org/officeDocument/2006/relationships/ctrlProp" Target="../ctrlProps/ctrlProp2090.xml"/><Relationship Id="rId272" Type="http://schemas.openxmlformats.org/officeDocument/2006/relationships/ctrlProp" Target="../ctrlProps/ctrlProp269.xml"/><Relationship Id="rId2160" Type="http://schemas.openxmlformats.org/officeDocument/2006/relationships/ctrlProp" Target="../ctrlProps/ctrlProp2157.xml"/><Relationship Id="rId132" Type="http://schemas.openxmlformats.org/officeDocument/2006/relationships/ctrlProp" Target="../ctrlProps/ctrlProp129.xml"/><Relationship Id="rId2020" Type="http://schemas.openxmlformats.org/officeDocument/2006/relationships/ctrlProp" Target="../ctrlProps/ctrlProp2017.xml"/><Relationship Id="rId1579" Type="http://schemas.openxmlformats.org/officeDocument/2006/relationships/ctrlProp" Target="../ctrlProps/ctrlProp1576.xml"/><Relationship Id="rId949" Type="http://schemas.openxmlformats.org/officeDocument/2006/relationships/ctrlProp" Target="../ctrlProps/ctrlProp946.xml"/><Relationship Id="rId1786" Type="http://schemas.openxmlformats.org/officeDocument/2006/relationships/ctrlProp" Target="../ctrlProps/ctrlProp1783.xml"/><Relationship Id="rId1993" Type="http://schemas.openxmlformats.org/officeDocument/2006/relationships/ctrlProp" Target="../ctrlProps/ctrlProp1990.xml"/><Relationship Id="rId2837" Type="http://schemas.openxmlformats.org/officeDocument/2006/relationships/table" Target="../tables/table147.xml"/><Relationship Id="rId78" Type="http://schemas.openxmlformats.org/officeDocument/2006/relationships/ctrlProp" Target="../ctrlProps/ctrlProp75.xml"/><Relationship Id="rId809" Type="http://schemas.openxmlformats.org/officeDocument/2006/relationships/ctrlProp" Target="../ctrlProps/ctrlProp806.xml"/><Relationship Id="rId1439" Type="http://schemas.openxmlformats.org/officeDocument/2006/relationships/ctrlProp" Target="../ctrlProps/ctrlProp1436.xml"/><Relationship Id="rId1646" Type="http://schemas.openxmlformats.org/officeDocument/2006/relationships/ctrlProp" Target="../ctrlProps/ctrlProp1643.xml"/><Relationship Id="rId1853" Type="http://schemas.openxmlformats.org/officeDocument/2006/relationships/ctrlProp" Target="../ctrlProps/ctrlProp1850.xml"/><Relationship Id="rId2904" Type="http://schemas.openxmlformats.org/officeDocument/2006/relationships/table" Target="../tables/table214.xml"/><Relationship Id="rId1506" Type="http://schemas.openxmlformats.org/officeDocument/2006/relationships/ctrlProp" Target="../ctrlProps/ctrlProp1503.xml"/><Relationship Id="rId1713" Type="http://schemas.openxmlformats.org/officeDocument/2006/relationships/ctrlProp" Target="../ctrlProps/ctrlProp1710.xml"/><Relationship Id="rId1920" Type="http://schemas.openxmlformats.org/officeDocument/2006/relationships/ctrlProp" Target="../ctrlProps/ctrlProp1917.xml"/><Relationship Id="rId599" Type="http://schemas.openxmlformats.org/officeDocument/2006/relationships/ctrlProp" Target="../ctrlProps/ctrlProp596.xml"/><Relationship Id="rId2487" Type="http://schemas.openxmlformats.org/officeDocument/2006/relationships/ctrlProp" Target="../ctrlProps/ctrlProp2484.xml"/><Relationship Id="rId2694" Type="http://schemas.openxmlformats.org/officeDocument/2006/relationships/table" Target="../tables/table4.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2347" Type="http://schemas.openxmlformats.org/officeDocument/2006/relationships/ctrlProp" Target="../ctrlProps/ctrlProp2344.xml"/><Relationship Id="rId2554" Type="http://schemas.openxmlformats.org/officeDocument/2006/relationships/ctrlProp" Target="../ctrlProps/ctrlProp2551.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2207" Type="http://schemas.openxmlformats.org/officeDocument/2006/relationships/ctrlProp" Target="../ctrlProps/ctrlProp2204.xml"/><Relationship Id="rId2761" Type="http://schemas.openxmlformats.org/officeDocument/2006/relationships/table" Target="../tables/table71.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ctrlProp" Target="../ctrlProps/ctrlProp1567.xml"/><Relationship Id="rId2414" Type="http://schemas.openxmlformats.org/officeDocument/2006/relationships/ctrlProp" Target="../ctrlProps/ctrlProp2411.xml"/><Relationship Id="rId2621" Type="http://schemas.openxmlformats.org/officeDocument/2006/relationships/ctrlProp" Target="../ctrlProps/ctrlProp2618.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2064" Type="http://schemas.openxmlformats.org/officeDocument/2006/relationships/ctrlProp" Target="../ctrlProps/ctrlProp2061.xml"/><Relationship Id="rId2271" Type="http://schemas.openxmlformats.org/officeDocument/2006/relationships/ctrlProp" Target="../ctrlProps/ctrlProp2268.xml"/><Relationship Id="rId243" Type="http://schemas.openxmlformats.org/officeDocument/2006/relationships/ctrlProp" Target="../ctrlProps/ctrlProp240.xml"/><Relationship Id="rId450" Type="http://schemas.openxmlformats.org/officeDocument/2006/relationships/ctrlProp" Target="../ctrlProps/ctrlProp447.xml"/><Relationship Id="rId1080" Type="http://schemas.openxmlformats.org/officeDocument/2006/relationships/ctrlProp" Target="../ctrlProps/ctrlProp1077.xml"/><Relationship Id="rId2131" Type="http://schemas.openxmlformats.org/officeDocument/2006/relationships/ctrlProp" Target="../ctrlProps/ctrlProp2128.xml"/><Relationship Id="rId103" Type="http://schemas.openxmlformats.org/officeDocument/2006/relationships/ctrlProp" Target="../ctrlProps/ctrlProp100.xml"/><Relationship Id="rId310" Type="http://schemas.openxmlformats.org/officeDocument/2006/relationships/ctrlProp" Target="../ctrlProps/ctrlProp307.xml"/><Relationship Id="rId1897" Type="http://schemas.openxmlformats.org/officeDocument/2006/relationships/ctrlProp" Target="../ctrlProps/ctrlProp1894.xml"/><Relationship Id="rId1757" Type="http://schemas.openxmlformats.org/officeDocument/2006/relationships/ctrlProp" Target="../ctrlProps/ctrlProp1754.xml"/><Relationship Id="rId1964" Type="http://schemas.openxmlformats.org/officeDocument/2006/relationships/ctrlProp" Target="../ctrlProps/ctrlProp1961.xml"/><Relationship Id="rId2808" Type="http://schemas.openxmlformats.org/officeDocument/2006/relationships/table" Target="../tables/table118.xml"/><Relationship Id="rId49" Type="http://schemas.openxmlformats.org/officeDocument/2006/relationships/ctrlProp" Target="../ctrlProps/ctrlProp46.xml"/><Relationship Id="rId1617" Type="http://schemas.openxmlformats.org/officeDocument/2006/relationships/ctrlProp" Target="../ctrlProps/ctrlProp1614.xml"/><Relationship Id="rId1824" Type="http://schemas.openxmlformats.org/officeDocument/2006/relationships/ctrlProp" Target="../ctrlProps/ctrlProp1821.xml"/><Relationship Id="rId2598" Type="http://schemas.openxmlformats.org/officeDocument/2006/relationships/ctrlProp" Target="../ctrlProps/ctrlProp2595.xml"/><Relationship Id="rId777" Type="http://schemas.openxmlformats.org/officeDocument/2006/relationships/ctrlProp" Target="../ctrlProps/ctrlProp774.xml"/><Relationship Id="rId984" Type="http://schemas.openxmlformats.org/officeDocument/2006/relationships/ctrlProp" Target="../ctrlProps/ctrlProp981.xml"/><Relationship Id="rId2458" Type="http://schemas.openxmlformats.org/officeDocument/2006/relationships/ctrlProp" Target="../ctrlProps/ctrlProp2455.xml"/><Relationship Id="rId2665" Type="http://schemas.openxmlformats.org/officeDocument/2006/relationships/ctrlProp" Target="../ctrlProps/ctrlProp2662.xml"/><Relationship Id="rId2872" Type="http://schemas.openxmlformats.org/officeDocument/2006/relationships/table" Target="../tables/table182.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1681" Type="http://schemas.openxmlformats.org/officeDocument/2006/relationships/ctrlProp" Target="../ctrlProps/ctrlProp1678.xml"/><Relationship Id="rId2318" Type="http://schemas.openxmlformats.org/officeDocument/2006/relationships/ctrlProp" Target="../ctrlProps/ctrlProp2315.xml"/><Relationship Id="rId2525" Type="http://schemas.openxmlformats.org/officeDocument/2006/relationships/ctrlProp" Target="../ctrlProps/ctrlProp2522.xml"/><Relationship Id="rId2732" Type="http://schemas.openxmlformats.org/officeDocument/2006/relationships/table" Target="../tables/table42.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ctrlProp" Target="../ctrlProps/ctrlProp1538.xml"/><Relationship Id="rId40" Type="http://schemas.openxmlformats.org/officeDocument/2006/relationships/ctrlProp" Target="../ctrlProps/ctrlProp37.xml"/><Relationship Id="rId1401" Type="http://schemas.openxmlformats.org/officeDocument/2006/relationships/ctrlProp" Target="../ctrlProps/ctrlProp1398.xml"/><Relationship Id="rId287" Type="http://schemas.openxmlformats.org/officeDocument/2006/relationships/ctrlProp" Target="../ctrlProps/ctrlProp284.xml"/><Relationship Id="rId494" Type="http://schemas.openxmlformats.org/officeDocument/2006/relationships/ctrlProp" Target="../ctrlProps/ctrlProp491.xml"/><Relationship Id="rId2175" Type="http://schemas.openxmlformats.org/officeDocument/2006/relationships/ctrlProp" Target="../ctrlProps/ctrlProp2172.xml"/><Relationship Id="rId2382" Type="http://schemas.openxmlformats.org/officeDocument/2006/relationships/ctrlProp" Target="../ctrlProps/ctrlProp2379.xml"/><Relationship Id="rId147" Type="http://schemas.openxmlformats.org/officeDocument/2006/relationships/ctrlProp" Target="../ctrlProps/ctrlProp144.xml"/><Relationship Id="rId354" Type="http://schemas.openxmlformats.org/officeDocument/2006/relationships/ctrlProp" Target="../ctrlProps/ctrlProp351.xml"/><Relationship Id="rId1191" Type="http://schemas.openxmlformats.org/officeDocument/2006/relationships/ctrlProp" Target="../ctrlProps/ctrlProp1188.xml"/><Relationship Id="rId2035" Type="http://schemas.openxmlformats.org/officeDocument/2006/relationships/ctrlProp" Target="../ctrlProps/ctrlProp2032.xml"/><Relationship Id="rId561" Type="http://schemas.openxmlformats.org/officeDocument/2006/relationships/ctrlProp" Target="../ctrlProps/ctrlProp558.xml"/><Relationship Id="rId2242" Type="http://schemas.openxmlformats.org/officeDocument/2006/relationships/ctrlProp" Target="../ctrlProps/ctrlProp2239.xml"/><Relationship Id="rId214" Type="http://schemas.openxmlformats.org/officeDocument/2006/relationships/ctrlProp" Target="../ctrlProps/ctrlProp211.xml"/><Relationship Id="rId421" Type="http://schemas.openxmlformats.org/officeDocument/2006/relationships/ctrlProp" Target="../ctrlProps/ctrlProp418.xml"/><Relationship Id="rId1051" Type="http://schemas.openxmlformats.org/officeDocument/2006/relationships/ctrlProp" Target="../ctrlProps/ctrlProp1048.xml"/><Relationship Id="rId2102" Type="http://schemas.openxmlformats.org/officeDocument/2006/relationships/ctrlProp" Target="../ctrlProps/ctrlProp2099.xml"/><Relationship Id="rId1868" Type="http://schemas.openxmlformats.org/officeDocument/2006/relationships/ctrlProp" Target="../ctrlProps/ctrlProp1865.xml"/><Relationship Id="rId2919" Type="http://schemas.openxmlformats.org/officeDocument/2006/relationships/table" Target="../tables/table229.xml"/><Relationship Id="rId1728" Type="http://schemas.openxmlformats.org/officeDocument/2006/relationships/ctrlProp" Target="../ctrlProps/ctrlProp1725.xml"/><Relationship Id="rId1935" Type="http://schemas.openxmlformats.org/officeDocument/2006/relationships/ctrlProp" Target="../ctrlProps/ctrlProp1932.xml"/><Relationship Id="rId4" Type="http://schemas.openxmlformats.org/officeDocument/2006/relationships/ctrlProp" Target="../ctrlProps/ctrlProp1.xml"/><Relationship Id="rId888" Type="http://schemas.openxmlformats.org/officeDocument/2006/relationships/ctrlProp" Target="../ctrlProps/ctrlProp885.xml"/><Relationship Id="rId2569" Type="http://schemas.openxmlformats.org/officeDocument/2006/relationships/ctrlProp" Target="../ctrlProps/ctrlProp2566.xml"/><Relationship Id="rId2776" Type="http://schemas.openxmlformats.org/officeDocument/2006/relationships/table" Target="../tables/table86.xml"/><Relationship Id="rId748" Type="http://schemas.openxmlformats.org/officeDocument/2006/relationships/ctrlProp" Target="../ctrlProps/ctrlProp745.xml"/><Relationship Id="rId955" Type="http://schemas.openxmlformats.org/officeDocument/2006/relationships/ctrlProp" Target="../ctrlProps/ctrlProp952.xml"/><Relationship Id="rId1378" Type="http://schemas.openxmlformats.org/officeDocument/2006/relationships/ctrlProp" Target="../ctrlProps/ctrlProp1375.xml"/><Relationship Id="rId1585" Type="http://schemas.openxmlformats.org/officeDocument/2006/relationships/ctrlProp" Target="../ctrlProps/ctrlProp1582.xml"/><Relationship Id="rId1792" Type="http://schemas.openxmlformats.org/officeDocument/2006/relationships/ctrlProp" Target="../ctrlProps/ctrlProp1789.xml"/><Relationship Id="rId2429" Type="http://schemas.openxmlformats.org/officeDocument/2006/relationships/ctrlProp" Target="../ctrlProps/ctrlProp2426.xml"/><Relationship Id="rId2636" Type="http://schemas.openxmlformats.org/officeDocument/2006/relationships/ctrlProp" Target="../ctrlProps/ctrlProp2633.xml"/><Relationship Id="rId2843" Type="http://schemas.openxmlformats.org/officeDocument/2006/relationships/table" Target="../tables/table153.xml"/><Relationship Id="rId84" Type="http://schemas.openxmlformats.org/officeDocument/2006/relationships/ctrlProp" Target="../ctrlProps/ctrlProp8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1652" Type="http://schemas.openxmlformats.org/officeDocument/2006/relationships/ctrlProp" Target="../ctrlProps/ctrlProp1649.xml"/><Relationship Id="rId1305" Type="http://schemas.openxmlformats.org/officeDocument/2006/relationships/ctrlProp" Target="../ctrlProps/ctrlProp1302.xml"/><Relationship Id="rId2703" Type="http://schemas.openxmlformats.org/officeDocument/2006/relationships/table" Target="../tables/table13.xml"/><Relationship Id="rId2910" Type="http://schemas.openxmlformats.org/officeDocument/2006/relationships/table" Target="../tables/table220.xml"/><Relationship Id="rId1512" Type="http://schemas.openxmlformats.org/officeDocument/2006/relationships/ctrlProp" Target="../ctrlProps/ctrlProp1509.xml"/><Relationship Id="rId11" Type="http://schemas.openxmlformats.org/officeDocument/2006/relationships/ctrlProp" Target="../ctrlProps/ctrlProp8.xml"/><Relationship Id="rId398" Type="http://schemas.openxmlformats.org/officeDocument/2006/relationships/ctrlProp" Target="../ctrlProps/ctrlProp395.xml"/><Relationship Id="rId2079" Type="http://schemas.openxmlformats.org/officeDocument/2006/relationships/ctrlProp" Target="../ctrlProps/ctrlProp2076.xml"/><Relationship Id="rId2286" Type="http://schemas.openxmlformats.org/officeDocument/2006/relationships/ctrlProp" Target="../ctrlProps/ctrlProp2283.xml"/><Relationship Id="rId2493" Type="http://schemas.openxmlformats.org/officeDocument/2006/relationships/ctrlProp" Target="../ctrlProps/ctrlProp2490.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2146" Type="http://schemas.openxmlformats.org/officeDocument/2006/relationships/ctrlProp" Target="../ctrlProps/ctrlProp2143.xml"/><Relationship Id="rId2353" Type="http://schemas.openxmlformats.org/officeDocument/2006/relationships/ctrlProp" Target="../ctrlProps/ctrlProp2350.xml"/><Relationship Id="rId2560" Type="http://schemas.openxmlformats.org/officeDocument/2006/relationships/ctrlProp" Target="../ctrlProps/ctrlProp2557.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1162" Type="http://schemas.openxmlformats.org/officeDocument/2006/relationships/ctrlProp" Target="../ctrlProps/ctrlProp1159.xml"/><Relationship Id="rId2006" Type="http://schemas.openxmlformats.org/officeDocument/2006/relationships/ctrlProp" Target="../ctrlProps/ctrlProp2003.xml"/><Relationship Id="rId2213" Type="http://schemas.openxmlformats.org/officeDocument/2006/relationships/ctrlProp" Target="../ctrlProps/ctrlProp2210.xml"/><Relationship Id="rId2420" Type="http://schemas.openxmlformats.org/officeDocument/2006/relationships/ctrlProp" Target="../ctrlProps/ctrlProp2417.xml"/><Relationship Id="rId1022" Type="http://schemas.openxmlformats.org/officeDocument/2006/relationships/ctrlProp" Target="../ctrlProps/ctrlProp1019.xml"/><Relationship Id="rId1979" Type="http://schemas.openxmlformats.org/officeDocument/2006/relationships/ctrlProp" Target="../ctrlProps/ctrlProp1976.xml"/><Relationship Id="rId1839" Type="http://schemas.openxmlformats.org/officeDocument/2006/relationships/ctrlProp" Target="../ctrlProps/ctrlProp1836.xml"/><Relationship Id="rId182" Type="http://schemas.openxmlformats.org/officeDocument/2006/relationships/ctrlProp" Target="../ctrlProps/ctrlProp179.xml"/><Relationship Id="rId1906" Type="http://schemas.openxmlformats.org/officeDocument/2006/relationships/ctrlProp" Target="../ctrlProps/ctrlProp1903.xml"/><Relationship Id="rId2070" Type="http://schemas.openxmlformats.org/officeDocument/2006/relationships/ctrlProp" Target="../ctrlProps/ctrlProp2067.xml"/><Relationship Id="rId999" Type="http://schemas.openxmlformats.org/officeDocument/2006/relationships/ctrlProp" Target="../ctrlProps/ctrlProp996.xml"/><Relationship Id="rId2887" Type="http://schemas.openxmlformats.org/officeDocument/2006/relationships/table" Target="../tables/table197.xml"/><Relationship Id="rId859" Type="http://schemas.openxmlformats.org/officeDocument/2006/relationships/ctrlProp" Target="../ctrlProps/ctrlProp856.xml"/><Relationship Id="rId1489" Type="http://schemas.openxmlformats.org/officeDocument/2006/relationships/ctrlProp" Target="../ctrlProps/ctrlProp1486.xml"/><Relationship Id="rId1696" Type="http://schemas.openxmlformats.org/officeDocument/2006/relationships/ctrlProp" Target="../ctrlProps/ctrlProp1693.xml"/><Relationship Id="rId1349" Type="http://schemas.openxmlformats.org/officeDocument/2006/relationships/ctrlProp" Target="../ctrlProps/ctrlProp1346.xml"/><Relationship Id="rId2747" Type="http://schemas.openxmlformats.org/officeDocument/2006/relationships/table" Target="../tables/table57.xml"/><Relationship Id="rId719" Type="http://schemas.openxmlformats.org/officeDocument/2006/relationships/ctrlProp" Target="../ctrlProps/ctrlProp716.xml"/><Relationship Id="rId926" Type="http://schemas.openxmlformats.org/officeDocument/2006/relationships/ctrlProp" Target="../ctrlProps/ctrlProp923.xml"/><Relationship Id="rId1556" Type="http://schemas.openxmlformats.org/officeDocument/2006/relationships/ctrlProp" Target="../ctrlProps/ctrlProp1553.xml"/><Relationship Id="rId1763" Type="http://schemas.openxmlformats.org/officeDocument/2006/relationships/ctrlProp" Target="../ctrlProps/ctrlProp1760.xml"/><Relationship Id="rId1970" Type="http://schemas.openxmlformats.org/officeDocument/2006/relationships/ctrlProp" Target="../ctrlProps/ctrlProp1967.xml"/><Relationship Id="rId2607" Type="http://schemas.openxmlformats.org/officeDocument/2006/relationships/ctrlProp" Target="../ctrlProps/ctrlProp2604.xml"/><Relationship Id="rId2814" Type="http://schemas.openxmlformats.org/officeDocument/2006/relationships/table" Target="../tables/table124.xml"/><Relationship Id="rId55" Type="http://schemas.openxmlformats.org/officeDocument/2006/relationships/ctrlProp" Target="../ctrlProps/ctrlProp52.xml"/><Relationship Id="rId1209" Type="http://schemas.openxmlformats.org/officeDocument/2006/relationships/ctrlProp" Target="../ctrlProps/ctrlProp1206.xml"/><Relationship Id="rId1416" Type="http://schemas.openxmlformats.org/officeDocument/2006/relationships/ctrlProp" Target="../ctrlProps/ctrlProp1413.xml"/><Relationship Id="rId1623" Type="http://schemas.openxmlformats.org/officeDocument/2006/relationships/ctrlProp" Target="../ctrlProps/ctrlProp1620.xml"/><Relationship Id="rId1830" Type="http://schemas.openxmlformats.org/officeDocument/2006/relationships/ctrlProp" Target="../ctrlProps/ctrlProp1827.xml"/><Relationship Id="rId2397" Type="http://schemas.openxmlformats.org/officeDocument/2006/relationships/ctrlProp" Target="../ctrlProps/ctrlProp2394.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57" Type="http://schemas.openxmlformats.org/officeDocument/2006/relationships/ctrlProp" Target="../ctrlProps/ctrlProp2254.xml"/><Relationship Id="rId2464" Type="http://schemas.openxmlformats.org/officeDocument/2006/relationships/ctrlProp" Target="../ctrlProps/ctrlProp2461.xml"/><Relationship Id="rId2671" Type="http://schemas.openxmlformats.org/officeDocument/2006/relationships/ctrlProp" Target="../ctrlProps/ctrlProp2668.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2117" Type="http://schemas.openxmlformats.org/officeDocument/2006/relationships/ctrlProp" Target="../ctrlProps/ctrlProp2114.xml"/><Relationship Id="rId2324" Type="http://schemas.openxmlformats.org/officeDocument/2006/relationships/ctrlProp" Target="../ctrlProps/ctrlProp2321.xml"/><Relationship Id="rId850" Type="http://schemas.openxmlformats.org/officeDocument/2006/relationships/ctrlProp" Target="../ctrlProps/ctrlProp847.xml"/><Relationship Id="rId1133" Type="http://schemas.openxmlformats.org/officeDocument/2006/relationships/ctrlProp" Target="../ctrlProps/ctrlProp1130.xml"/><Relationship Id="rId2531" Type="http://schemas.openxmlformats.org/officeDocument/2006/relationships/ctrlProp" Target="../ctrlProps/ctrlProp2528.xml"/><Relationship Id="rId503" Type="http://schemas.openxmlformats.org/officeDocument/2006/relationships/ctrlProp" Target="../ctrlProps/ctrlProp500.xml"/><Relationship Id="rId710" Type="http://schemas.openxmlformats.org/officeDocument/2006/relationships/ctrlProp" Target="../ctrlProps/ctrlProp707.xml"/><Relationship Id="rId1340" Type="http://schemas.openxmlformats.org/officeDocument/2006/relationships/ctrlProp" Target="../ctrlProps/ctrlProp1337.xml"/><Relationship Id="rId1200" Type="http://schemas.openxmlformats.org/officeDocument/2006/relationships/ctrlProp" Target="../ctrlProps/ctrlProp1197.xml"/></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2688.xml"/><Relationship Id="rId7" Type="http://schemas.openxmlformats.org/officeDocument/2006/relationships/table" Target="../tables/table230.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2691.xml"/><Relationship Id="rId5" Type="http://schemas.openxmlformats.org/officeDocument/2006/relationships/ctrlProp" Target="../ctrlProps/ctrlProp2690.xml"/><Relationship Id="rId4" Type="http://schemas.openxmlformats.org/officeDocument/2006/relationships/ctrlProp" Target="../ctrlProps/ctrlProp268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4531"/>
  <sheetViews>
    <sheetView tabSelected="1" zoomScaleSheetLayoutView="100" workbookViewId="0">
      <selection activeCell="C15" sqref="C15"/>
    </sheetView>
  </sheetViews>
  <sheetFormatPr baseColWidth="10" defaultColWidth="9.140625" defaultRowHeight="14.25" customHeight="1" x14ac:dyDescent="0.25"/>
  <cols>
    <col min="1" max="1" width="24.28515625" style="21" customWidth="1"/>
    <col min="2" max="2" width="46.42578125" style="21" customWidth="1"/>
    <col min="3" max="3" width="19" style="21" customWidth="1"/>
    <col min="4" max="4" width="24" style="21" customWidth="1"/>
    <col min="5" max="6" width="24.28515625" style="21" customWidth="1"/>
    <col min="7" max="7" width="11.42578125" style="21" customWidth="1"/>
    <col min="8" max="9" width="9.140625" style="21" hidden="1" customWidth="1"/>
    <col min="10" max="10" width="11.42578125" style="21" hidden="1" customWidth="1"/>
    <col min="11" max="11" width="7.42578125" style="21" customWidth="1"/>
    <col min="12" max="12" width="14.28515625" style="21" customWidth="1"/>
    <col min="13" max="13" width="22.42578125" style="21" customWidth="1"/>
    <col min="14" max="14" width="72.85546875" style="21" customWidth="1"/>
    <col min="15" max="15" width="14.28515625" style="21" customWidth="1"/>
    <col min="16" max="16" width="9.140625" style="21" customWidth="1"/>
    <col min="17" max="16384" width="9.140625" style="21"/>
  </cols>
  <sheetData>
    <row r="1" spans="1:14" s="37" customFormat="1" ht="18.75" x14ac:dyDescent="0.25">
      <c r="A1" s="65"/>
      <c r="B1" s="33"/>
      <c r="C1" s="34"/>
      <c r="D1" s="34"/>
      <c r="E1" s="35"/>
      <c r="F1" s="33"/>
      <c r="G1" s="36"/>
      <c r="H1" s="36"/>
      <c r="I1" s="36"/>
      <c r="J1" s="36"/>
      <c r="K1" s="36"/>
      <c r="L1" s="36"/>
      <c r="M1" s="36"/>
      <c r="N1" s="36"/>
    </row>
    <row r="2" spans="1:14" s="37" customFormat="1" ht="23.25" x14ac:dyDescent="0.25">
      <c r="A2" s="65"/>
      <c r="B2" s="66" t="s">
        <v>85</v>
      </c>
      <c r="C2" s="66"/>
      <c r="D2" s="66"/>
      <c r="E2" s="66"/>
      <c r="F2" s="38"/>
      <c r="G2" s="36"/>
      <c r="H2" s="36"/>
      <c r="I2" s="36"/>
      <c r="J2" s="36"/>
      <c r="K2" s="36"/>
      <c r="L2" s="36"/>
      <c r="M2" s="36"/>
      <c r="N2" s="36"/>
    </row>
    <row r="3" spans="1:14" s="37" customFormat="1" ht="21" customHeight="1" x14ac:dyDescent="0.25">
      <c r="A3" s="65"/>
      <c r="B3" s="67" t="str">
        <f>"AÑO "&amp;E11</f>
        <v>AÑO 2026</v>
      </c>
      <c r="C3" s="67"/>
      <c r="D3" s="67"/>
      <c r="E3" s="67"/>
      <c r="F3" s="39"/>
      <c r="G3" s="36"/>
      <c r="H3" s="36"/>
      <c r="I3" s="36"/>
      <c r="J3" s="36"/>
      <c r="K3" s="36"/>
      <c r="L3" s="36"/>
      <c r="M3" s="36"/>
      <c r="N3" s="36"/>
    </row>
    <row r="4" spans="1:14" s="37" customFormat="1" ht="18.75" x14ac:dyDescent="0.25">
      <c r="A4" s="65"/>
      <c r="B4" s="33"/>
      <c r="C4" s="33"/>
      <c r="D4" s="33"/>
      <c r="E4" s="40"/>
      <c r="F4" s="33"/>
      <c r="G4" s="36"/>
      <c r="H4" s="36"/>
      <c r="I4" s="36"/>
      <c r="J4" s="36"/>
      <c r="K4" s="36"/>
      <c r="L4" s="36"/>
      <c r="M4" s="36"/>
      <c r="N4" s="36"/>
    </row>
    <row r="5" spans="1:14" s="37" customFormat="1" ht="21" x14ac:dyDescent="0.25">
      <c r="A5" s="41"/>
      <c r="B5" s="41"/>
      <c r="C5" s="42"/>
      <c r="D5" s="42"/>
      <c r="E5" s="42"/>
      <c r="F5" s="42"/>
      <c r="G5" s="36"/>
      <c r="H5" s="36"/>
      <c r="I5" s="36"/>
      <c r="J5" s="36"/>
      <c r="K5" s="36"/>
      <c r="L5" s="36"/>
      <c r="M5" s="36"/>
      <c r="N5" s="36"/>
    </row>
    <row r="6" spans="1:14" s="36" customFormat="1" ht="12" x14ac:dyDescent="0.25">
      <c r="A6" s="43" t="s">
        <v>625</v>
      </c>
      <c r="B6" s="44"/>
      <c r="C6" s="45"/>
      <c r="D6" s="46" t="s">
        <v>334</v>
      </c>
      <c r="E6" s="59" t="s">
        <v>534</v>
      </c>
      <c r="F6" s="60"/>
    </row>
    <row r="7" spans="1:14" s="36" customFormat="1" ht="12" x14ac:dyDescent="0.25">
      <c r="A7" s="47" t="s">
        <v>1033</v>
      </c>
      <c r="B7" s="44"/>
      <c r="C7" s="44"/>
      <c r="D7" s="46" t="s">
        <v>650</v>
      </c>
      <c r="E7" s="59" t="s">
        <v>978</v>
      </c>
      <c r="F7" s="60"/>
    </row>
    <row r="8" spans="1:14" s="36" customFormat="1" ht="12" x14ac:dyDescent="0.25">
      <c r="A8" s="44"/>
      <c r="B8" s="44"/>
      <c r="C8" s="44"/>
      <c r="D8" s="46" t="s">
        <v>749</v>
      </c>
      <c r="E8" s="59" t="s">
        <v>1112</v>
      </c>
      <c r="F8" s="60"/>
    </row>
    <row r="9" spans="1:14" s="36" customFormat="1" ht="12" x14ac:dyDescent="0.25">
      <c r="A9" s="48" t="s">
        <v>241</v>
      </c>
      <c r="B9" s="49">
        <f ca="1">COUNTIFS(TotalEstColumnName,"="&amp;TotalEstLabel,TotalEstColumnValue,"&gt;0")</f>
        <v>229</v>
      </c>
      <c r="C9" s="44"/>
      <c r="D9" s="46" t="s">
        <v>444</v>
      </c>
      <c r="E9" s="59" t="s">
        <v>40</v>
      </c>
      <c r="F9" s="60"/>
    </row>
    <row r="10" spans="1:14" s="36" customFormat="1" ht="12" x14ac:dyDescent="0.25">
      <c r="A10" s="50" t="s">
        <v>1095</v>
      </c>
      <c r="B10" s="51">
        <f ca="1">SUMIF(TotalEstColumnName,"="&amp;TotalEstLabel,TotalEstColumnValue)</f>
        <v>5720780700.8575983</v>
      </c>
      <c r="C10" s="44"/>
      <c r="D10" s="46" t="s">
        <v>954</v>
      </c>
      <c r="E10" s="59" t="s">
        <v>1150</v>
      </c>
      <c r="F10" s="60"/>
    </row>
    <row r="11" spans="1:14" s="36" customFormat="1" ht="12" x14ac:dyDescent="0.25">
      <c r="A11" s="44"/>
      <c r="B11" s="44"/>
      <c r="C11" s="44"/>
      <c r="D11" s="46" t="s">
        <v>209</v>
      </c>
      <c r="E11" s="61" t="s">
        <v>346</v>
      </c>
      <c r="F11" s="62"/>
    </row>
    <row r="12" spans="1:14" s="36" customFormat="1" ht="12" x14ac:dyDescent="0.25">
      <c r="A12" s="52"/>
      <c r="B12" s="52"/>
      <c r="C12" s="52"/>
      <c r="D12" s="46" t="s">
        <v>213</v>
      </c>
      <c r="E12" s="63" t="s">
        <v>436</v>
      </c>
      <c r="F12" s="64"/>
    </row>
    <row r="13" spans="1:14" s="53" customFormat="1" ht="14.25" customHeight="1" x14ac:dyDescent="0.25"/>
    <row r="14" spans="1:14" s="53" customFormat="1" ht="14.25" customHeight="1" x14ac:dyDescent="0.25"/>
    <row r="15" spans="1:14" s="53" customFormat="1" ht="33.950000000000003" customHeight="1" x14ac:dyDescent="0.25">
      <c r="A15" s="22" t="s">
        <v>1051</v>
      </c>
      <c r="B15" s="22" t="s">
        <v>11</v>
      </c>
      <c r="C15" s="22" t="s">
        <v>751</v>
      </c>
      <c r="D15" s="22" t="s">
        <v>930</v>
      </c>
      <c r="E15" s="22" t="s">
        <v>699</v>
      </c>
      <c r="F15" s="22" t="s">
        <v>710</v>
      </c>
    </row>
    <row r="16" spans="1:14" s="53" customFormat="1" ht="14.25" customHeight="1" x14ac:dyDescent="0.25">
      <c r="A16" s="23" t="s">
        <v>234</v>
      </c>
      <c r="B16" s="23" t="s">
        <v>234</v>
      </c>
      <c r="C16" s="23" t="s">
        <v>438</v>
      </c>
      <c r="D16" s="23" t="s">
        <v>473</v>
      </c>
      <c r="E16" s="23" t="s">
        <v>1156</v>
      </c>
      <c r="F16" s="23" t="s">
        <v>436</v>
      </c>
    </row>
    <row r="17" spans="1:10" s="53" customFormat="1" ht="14.25" customHeight="1" x14ac:dyDescent="0.25">
      <c r="A17" s="68" t="s">
        <v>965</v>
      </c>
      <c r="B17" s="24" t="s">
        <v>543</v>
      </c>
      <c r="C17" s="54">
        <v>46064</v>
      </c>
      <c r="D17" s="68" t="s">
        <v>598</v>
      </c>
      <c r="E17" s="56" t="s">
        <v>858</v>
      </c>
      <c r="F17" s="57"/>
    </row>
    <row r="18" spans="1:10" s="53" customFormat="1" ht="14.25" customHeight="1" x14ac:dyDescent="0.25">
      <c r="A18" s="69"/>
      <c r="B18" s="24" t="s">
        <v>112</v>
      </c>
      <c r="C18" s="55">
        <f>IF(C17="","",IF(AND(MONTH(C17)&gt;=1,MONTH(C17)&lt;=3),1,IF(AND(MONTH(C17)&gt;=4,MONTH(C17)&lt;=6),2,IF(AND(MONTH(C17)&gt;=7,MONTH(C17)&lt;=9),3,4))))</f>
        <v>1</v>
      </c>
      <c r="D18" s="69"/>
      <c r="E18" s="56" t="s">
        <v>143</v>
      </c>
      <c r="F18" s="57"/>
    </row>
    <row r="19" spans="1:10" s="53" customFormat="1" ht="14.25" customHeight="1" x14ac:dyDescent="0.25">
      <c r="A19" s="69"/>
      <c r="B19" s="24" t="s">
        <v>844</v>
      </c>
      <c r="C19" s="54">
        <v>46112</v>
      </c>
      <c r="D19" s="69"/>
      <c r="E19" s="56" t="s">
        <v>183</v>
      </c>
      <c r="F19" s="57"/>
    </row>
    <row r="20" spans="1:10" s="53" customFormat="1" ht="14.25" customHeight="1" x14ac:dyDescent="0.25">
      <c r="A20" s="69"/>
      <c r="B20" s="24" t="s">
        <v>112</v>
      </c>
      <c r="C20" s="55">
        <f>IF(C19="","",IF(AND(MONTH(C19)&gt;=1,MONTH(C19)&lt;=3),1,IF(AND(MONTH(C19)&gt;=4,MONTH(C19)&lt;=6),2,IF(AND(MONTH(C19)&gt;=7,MONTH(C19)&lt;=9),3,4))))</f>
        <v>1</v>
      </c>
      <c r="D20" s="69"/>
      <c r="E20" s="56" t="s">
        <v>865</v>
      </c>
      <c r="F20" s="57"/>
    </row>
    <row r="21" spans="1:10" s="53" customFormat="1" ht="14.25" customHeight="1" x14ac:dyDescent="0.25"/>
    <row r="22" spans="1:10" s="53" customFormat="1" ht="14.25" customHeight="1" x14ac:dyDescent="0.25">
      <c r="A22" s="29" t="s">
        <v>1017</v>
      </c>
      <c r="B22" s="29" t="s">
        <v>1042</v>
      </c>
      <c r="C22" s="29" t="s">
        <v>1011</v>
      </c>
      <c r="D22" s="29" t="s">
        <v>985</v>
      </c>
      <c r="E22" s="29" t="s">
        <v>449</v>
      </c>
      <c r="F22" s="29" t="s">
        <v>989</v>
      </c>
    </row>
    <row r="23" spans="1:10" s="53" customFormat="1" ht="14.25" customHeight="1" x14ac:dyDescent="0.25">
      <c r="A23" s="25" t="s">
        <v>594</v>
      </c>
      <c r="B23" s="26" t="str">
        <f ca="1">IFERROR(INDEX(UNSPSCDes,MATCH(INDIRECT(ADDRESS(ROW(),COLUMN()-1,4)),UNSPSCCode,0)),IF(INDIRECT(ADDRESS(ROW(),COLUMN()-1,4))="80131502","Arrendamiento de instalaciones comerciales o industriales",""))</f>
        <v>Arrendamiento de instalaciones comerciales o industriales</v>
      </c>
      <c r="C23" s="58" t="str">
        <f>IFERROR(VLOOKUP("UD",'Informacion '!P:Q,2,FALSE),"")</f>
        <v>Unidad</v>
      </c>
      <c r="D23" s="25">
        <v>12</v>
      </c>
      <c r="E23" s="28">
        <v>653944.5</v>
      </c>
      <c r="F23" s="27">
        <f ca="1">INDIRECT(ADDRESS(ROW(),COLUMN()-2,4))*INDIRECT(ADDRESS(ROW(),COLUMN()-1,4))</f>
        <v>7847334</v>
      </c>
    </row>
    <row r="24" spans="1:10" s="53" customFormat="1" ht="14.25" customHeight="1" x14ac:dyDescent="0.25">
      <c r="E24" s="30" t="s">
        <v>816</v>
      </c>
      <c r="F24" s="31">
        <f ca="1">SUM(Table4[MONTO TOTAL ESTIMADO])</f>
        <v>7847334</v>
      </c>
      <c r="H24" s="53" t="str">
        <f>C16</f>
        <v>Servicios</v>
      </c>
      <c r="I24" s="53" t="str">
        <f>E16</f>
        <v>No</v>
      </c>
      <c r="J24" s="53" t="str">
        <f>D16</f>
        <v>Excepción - Proveedor Único</v>
      </c>
    </row>
    <row r="25" spans="1:10" s="53" customFormat="1" ht="14.25" customHeight="1" x14ac:dyDescent="0.25"/>
    <row r="26" spans="1:10" s="53" customFormat="1" ht="33.950000000000003" customHeight="1" x14ac:dyDescent="0.25">
      <c r="A26" s="22" t="s">
        <v>1051</v>
      </c>
      <c r="B26" s="22" t="s">
        <v>11</v>
      </c>
      <c r="C26" s="22" t="s">
        <v>751</v>
      </c>
      <c r="D26" s="22" t="s">
        <v>930</v>
      </c>
      <c r="E26" s="22" t="s">
        <v>699</v>
      </c>
      <c r="F26" s="22" t="s">
        <v>710</v>
      </c>
    </row>
    <row r="27" spans="1:10" s="53" customFormat="1" ht="14.25" customHeight="1" x14ac:dyDescent="0.25">
      <c r="A27" s="23" t="s">
        <v>475</v>
      </c>
      <c r="B27" s="23" t="s">
        <v>475</v>
      </c>
      <c r="C27" s="23" t="s">
        <v>438</v>
      </c>
      <c r="D27" s="23" t="s">
        <v>473</v>
      </c>
      <c r="E27" s="23" t="s">
        <v>1156</v>
      </c>
      <c r="F27" s="23" t="s">
        <v>436</v>
      </c>
    </row>
    <row r="28" spans="1:10" ht="14.25" customHeight="1" x14ac:dyDescent="0.25">
      <c r="A28" s="68" t="s">
        <v>965</v>
      </c>
      <c r="B28" s="24" t="s">
        <v>543</v>
      </c>
      <c r="C28" s="54">
        <v>46065</v>
      </c>
      <c r="D28" s="68" t="s">
        <v>598</v>
      </c>
      <c r="E28" s="56" t="s">
        <v>858</v>
      </c>
      <c r="F28" s="57"/>
    </row>
    <row r="29" spans="1:10" ht="14.25" customHeight="1" x14ac:dyDescent="0.25">
      <c r="A29" s="69"/>
      <c r="B29" s="24" t="s">
        <v>112</v>
      </c>
      <c r="C29" s="55">
        <f>IF(C28="","",IF(AND(MONTH(C28)&gt;=1,MONTH(C28)&lt;=3),1,IF(AND(MONTH(C28)&gt;=4,MONTH(C28)&lt;=6),2,IF(AND(MONTH(C28)&gt;=7,MONTH(C28)&lt;=9),3,4))))</f>
        <v>1</v>
      </c>
      <c r="D29" s="69"/>
      <c r="E29" s="56" t="s">
        <v>143</v>
      </c>
      <c r="F29" s="57"/>
    </row>
    <row r="30" spans="1:10" ht="14.25" customHeight="1" x14ac:dyDescent="0.25">
      <c r="A30" s="69"/>
      <c r="B30" s="24" t="s">
        <v>844</v>
      </c>
      <c r="C30" s="54">
        <v>46112</v>
      </c>
      <c r="D30" s="69"/>
      <c r="E30" s="56" t="s">
        <v>183</v>
      </c>
      <c r="F30" s="57"/>
    </row>
    <row r="31" spans="1:10" ht="14.25" customHeight="1" x14ac:dyDescent="0.25">
      <c r="A31" s="69"/>
      <c r="B31" s="24" t="s">
        <v>112</v>
      </c>
      <c r="C31" s="55">
        <f>IF(C30="","",IF(AND(MONTH(C30)&gt;=1,MONTH(C30)&lt;=3),1,IF(AND(MONTH(C30)&gt;=4,MONTH(C30)&lt;=6),2,IF(AND(MONTH(C30)&gt;=7,MONTH(C30)&lt;=9),3,4))))</f>
        <v>1</v>
      </c>
      <c r="D31" s="69"/>
      <c r="E31" s="56" t="s">
        <v>865</v>
      </c>
      <c r="F31" s="57"/>
    </row>
    <row r="33" spans="1:10" ht="14.25" customHeight="1" x14ac:dyDescent="0.25">
      <c r="A33" s="29" t="s">
        <v>1017</v>
      </c>
      <c r="B33" s="29" t="s">
        <v>1042</v>
      </c>
      <c r="C33" s="29" t="s">
        <v>1011</v>
      </c>
      <c r="D33" s="29" t="s">
        <v>985</v>
      </c>
      <c r="E33" s="29" t="s">
        <v>449</v>
      </c>
      <c r="F33" s="29" t="s">
        <v>989</v>
      </c>
    </row>
    <row r="34" spans="1:10" ht="14.25" customHeight="1" x14ac:dyDescent="0.25">
      <c r="A34" s="25" t="s">
        <v>594</v>
      </c>
      <c r="B34" s="26" t="str">
        <f ca="1">IFERROR(INDEX(UNSPSCDes,MATCH(INDIRECT(ADDRESS(ROW(),COLUMN()-1,4)),UNSPSCCode,0)),IF(INDIRECT(ADDRESS(ROW(),COLUMN()-1,4))="80131502","Arrendamiento de instalaciones comerciales o industriales",""))</f>
        <v>Arrendamiento de instalaciones comerciales o industriales</v>
      </c>
      <c r="C34" s="58" t="str">
        <f>IFERROR(VLOOKUP("UD",'Informacion '!P:Q,2,FALSE),"")</f>
        <v>Unidad</v>
      </c>
      <c r="D34" s="25">
        <v>12</v>
      </c>
      <c r="E34" s="28">
        <v>301551.35999999999</v>
      </c>
      <c r="F34" s="27">
        <f ca="1">INDIRECT(ADDRESS(ROW(),COLUMN()-2,4))*INDIRECT(ADDRESS(ROW(),COLUMN()-1,4))</f>
        <v>3618616.32</v>
      </c>
    </row>
    <row r="35" spans="1:10" ht="14.25" customHeight="1" x14ac:dyDescent="0.25">
      <c r="E35" s="30" t="s">
        <v>816</v>
      </c>
      <c r="F35" s="31">
        <f ca="1">SUM(Table5[MONTO TOTAL ESTIMADO])</f>
        <v>3618616.32</v>
      </c>
      <c r="H35" s="21" t="str">
        <f>C27</f>
        <v>Servicios</v>
      </c>
      <c r="I35" s="21" t="str">
        <f>E27</f>
        <v>No</v>
      </c>
      <c r="J35" s="21" t="str">
        <f>D27</f>
        <v>Excepción - Proveedor Único</v>
      </c>
    </row>
    <row r="37" spans="1:10" ht="33.950000000000003" customHeight="1" x14ac:dyDescent="0.25">
      <c r="A37" s="22" t="s">
        <v>1051</v>
      </c>
      <c r="B37" s="22" t="s">
        <v>11</v>
      </c>
      <c r="C37" s="22" t="s">
        <v>751</v>
      </c>
      <c r="D37" s="22" t="s">
        <v>930</v>
      </c>
      <c r="E37" s="22" t="s">
        <v>699</v>
      </c>
      <c r="F37" s="22" t="s">
        <v>710</v>
      </c>
    </row>
    <row r="38" spans="1:10" ht="14.25" customHeight="1" x14ac:dyDescent="0.25">
      <c r="A38" s="23" t="s">
        <v>122</v>
      </c>
      <c r="B38" s="23" t="s">
        <v>122</v>
      </c>
      <c r="C38" s="23" t="s">
        <v>438</v>
      </c>
      <c r="D38" s="23" t="s">
        <v>654</v>
      </c>
      <c r="E38" s="23" t="s">
        <v>1156</v>
      </c>
      <c r="F38" s="23" t="s">
        <v>436</v>
      </c>
    </row>
    <row r="39" spans="1:10" ht="14.25" customHeight="1" x14ac:dyDescent="0.25">
      <c r="A39" s="68" t="s">
        <v>965</v>
      </c>
      <c r="B39" s="24" t="s">
        <v>543</v>
      </c>
      <c r="C39" s="54">
        <v>46068</v>
      </c>
      <c r="D39" s="68" t="s">
        <v>598</v>
      </c>
      <c r="E39" s="56" t="s">
        <v>858</v>
      </c>
      <c r="F39" s="57" t="s">
        <v>184</v>
      </c>
    </row>
    <row r="40" spans="1:10" ht="14.25" customHeight="1" x14ac:dyDescent="0.25">
      <c r="A40" s="69"/>
      <c r="B40" s="24" t="s">
        <v>112</v>
      </c>
      <c r="C40" s="55">
        <f>IF(C39="","",IF(AND(MONTH(C39)&gt;=1,MONTH(C39)&lt;=3),1,IF(AND(MONTH(C39)&gt;=4,MONTH(C39)&lt;=6),2,IF(AND(MONTH(C39)&gt;=7,MONTH(C39)&lt;=9),3,4))))</f>
        <v>1</v>
      </c>
      <c r="D40" s="69"/>
      <c r="E40" s="56" t="s">
        <v>143</v>
      </c>
      <c r="F40" s="57"/>
    </row>
    <row r="41" spans="1:10" ht="14.25" customHeight="1" x14ac:dyDescent="0.25">
      <c r="A41" s="69"/>
      <c r="B41" s="24" t="s">
        <v>844</v>
      </c>
      <c r="C41" s="54">
        <v>46081</v>
      </c>
      <c r="D41" s="69"/>
      <c r="E41" s="56" t="s">
        <v>183</v>
      </c>
      <c r="F41" s="57"/>
    </row>
    <row r="42" spans="1:10" ht="14.25" customHeight="1" x14ac:dyDescent="0.25">
      <c r="A42" s="69"/>
      <c r="B42" s="24" t="s">
        <v>112</v>
      </c>
      <c r="C42" s="55">
        <f>IF(C41="","",IF(AND(MONTH(C41)&gt;=1,MONTH(C41)&lt;=3),1,IF(AND(MONTH(C41)&gt;=4,MONTH(C41)&lt;=6),2,IF(AND(MONTH(C41)&gt;=7,MONTH(C41)&lt;=9),3,4))))</f>
        <v>1</v>
      </c>
      <c r="D42" s="69"/>
      <c r="E42" s="56" t="s">
        <v>865</v>
      </c>
      <c r="F42" s="57"/>
    </row>
    <row r="44" spans="1:10" ht="14.25" customHeight="1" x14ac:dyDescent="0.25">
      <c r="A44" s="29" t="s">
        <v>1017</v>
      </c>
      <c r="B44" s="29" t="s">
        <v>1042</v>
      </c>
      <c r="C44" s="29" t="s">
        <v>1011</v>
      </c>
      <c r="D44" s="29" t="s">
        <v>985</v>
      </c>
      <c r="E44" s="29" t="s">
        <v>449</v>
      </c>
      <c r="F44" s="29" t="s">
        <v>989</v>
      </c>
    </row>
    <row r="45" spans="1:10" ht="14.25" customHeight="1" x14ac:dyDescent="0.25">
      <c r="A45" s="25" t="s">
        <v>583</v>
      </c>
      <c r="B45" s="26" t="str">
        <f ca="1">IFERROR(INDEX(UNSPSCDes,MATCH(INDIRECT(ADDRESS(ROW(),COLUMN()-1,4)),UNSPSCCode,0)),IF(INDIRECT(ADDRESS(ROW(),COLUMN()-1,4))="76111501","Servicios de limpieza de edificios",""))</f>
        <v>Servicios de limpieza de edificios</v>
      </c>
      <c r="C45" s="58" t="str">
        <f>IFERROR(VLOOKUP("UD",'Informacion '!P:Q,2,FALSE),"")</f>
        <v>Unidad</v>
      </c>
      <c r="D45" s="25">
        <v>2</v>
      </c>
      <c r="E45" s="28">
        <v>800</v>
      </c>
      <c r="F45" s="27">
        <f ca="1">INDIRECT(ADDRESS(ROW(),COLUMN()-2,4))*INDIRECT(ADDRESS(ROW(),COLUMN()-1,4))</f>
        <v>1600</v>
      </c>
    </row>
    <row r="46" spans="1:10" ht="14.25" customHeight="1" x14ac:dyDescent="0.25">
      <c r="E46" s="30" t="s">
        <v>816</v>
      </c>
      <c r="F46" s="31">
        <f ca="1">SUM(Table6[MONTO TOTAL ESTIMADO])</f>
        <v>1600</v>
      </c>
      <c r="H46" s="21" t="str">
        <f>C38</f>
        <v>Servicios</v>
      </c>
      <c r="I46" s="21" t="str">
        <f>E38</f>
        <v>No</v>
      </c>
      <c r="J46" s="21" t="str">
        <f>D38</f>
        <v>Compras por debajo del Umbral</v>
      </c>
    </row>
    <row r="48" spans="1:10" ht="33.950000000000003" customHeight="1" x14ac:dyDescent="0.25">
      <c r="A48" s="22" t="s">
        <v>1051</v>
      </c>
      <c r="B48" s="22" t="s">
        <v>11</v>
      </c>
      <c r="C48" s="22" t="s">
        <v>751</v>
      </c>
      <c r="D48" s="22" t="s">
        <v>930</v>
      </c>
      <c r="E48" s="22" t="s">
        <v>699</v>
      </c>
      <c r="F48" s="22" t="s">
        <v>710</v>
      </c>
    </row>
    <row r="49" spans="1:10" ht="14.25" customHeight="1" x14ac:dyDescent="0.25">
      <c r="A49" s="23" t="s">
        <v>301</v>
      </c>
      <c r="B49" s="23" t="s">
        <v>51</v>
      </c>
      <c r="C49" s="23" t="s">
        <v>438</v>
      </c>
      <c r="D49" s="23" t="s">
        <v>243</v>
      </c>
      <c r="E49" s="23" t="s">
        <v>1156</v>
      </c>
      <c r="F49" s="23" t="s">
        <v>436</v>
      </c>
    </row>
    <row r="50" spans="1:10" ht="14.25" customHeight="1" x14ac:dyDescent="0.25">
      <c r="A50" s="68" t="s">
        <v>965</v>
      </c>
      <c r="B50" s="24" t="s">
        <v>543</v>
      </c>
      <c r="C50" s="54">
        <v>46142</v>
      </c>
      <c r="D50" s="68" t="s">
        <v>598</v>
      </c>
      <c r="E50" s="56" t="s">
        <v>858</v>
      </c>
      <c r="F50" s="57" t="s">
        <v>184</v>
      </c>
    </row>
    <row r="51" spans="1:10" ht="14.25" customHeight="1" x14ac:dyDescent="0.25">
      <c r="A51" s="69"/>
      <c r="B51" s="24" t="s">
        <v>112</v>
      </c>
      <c r="C51" s="55">
        <f>IF(C50="","",IF(AND(MONTH(C50)&gt;=1,MONTH(C50)&lt;=3),1,IF(AND(MONTH(C50)&gt;=4,MONTH(C50)&lt;=6),2,IF(AND(MONTH(C50)&gt;=7,MONTH(C50)&lt;=9),3,4))))</f>
        <v>2</v>
      </c>
      <c r="D51" s="69"/>
      <c r="E51" s="56" t="s">
        <v>143</v>
      </c>
      <c r="F51" s="57"/>
    </row>
    <row r="52" spans="1:10" ht="14.25" customHeight="1" x14ac:dyDescent="0.25">
      <c r="A52" s="69"/>
      <c r="B52" s="24" t="s">
        <v>844</v>
      </c>
      <c r="C52" s="54">
        <v>46151</v>
      </c>
      <c r="D52" s="69"/>
      <c r="E52" s="56" t="s">
        <v>183</v>
      </c>
      <c r="F52" s="57"/>
    </row>
    <row r="53" spans="1:10" ht="14.25" customHeight="1" x14ac:dyDescent="0.25">
      <c r="A53" s="69"/>
      <c r="B53" s="24" t="s">
        <v>112</v>
      </c>
      <c r="C53" s="55">
        <f>IF(C52="","",IF(AND(MONTH(C52)&gt;=1,MONTH(C52)&lt;=3),1,IF(AND(MONTH(C52)&gt;=4,MONTH(C52)&lt;=6),2,IF(AND(MONTH(C52)&gt;=7,MONTH(C52)&lt;=9),3,4))))</f>
        <v>2</v>
      </c>
      <c r="D53" s="69"/>
      <c r="E53" s="56" t="s">
        <v>865</v>
      </c>
      <c r="F53" s="57"/>
    </row>
    <row r="55" spans="1:10" ht="14.25" customHeight="1" x14ac:dyDescent="0.25">
      <c r="A55" s="29" t="s">
        <v>1017</v>
      </c>
      <c r="B55" s="29" t="s">
        <v>1042</v>
      </c>
      <c r="C55" s="29" t="s">
        <v>1011</v>
      </c>
      <c r="D55" s="29" t="s">
        <v>985</v>
      </c>
      <c r="E55" s="29" t="s">
        <v>449</v>
      </c>
      <c r="F55" s="29" t="s">
        <v>989</v>
      </c>
    </row>
    <row r="56" spans="1:10" ht="14.25" customHeight="1" x14ac:dyDescent="0.25">
      <c r="A56" s="25" t="s">
        <v>765</v>
      </c>
      <c r="B56" s="26" t="str">
        <f ca="1">IFERROR(INDEX(UNSPSCDes,MATCH(INDIRECT(ADDRESS(ROW(),COLUMN()-1,4)),UNSPSCCode,0)),IF(INDIRECT(ADDRESS(ROW(),COLUMN()-1,4))="14111608","Certificados de regalo",""))</f>
        <v>Certificados de regalo</v>
      </c>
      <c r="C56" s="58" t="str">
        <f>IFERROR(VLOOKUP("UD",'Informacion '!P:Q,2,FALSE),"")</f>
        <v>Unidad</v>
      </c>
      <c r="D56" s="25">
        <v>1500</v>
      </c>
      <c r="E56" s="28">
        <v>3000</v>
      </c>
      <c r="F56" s="27">
        <f ca="1">INDIRECT(ADDRESS(ROW(),COLUMN()-2,4))*INDIRECT(ADDRESS(ROW(),COLUMN()-1,4))</f>
        <v>4500000</v>
      </c>
    </row>
    <row r="57" spans="1:10" ht="14.25" customHeight="1" x14ac:dyDescent="0.25">
      <c r="E57" s="30" t="s">
        <v>816</v>
      </c>
      <c r="F57" s="31">
        <f ca="1">SUM(Table7[MONTO TOTAL ESTIMADO])</f>
        <v>4500000</v>
      </c>
      <c r="H57" s="21" t="str">
        <f>C49</f>
        <v>Servicios</v>
      </c>
      <c r="I57" s="21" t="str">
        <f>E49</f>
        <v>No</v>
      </c>
      <c r="J57" s="21" t="str">
        <f>D49</f>
        <v>Excepción - Bienes o servicios con exclusividad</v>
      </c>
    </row>
    <row r="59" spans="1:10" ht="33.950000000000003" customHeight="1" x14ac:dyDescent="0.25">
      <c r="A59" s="22" t="s">
        <v>1051</v>
      </c>
      <c r="B59" s="22" t="s">
        <v>11</v>
      </c>
      <c r="C59" s="22" t="s">
        <v>751</v>
      </c>
      <c r="D59" s="22" t="s">
        <v>930</v>
      </c>
      <c r="E59" s="22" t="s">
        <v>699</v>
      </c>
      <c r="F59" s="22" t="s">
        <v>710</v>
      </c>
    </row>
    <row r="60" spans="1:10" ht="14.25" customHeight="1" x14ac:dyDescent="0.25">
      <c r="A60" s="23" t="s">
        <v>257</v>
      </c>
      <c r="B60" s="23" t="s">
        <v>257</v>
      </c>
      <c r="C60" s="23" t="s">
        <v>438</v>
      </c>
      <c r="D60" s="23" t="s">
        <v>1128</v>
      </c>
      <c r="E60" s="23" t="s">
        <v>561</v>
      </c>
      <c r="F60" s="23" t="s">
        <v>436</v>
      </c>
    </row>
    <row r="61" spans="1:10" ht="14.25" customHeight="1" x14ac:dyDescent="0.25">
      <c r="A61" s="68" t="s">
        <v>965</v>
      </c>
      <c r="B61" s="24" t="s">
        <v>543</v>
      </c>
      <c r="C61" s="54">
        <v>46114</v>
      </c>
      <c r="D61" s="68" t="s">
        <v>598</v>
      </c>
      <c r="E61" s="56" t="s">
        <v>858</v>
      </c>
      <c r="F61" s="57" t="s">
        <v>184</v>
      </c>
    </row>
    <row r="62" spans="1:10" ht="14.25" customHeight="1" x14ac:dyDescent="0.25">
      <c r="A62" s="69"/>
      <c r="B62" s="24" t="s">
        <v>112</v>
      </c>
      <c r="C62" s="55">
        <f>IF(C61="","",IF(AND(MONTH(C61)&gt;=1,MONTH(C61)&lt;=3),1,IF(AND(MONTH(C61)&gt;=4,MONTH(C61)&lt;=6),2,IF(AND(MONTH(C61)&gt;=7,MONTH(C61)&lt;=9),3,4))))</f>
        <v>2</v>
      </c>
      <c r="D62" s="69"/>
      <c r="E62" s="56" t="s">
        <v>143</v>
      </c>
      <c r="F62" s="57"/>
    </row>
    <row r="63" spans="1:10" ht="14.25" customHeight="1" x14ac:dyDescent="0.25">
      <c r="A63" s="69"/>
      <c r="B63" s="24" t="s">
        <v>844</v>
      </c>
      <c r="C63" s="54">
        <v>46142</v>
      </c>
      <c r="D63" s="69"/>
      <c r="E63" s="56" t="s">
        <v>183</v>
      </c>
      <c r="F63" s="57"/>
    </row>
    <row r="64" spans="1:10" ht="14.25" customHeight="1" x14ac:dyDescent="0.25">
      <c r="A64" s="69"/>
      <c r="B64" s="24" t="s">
        <v>112</v>
      </c>
      <c r="C64" s="55">
        <f>IF(C63="","",IF(AND(MONTH(C63)&gt;=1,MONTH(C63)&lt;=3),1,IF(AND(MONTH(C63)&gt;=4,MONTH(C63)&lt;=6),2,IF(AND(MONTH(C63)&gt;=7,MONTH(C63)&lt;=9),3,4))))</f>
        <v>2</v>
      </c>
      <c r="D64" s="69"/>
      <c r="E64" s="56" t="s">
        <v>865</v>
      </c>
      <c r="F64" s="57"/>
    </row>
    <row r="66" spans="1:10" ht="14.25" customHeight="1" x14ac:dyDescent="0.25">
      <c r="A66" s="29" t="s">
        <v>1017</v>
      </c>
      <c r="B66" s="29" t="s">
        <v>1042</v>
      </c>
      <c r="C66" s="29" t="s">
        <v>1011</v>
      </c>
      <c r="D66" s="29" t="s">
        <v>985</v>
      </c>
      <c r="E66" s="29" t="s">
        <v>449</v>
      </c>
      <c r="F66" s="29" t="s">
        <v>989</v>
      </c>
    </row>
    <row r="67" spans="1:10" ht="14.25" customHeight="1" x14ac:dyDescent="0.25">
      <c r="A67" s="25" t="s">
        <v>1194</v>
      </c>
      <c r="B67" s="26" t="str">
        <f ca="1">IFERROR(INDEX(UNSPSCDes,MATCH(INDIRECT(ADDRESS(ROW(),COLUMN()-1,4)),UNSPSCCode,0)),IF(INDIRECT(ADDRESS(ROW(),COLUMN()-1,4))="76111504","Servicios de limpieza de ventanas o persianas",""))</f>
        <v>Servicios de limpieza de ventanas o persianas</v>
      </c>
      <c r="C67" s="58" t="str">
        <f>IFERROR(VLOOKUP("UD",'Informacion '!P:Q,2,FALSE),"")</f>
        <v>Unidad</v>
      </c>
      <c r="D67" s="25">
        <v>1</v>
      </c>
      <c r="E67" s="28">
        <v>400000</v>
      </c>
      <c r="F67" s="27">
        <f ca="1">INDIRECT(ADDRESS(ROW(),COLUMN()-2,4))*INDIRECT(ADDRESS(ROW(),COLUMN()-1,4))</f>
        <v>400000</v>
      </c>
    </row>
    <row r="68" spans="1:10" ht="14.25" customHeight="1" x14ac:dyDescent="0.25">
      <c r="E68" s="30" t="s">
        <v>816</v>
      </c>
      <c r="F68" s="31">
        <f ca="1">SUM(Table8[MONTO TOTAL ESTIMADO])</f>
        <v>400000</v>
      </c>
      <c r="H68" s="21" t="str">
        <f>C60</f>
        <v>Servicios</v>
      </c>
      <c r="I68" s="21" t="str">
        <f>E60</f>
        <v>Sí</v>
      </c>
      <c r="J68" s="21" t="str">
        <f>D60</f>
        <v>Compras Menores</v>
      </c>
    </row>
    <row r="70" spans="1:10" ht="33.950000000000003" customHeight="1" x14ac:dyDescent="0.25">
      <c r="A70" s="22" t="s">
        <v>1051</v>
      </c>
      <c r="B70" s="22" t="s">
        <v>11</v>
      </c>
      <c r="C70" s="22" t="s">
        <v>751</v>
      </c>
      <c r="D70" s="22" t="s">
        <v>930</v>
      </c>
      <c r="E70" s="22" t="s">
        <v>699</v>
      </c>
      <c r="F70" s="22" t="s">
        <v>710</v>
      </c>
    </row>
    <row r="71" spans="1:10" ht="14.25" customHeight="1" x14ac:dyDescent="0.25">
      <c r="A71" s="23" t="s">
        <v>975</v>
      </c>
      <c r="B71" s="23" t="s">
        <v>453</v>
      </c>
      <c r="C71" s="23" t="s">
        <v>1155</v>
      </c>
      <c r="D71" s="23" t="s">
        <v>1128</v>
      </c>
      <c r="E71" s="23" t="s">
        <v>561</v>
      </c>
      <c r="F71" s="23" t="s">
        <v>436</v>
      </c>
    </row>
    <row r="72" spans="1:10" ht="14.25" customHeight="1" x14ac:dyDescent="0.25">
      <c r="A72" s="68" t="s">
        <v>965</v>
      </c>
      <c r="B72" s="24" t="s">
        <v>543</v>
      </c>
      <c r="C72" s="54">
        <v>46143</v>
      </c>
      <c r="D72" s="68" t="s">
        <v>598</v>
      </c>
      <c r="E72" s="56" t="s">
        <v>858</v>
      </c>
      <c r="F72" s="57" t="s">
        <v>184</v>
      </c>
    </row>
    <row r="73" spans="1:10" ht="14.25" customHeight="1" x14ac:dyDescent="0.25">
      <c r="A73" s="69"/>
      <c r="B73" s="24" t="s">
        <v>112</v>
      </c>
      <c r="C73" s="55">
        <f>IF(C72="","",IF(AND(MONTH(C72)&gt;=1,MONTH(C72)&lt;=3),1,IF(AND(MONTH(C72)&gt;=4,MONTH(C72)&lt;=6),2,IF(AND(MONTH(C72)&gt;=7,MONTH(C72)&lt;=9),3,4))))</f>
        <v>2</v>
      </c>
      <c r="D73" s="69"/>
      <c r="E73" s="56" t="s">
        <v>143</v>
      </c>
      <c r="F73" s="57"/>
    </row>
    <row r="74" spans="1:10" ht="14.25" customHeight="1" x14ac:dyDescent="0.25">
      <c r="A74" s="69"/>
      <c r="B74" s="24" t="s">
        <v>844</v>
      </c>
      <c r="C74" s="54">
        <v>46156</v>
      </c>
      <c r="D74" s="69"/>
      <c r="E74" s="56" t="s">
        <v>183</v>
      </c>
      <c r="F74" s="57"/>
    </row>
    <row r="75" spans="1:10" ht="14.25" customHeight="1" x14ac:dyDescent="0.25">
      <c r="A75" s="69"/>
      <c r="B75" s="24" t="s">
        <v>112</v>
      </c>
      <c r="C75" s="55">
        <f>IF(C74="","",IF(AND(MONTH(C74)&gt;=1,MONTH(C74)&lt;=3),1,IF(AND(MONTH(C74)&gt;=4,MONTH(C74)&lt;=6),2,IF(AND(MONTH(C74)&gt;=7,MONTH(C74)&lt;=9),3,4))))</f>
        <v>2</v>
      </c>
      <c r="D75" s="69"/>
      <c r="E75" s="56" t="s">
        <v>865</v>
      </c>
      <c r="F75" s="57"/>
    </row>
    <row r="77" spans="1:10" ht="14.25" customHeight="1" x14ac:dyDescent="0.25">
      <c r="A77" s="29" t="s">
        <v>1017</v>
      </c>
      <c r="B77" s="29" t="s">
        <v>1042</v>
      </c>
      <c r="C77" s="29" t="s">
        <v>1011</v>
      </c>
      <c r="D77" s="29" t="s">
        <v>985</v>
      </c>
      <c r="E77" s="29" t="s">
        <v>449</v>
      </c>
      <c r="F77" s="29" t="s">
        <v>989</v>
      </c>
    </row>
    <row r="78" spans="1:10" ht="14.25" customHeight="1" x14ac:dyDescent="0.25">
      <c r="A78" s="25" t="s">
        <v>727</v>
      </c>
      <c r="B78" s="26" t="str">
        <f ca="1">IFERROR(INDEX(UNSPSCDes,MATCH(INDIRECT(ADDRESS(ROW(),COLUMN()-1,4)),UNSPSCCode,0)),IF(INDIRECT(ADDRESS(ROW(),COLUMN()-1,4))="50161814","Azúcar o sustituto de azúcar, confite",""))</f>
        <v>Azúcar o sustituto de azúcar, confite</v>
      </c>
      <c r="C78" s="58" t="str">
        <f>IFERROR(VLOOKUP("CAJ",'Informacion '!P:Q,2,FALSE),"")</f>
        <v>Caja</v>
      </c>
      <c r="D78" s="25">
        <v>50</v>
      </c>
      <c r="E78" s="28">
        <v>420</v>
      </c>
      <c r="F78" s="27">
        <f t="shared" ref="F78:F101" ca="1" si="0">INDIRECT(ADDRESS(ROW(),COLUMN()-2,4))*INDIRECT(ADDRESS(ROW(),COLUMN()-1,4))</f>
        <v>21000</v>
      </c>
    </row>
    <row r="79" spans="1:10" ht="14.25" customHeight="1" x14ac:dyDescent="0.25">
      <c r="A79" s="25" t="s">
        <v>727</v>
      </c>
      <c r="B79" s="26" t="str">
        <f ca="1">IFERROR(INDEX(UNSPSCDes,MATCH(INDIRECT(ADDRESS(ROW(),COLUMN()-1,4)),UNSPSCCode,0)),IF(INDIRECT(ADDRESS(ROW(),COLUMN()-1,4))="50161814","Azúcar o sustituto de azúcar, confite",""))</f>
        <v>Azúcar o sustituto de azúcar, confite</v>
      </c>
      <c r="C79" s="58" t="str">
        <f>IFERROR(VLOOKUP("CAJ",'Informacion '!P:Q,2,FALSE),"")</f>
        <v>Caja</v>
      </c>
      <c r="D79" s="25">
        <v>50</v>
      </c>
      <c r="E79" s="28">
        <v>300</v>
      </c>
      <c r="F79" s="27">
        <f t="shared" ca="1" si="0"/>
        <v>15000</v>
      </c>
    </row>
    <row r="80" spans="1:10" ht="14.25" customHeight="1" x14ac:dyDescent="0.25">
      <c r="A80" s="25" t="s">
        <v>866</v>
      </c>
      <c r="B80" s="26" t="str">
        <f ca="1">IFERROR(INDEX(UNSPSCDes,MATCH(INDIRECT(ADDRESS(ROW(),COLUMN()-1,4)),UNSPSCCode,0)),IF(INDIRECT(ADDRESS(ROW(),COLUMN()-1,4))="50201712","Bebidas de té",""))</f>
        <v>Bebidas de té</v>
      </c>
      <c r="C80" s="58" t="str">
        <f>IFERROR(VLOOKUP("UD",'Informacion '!P:Q,2,FALSE),"")</f>
        <v>Unidad</v>
      </c>
      <c r="D80" s="25">
        <v>35</v>
      </c>
      <c r="E80" s="28">
        <v>370</v>
      </c>
      <c r="F80" s="27">
        <f t="shared" ca="1" si="0"/>
        <v>12950</v>
      </c>
    </row>
    <row r="81" spans="1:6" ht="14.25" customHeight="1" x14ac:dyDescent="0.25">
      <c r="A81" s="25" t="s">
        <v>866</v>
      </c>
      <c r="B81" s="26" t="str">
        <f ca="1">IFERROR(INDEX(UNSPSCDes,MATCH(INDIRECT(ADDRESS(ROW(),COLUMN()-1,4)),UNSPSCCode,0)),IF(INDIRECT(ADDRESS(ROW(),COLUMN()-1,4))="50201712","Bebidas de té",""))</f>
        <v>Bebidas de té</v>
      </c>
      <c r="C81" s="58" t="str">
        <f>IFERROR(VLOOKUP("UD",'Informacion '!P:Q,2,FALSE),"")</f>
        <v>Unidad</v>
      </c>
      <c r="D81" s="25">
        <v>35</v>
      </c>
      <c r="E81" s="28">
        <v>630</v>
      </c>
      <c r="F81" s="27">
        <f t="shared" ca="1" si="0"/>
        <v>22050</v>
      </c>
    </row>
    <row r="82" spans="1:6" ht="14.25" customHeight="1" x14ac:dyDescent="0.25">
      <c r="A82" s="25" t="s">
        <v>614</v>
      </c>
      <c r="B82" s="26" t="str">
        <f ca="1">IFERROR(INDEX(UNSPSCDes,MATCH(INDIRECT(ADDRESS(ROW(),COLUMN()-1,4)),UNSPSCCode,0)),IF(INDIRECT(ADDRESS(ROW(),COLUMN()-1,4))="50201706","Café",""))</f>
        <v>Café</v>
      </c>
      <c r="C82" s="58" t="str">
        <f>IFERROR(VLOOKUP("PAQ",'Informacion '!P:Q,2,FALSE),"")</f>
        <v>Paquete</v>
      </c>
      <c r="D82" s="25">
        <v>2000</v>
      </c>
      <c r="E82" s="28">
        <v>300</v>
      </c>
      <c r="F82" s="27">
        <f t="shared" ca="1" si="0"/>
        <v>600000</v>
      </c>
    </row>
    <row r="83" spans="1:6" ht="14.25" customHeight="1" x14ac:dyDescent="0.25">
      <c r="A83" s="25" t="s">
        <v>500</v>
      </c>
      <c r="B83" s="26" t="str">
        <f ca="1">IFERROR(INDEX(UNSPSCDes,MATCH(INDIRECT(ADDRESS(ROW(),COLUMN()-1,4)),UNSPSCCode,0)),IF(INDIRECT(ADDRESS(ROW(),COLUMN()-1,4))="50201714","Cremas no lácteas",""))</f>
        <v>Cremas no lácteas</v>
      </c>
      <c r="C83" s="58" t="str">
        <f>IFERROR(VLOOKUP("UD",'Informacion '!P:Q,2,FALSE),"")</f>
        <v>Unidad</v>
      </c>
      <c r="D83" s="25">
        <v>200</v>
      </c>
      <c r="E83" s="28">
        <v>425</v>
      </c>
      <c r="F83" s="27">
        <f t="shared" ca="1" si="0"/>
        <v>85000</v>
      </c>
    </row>
    <row r="84" spans="1:6" ht="14.25" customHeight="1" x14ac:dyDescent="0.25">
      <c r="A84" s="25" t="s">
        <v>727</v>
      </c>
      <c r="B84" s="26" t="str">
        <f ca="1">IFERROR(INDEX(UNSPSCDes,MATCH(INDIRECT(ADDRESS(ROW(),COLUMN()-1,4)),UNSPSCCode,0)),IF(INDIRECT(ADDRESS(ROW(),COLUMN()-1,4))="50161814","Azúcar o sustituto de azúcar, confite",""))</f>
        <v>Azúcar o sustituto de azúcar, confite</v>
      </c>
      <c r="C84" s="58" t="str">
        <f>IFERROR(VLOOKUP("UD",'Informacion '!P:Q,2,FALSE),"")</f>
        <v>Unidad</v>
      </c>
      <c r="D84" s="25">
        <v>300</v>
      </c>
      <c r="E84" s="28">
        <v>205</v>
      </c>
      <c r="F84" s="27">
        <f t="shared" ca="1" si="0"/>
        <v>61500</v>
      </c>
    </row>
    <row r="85" spans="1:6" ht="14.25" customHeight="1" x14ac:dyDescent="0.25">
      <c r="A85" s="25" t="s">
        <v>727</v>
      </c>
      <c r="B85" s="26" t="str">
        <f ca="1">IFERROR(INDEX(UNSPSCDes,MATCH(INDIRECT(ADDRESS(ROW(),COLUMN()-1,4)),UNSPSCCode,0)),IF(INDIRECT(ADDRESS(ROW(),COLUMN()-1,4))="50161814","Azúcar o sustituto de azúcar, confite",""))</f>
        <v>Azúcar o sustituto de azúcar, confite</v>
      </c>
      <c r="C85" s="58" t="str">
        <f>IFERROR(VLOOKUP("UD",'Informacion '!P:Q,2,FALSE),"")</f>
        <v>Unidad</v>
      </c>
      <c r="D85" s="25">
        <v>200</v>
      </c>
      <c r="E85" s="28">
        <v>176</v>
      </c>
      <c r="F85" s="27">
        <f t="shared" ca="1" si="0"/>
        <v>35200</v>
      </c>
    </row>
    <row r="86" spans="1:6" ht="14.25" customHeight="1" x14ac:dyDescent="0.25">
      <c r="A86" s="25" t="s">
        <v>291</v>
      </c>
      <c r="B86" s="26" t="str">
        <f t="shared" ref="B86:B91" ca="1" si="1">IFERROR(INDEX(UNSPSCDes,MATCH(INDIRECT(ADDRESS(ROW(),COLUMN()-1,4)),UNSPSCCode,0)),IF(INDIRECT(ADDRESS(ROW(),COLUMN()-1,4))="50201711","Té instantáneo",""))</f>
        <v>Té instantáneo</v>
      </c>
      <c r="C86" s="58" t="str">
        <f>IFERROR(VLOOKUP("CAJ",'Informacion '!P:Q,2,FALSE),"")</f>
        <v>Caja</v>
      </c>
      <c r="D86" s="25">
        <v>15</v>
      </c>
      <c r="E86" s="28">
        <v>400</v>
      </c>
      <c r="F86" s="27">
        <f t="shared" ca="1" si="0"/>
        <v>6000</v>
      </c>
    </row>
    <row r="87" spans="1:6" ht="14.25" customHeight="1" x14ac:dyDescent="0.25">
      <c r="A87" s="25" t="s">
        <v>291</v>
      </c>
      <c r="B87" s="26" t="str">
        <f t="shared" ca="1" si="1"/>
        <v>Té instantáneo</v>
      </c>
      <c r="C87" s="58" t="str">
        <f>IFERROR(VLOOKUP("CAJ",'Informacion '!P:Q,2,FALSE),"")</f>
        <v>Caja</v>
      </c>
      <c r="D87" s="25">
        <v>15</v>
      </c>
      <c r="E87" s="28">
        <v>400</v>
      </c>
      <c r="F87" s="27">
        <f t="shared" ca="1" si="0"/>
        <v>6000</v>
      </c>
    </row>
    <row r="88" spans="1:6" ht="14.25" customHeight="1" x14ac:dyDescent="0.25">
      <c r="A88" s="25" t="s">
        <v>291</v>
      </c>
      <c r="B88" s="26" t="str">
        <f t="shared" ca="1" si="1"/>
        <v>Té instantáneo</v>
      </c>
      <c r="C88" s="58" t="str">
        <f>IFERROR(VLOOKUP("CAJ",'Informacion '!P:Q,2,FALSE),"")</f>
        <v>Caja</v>
      </c>
      <c r="D88" s="25">
        <v>15</v>
      </c>
      <c r="E88" s="28">
        <v>400</v>
      </c>
      <c r="F88" s="27">
        <f t="shared" ca="1" si="0"/>
        <v>6000</v>
      </c>
    </row>
    <row r="89" spans="1:6" ht="14.25" customHeight="1" x14ac:dyDescent="0.25">
      <c r="A89" s="25" t="s">
        <v>291</v>
      </c>
      <c r="B89" s="26" t="str">
        <f t="shared" ca="1" si="1"/>
        <v>Té instantáneo</v>
      </c>
      <c r="C89" s="58" t="str">
        <f>IFERROR(VLOOKUP("CAJ",'Informacion '!P:Q,2,FALSE),"")</f>
        <v>Caja</v>
      </c>
      <c r="D89" s="25">
        <v>15</v>
      </c>
      <c r="E89" s="28">
        <v>400</v>
      </c>
      <c r="F89" s="27">
        <f t="shared" ca="1" si="0"/>
        <v>6000</v>
      </c>
    </row>
    <row r="90" spans="1:6" ht="14.25" customHeight="1" x14ac:dyDescent="0.25">
      <c r="A90" s="25" t="s">
        <v>291</v>
      </c>
      <c r="B90" s="26" t="str">
        <f t="shared" ca="1" si="1"/>
        <v>Té instantáneo</v>
      </c>
      <c r="C90" s="58" t="str">
        <f>IFERROR(VLOOKUP("CAJ",'Informacion '!P:Q,2,FALSE),"")</f>
        <v>Caja</v>
      </c>
      <c r="D90" s="25">
        <v>15</v>
      </c>
      <c r="E90" s="28">
        <v>400</v>
      </c>
      <c r="F90" s="27">
        <f t="shared" ca="1" si="0"/>
        <v>6000</v>
      </c>
    </row>
    <row r="91" spans="1:6" ht="14.25" customHeight="1" x14ac:dyDescent="0.25">
      <c r="A91" s="25" t="s">
        <v>291</v>
      </c>
      <c r="B91" s="26" t="str">
        <f t="shared" ca="1" si="1"/>
        <v>Té instantáneo</v>
      </c>
      <c r="C91" s="58" t="str">
        <f>IFERROR(VLOOKUP("CAJ",'Informacion '!P:Q,2,FALSE),"")</f>
        <v>Caja</v>
      </c>
      <c r="D91" s="25">
        <v>15</v>
      </c>
      <c r="E91" s="28">
        <v>400</v>
      </c>
      <c r="F91" s="27">
        <f t="shared" ca="1" si="0"/>
        <v>6000</v>
      </c>
    </row>
    <row r="92" spans="1:6" ht="14.25" customHeight="1" x14ac:dyDescent="0.25">
      <c r="A92" s="25" t="s">
        <v>1158</v>
      </c>
      <c r="B92" s="26" t="str">
        <f ca="1">IFERROR(INDEX(UNSPSCDes,MATCH(INDIRECT(ADDRESS(ROW(),COLUMN()-1,4)),UNSPSCCode,0)),IF(INDIRECT(ADDRESS(ROW(),COLUMN()-1,4))="50181905","Galletas de dulce",""))</f>
        <v>Galletas de dulce</v>
      </c>
      <c r="C92" s="58" t="str">
        <f>IFERROR(VLOOKUP("CAJ",'Informacion '!P:Q,2,FALSE),"")</f>
        <v>Caja</v>
      </c>
      <c r="D92" s="25">
        <v>75</v>
      </c>
      <c r="E92" s="28">
        <v>1050</v>
      </c>
      <c r="F92" s="27">
        <f t="shared" ca="1" si="0"/>
        <v>78750</v>
      </c>
    </row>
    <row r="93" spans="1:6" ht="14.25" customHeight="1" x14ac:dyDescent="0.25">
      <c r="A93" s="25" t="s">
        <v>1158</v>
      </c>
      <c r="B93" s="26" t="str">
        <f ca="1">IFERROR(INDEX(UNSPSCDes,MATCH(INDIRECT(ADDRESS(ROW(),COLUMN()-1,4)),UNSPSCCode,0)),IF(INDIRECT(ADDRESS(ROW(),COLUMN()-1,4))="50181905","Galletas de dulce",""))</f>
        <v>Galletas de dulce</v>
      </c>
      <c r="C93" s="58" t="str">
        <f>IFERROR(VLOOKUP("CAJ",'Informacion '!P:Q,2,FALSE),"")</f>
        <v>Caja</v>
      </c>
      <c r="D93" s="25">
        <v>75</v>
      </c>
      <c r="E93" s="28">
        <v>2000</v>
      </c>
      <c r="F93" s="27">
        <f t="shared" ca="1" si="0"/>
        <v>150000</v>
      </c>
    </row>
    <row r="94" spans="1:6" ht="14.25" customHeight="1" x14ac:dyDescent="0.25">
      <c r="A94" s="25" t="s">
        <v>1158</v>
      </c>
      <c r="B94" s="26" t="str">
        <f ca="1">IFERROR(INDEX(UNSPSCDes,MATCH(INDIRECT(ADDRESS(ROW(),COLUMN()-1,4)),UNSPSCCode,0)),IF(INDIRECT(ADDRESS(ROW(),COLUMN()-1,4))="50181905","Galletas de dulce",""))</f>
        <v>Galletas de dulce</v>
      </c>
      <c r="C94" s="58" t="str">
        <f>IFERROR(VLOOKUP("CAJ",'Informacion '!P:Q,2,FALSE),"")</f>
        <v>Caja</v>
      </c>
      <c r="D94" s="25">
        <v>75</v>
      </c>
      <c r="E94" s="28">
        <v>2000</v>
      </c>
      <c r="F94" s="27">
        <f t="shared" ca="1" si="0"/>
        <v>150000</v>
      </c>
    </row>
    <row r="95" spans="1:6" ht="14.25" customHeight="1" x14ac:dyDescent="0.25">
      <c r="A95" s="25" t="s">
        <v>395</v>
      </c>
      <c r="B95" s="26" t="str">
        <f ca="1">IFERROR(INDEX(UNSPSCDes,MATCH(INDIRECT(ADDRESS(ROW(),COLUMN()-1,4)),UNSPSCCode,0)),IF(INDIRECT(ADDRESS(ROW(),COLUMN()-1,4))="50192110","Nueces o fruta disecada",""))</f>
        <v>Nueces o fruta disecada</v>
      </c>
      <c r="C95" s="58" t="str">
        <f>IFERROR(VLOOKUP("UD",'Informacion '!P:Q,2,FALSE),"")</f>
        <v>Unidad</v>
      </c>
      <c r="D95" s="25">
        <v>100</v>
      </c>
      <c r="E95" s="28">
        <v>350</v>
      </c>
      <c r="F95" s="27">
        <f t="shared" ca="1" si="0"/>
        <v>35000</v>
      </c>
    </row>
    <row r="96" spans="1:6" ht="14.25" customHeight="1" x14ac:dyDescent="0.25">
      <c r="A96" s="25" t="s">
        <v>395</v>
      </c>
      <c r="B96" s="26" t="str">
        <f ca="1">IFERROR(INDEX(UNSPSCDes,MATCH(INDIRECT(ADDRESS(ROW(),COLUMN()-1,4)),UNSPSCCode,0)),IF(INDIRECT(ADDRESS(ROW(),COLUMN()-1,4))="50192110","Nueces o fruta disecada",""))</f>
        <v>Nueces o fruta disecada</v>
      </c>
      <c r="C96" s="58" t="str">
        <f>IFERROR(VLOOKUP("UD",'Informacion '!P:Q,2,FALSE),"")</f>
        <v>Unidad</v>
      </c>
      <c r="D96" s="25">
        <v>100</v>
      </c>
      <c r="E96" s="28">
        <v>1566.67</v>
      </c>
      <c r="F96" s="27">
        <f t="shared" ca="1" si="0"/>
        <v>156667</v>
      </c>
    </row>
    <row r="97" spans="1:10" ht="14.25" customHeight="1" x14ac:dyDescent="0.25">
      <c r="A97" s="25" t="s">
        <v>395</v>
      </c>
      <c r="B97" s="26" t="str">
        <f ca="1">IFERROR(INDEX(UNSPSCDes,MATCH(INDIRECT(ADDRESS(ROW(),COLUMN()-1,4)),UNSPSCCode,0)),IF(INDIRECT(ADDRESS(ROW(),COLUMN()-1,4))="50192110","Nueces o fruta disecada",""))</f>
        <v>Nueces o fruta disecada</v>
      </c>
      <c r="C97" s="58" t="str">
        <f>IFERROR(VLOOKUP("UD",'Informacion '!P:Q,2,FALSE),"")</f>
        <v>Unidad</v>
      </c>
      <c r="D97" s="25">
        <v>100</v>
      </c>
      <c r="E97" s="28">
        <v>1166.67</v>
      </c>
      <c r="F97" s="27">
        <f t="shared" ca="1" si="0"/>
        <v>116667</v>
      </c>
    </row>
    <row r="98" spans="1:10" ht="14.25" customHeight="1" x14ac:dyDescent="0.25">
      <c r="A98" s="25" t="s">
        <v>395</v>
      </c>
      <c r="B98" s="26" t="str">
        <f ca="1">IFERROR(INDEX(UNSPSCDes,MATCH(INDIRECT(ADDRESS(ROW(),COLUMN()-1,4)),UNSPSCCode,0)),IF(INDIRECT(ADDRESS(ROW(),COLUMN()-1,4))="50192110","Nueces o fruta disecada",""))</f>
        <v>Nueces o fruta disecada</v>
      </c>
      <c r="C98" s="58" t="str">
        <f>IFERROR(VLOOKUP("UD",'Informacion '!P:Q,2,FALSE),"")</f>
        <v>Unidad</v>
      </c>
      <c r="D98" s="25">
        <v>100</v>
      </c>
      <c r="E98" s="28">
        <v>933.33</v>
      </c>
      <c r="F98" s="27">
        <f t="shared" ca="1" si="0"/>
        <v>93333</v>
      </c>
    </row>
    <row r="99" spans="1:10" ht="14.25" customHeight="1" x14ac:dyDescent="0.25">
      <c r="A99" s="25" t="s">
        <v>395</v>
      </c>
      <c r="B99" s="26" t="str">
        <f ca="1">IFERROR(INDEX(UNSPSCDes,MATCH(INDIRECT(ADDRESS(ROW(),COLUMN()-1,4)),UNSPSCCode,0)),IF(INDIRECT(ADDRESS(ROW(),COLUMN()-1,4))="50192110","Nueces o fruta disecada",""))</f>
        <v>Nueces o fruta disecada</v>
      </c>
      <c r="C99" s="58" t="str">
        <f>IFERROR(VLOOKUP("CAJ",'Informacion '!P:Q,2,FALSE),"")</f>
        <v>Caja</v>
      </c>
      <c r="D99" s="25">
        <v>100</v>
      </c>
      <c r="E99" s="28">
        <v>333.33</v>
      </c>
      <c r="F99" s="27">
        <f t="shared" ca="1" si="0"/>
        <v>33333</v>
      </c>
    </row>
    <row r="100" spans="1:10" ht="14.25" customHeight="1" x14ac:dyDescent="0.25">
      <c r="A100" s="25" t="s">
        <v>147</v>
      </c>
      <c r="B100" s="26" t="str">
        <f ca="1">IFERROR(INDEX(UNSPSCDes,MATCH(INDIRECT(ADDRESS(ROW(),COLUMN()-1,4)),UNSPSCCode,0)),IF(INDIRECT(ADDRESS(ROW(),COLUMN()-1,4))="50181909","Galletas de soda",""))</f>
        <v>Galletas de soda</v>
      </c>
      <c r="C100" s="58" t="str">
        <f>IFERROR(VLOOKUP("PAQ",'Informacion '!P:Q,2,FALSE),"")</f>
        <v>Paquete</v>
      </c>
      <c r="D100" s="25">
        <v>75</v>
      </c>
      <c r="E100" s="28">
        <v>200</v>
      </c>
      <c r="F100" s="27">
        <f t="shared" ca="1" si="0"/>
        <v>15000</v>
      </c>
    </row>
    <row r="101" spans="1:10" ht="14.25" customHeight="1" x14ac:dyDescent="0.25">
      <c r="A101" s="25" t="s">
        <v>395</v>
      </c>
      <c r="B101" s="26" t="str">
        <f ca="1">IFERROR(INDEX(UNSPSCDes,MATCH(INDIRECT(ADDRESS(ROW(),COLUMN()-1,4)),UNSPSCCode,0)),IF(INDIRECT(ADDRESS(ROW(),COLUMN()-1,4))="50192110","Nueces o fruta disecada",""))</f>
        <v>Nueces o fruta disecada</v>
      </c>
      <c r="C101" s="58" t="str">
        <f>IFERROR(VLOOKUP("CAJ",'Informacion '!P:Q,2,FALSE),"")</f>
        <v>Caja</v>
      </c>
      <c r="D101" s="25">
        <v>100</v>
      </c>
      <c r="E101" s="28">
        <v>1100</v>
      </c>
      <c r="F101" s="27">
        <f t="shared" ca="1" si="0"/>
        <v>110000</v>
      </c>
    </row>
    <row r="102" spans="1:10" ht="14.25" customHeight="1" x14ac:dyDescent="0.25">
      <c r="E102" s="30" t="s">
        <v>816</v>
      </c>
      <c r="F102" s="31">
        <f ca="1">SUM(Table9[MONTO TOTAL ESTIMADO])</f>
        <v>1827450</v>
      </c>
      <c r="H102" s="21" t="str">
        <f>C71</f>
        <v>Bienes</v>
      </c>
      <c r="I102" s="21" t="str">
        <f>E71</f>
        <v>Sí</v>
      </c>
      <c r="J102" s="21" t="str">
        <f>D71</f>
        <v>Compras Menores</v>
      </c>
    </row>
    <row r="104" spans="1:10" ht="33.950000000000003" customHeight="1" x14ac:dyDescent="0.25">
      <c r="A104" s="22" t="s">
        <v>1051</v>
      </c>
      <c r="B104" s="22" t="s">
        <v>11</v>
      </c>
      <c r="C104" s="22" t="s">
        <v>751</v>
      </c>
      <c r="D104" s="22" t="s">
        <v>930</v>
      </c>
      <c r="E104" s="22" t="s">
        <v>699</v>
      </c>
      <c r="F104" s="22" t="s">
        <v>710</v>
      </c>
    </row>
    <row r="105" spans="1:10" ht="14.25" customHeight="1" x14ac:dyDescent="0.25">
      <c r="A105" s="23" t="s">
        <v>924</v>
      </c>
      <c r="B105" s="23" t="s">
        <v>924</v>
      </c>
      <c r="C105" s="23" t="s">
        <v>1155</v>
      </c>
      <c r="D105" s="23" t="s">
        <v>1128</v>
      </c>
      <c r="E105" s="23" t="s">
        <v>1156</v>
      </c>
      <c r="F105" s="23" t="s">
        <v>436</v>
      </c>
    </row>
    <row r="106" spans="1:10" ht="14.25" customHeight="1" x14ac:dyDescent="0.25">
      <c r="A106" s="68" t="s">
        <v>965</v>
      </c>
      <c r="B106" s="24" t="s">
        <v>543</v>
      </c>
      <c r="C106" s="54">
        <v>46176</v>
      </c>
      <c r="D106" s="68" t="s">
        <v>598</v>
      </c>
      <c r="E106" s="56" t="s">
        <v>858</v>
      </c>
      <c r="F106" s="57" t="s">
        <v>184</v>
      </c>
    </row>
    <row r="107" spans="1:10" ht="14.25" customHeight="1" x14ac:dyDescent="0.25">
      <c r="A107" s="69"/>
      <c r="B107" s="24" t="s">
        <v>112</v>
      </c>
      <c r="C107" s="55">
        <f>IF(C106="","",IF(AND(MONTH(C106)&gt;=1,MONTH(C106)&lt;=3),1,IF(AND(MONTH(C106)&gt;=4,MONTH(C106)&lt;=6),2,IF(AND(MONTH(C106)&gt;=7,MONTH(C106)&lt;=9),3,4))))</f>
        <v>2</v>
      </c>
      <c r="D107" s="69"/>
      <c r="E107" s="56" t="s">
        <v>143</v>
      </c>
      <c r="F107" s="57"/>
    </row>
    <row r="108" spans="1:10" ht="14.25" customHeight="1" x14ac:dyDescent="0.25">
      <c r="A108" s="69"/>
      <c r="B108" s="24" t="s">
        <v>844</v>
      </c>
      <c r="C108" s="54">
        <v>46183</v>
      </c>
      <c r="D108" s="69"/>
      <c r="E108" s="56" t="s">
        <v>183</v>
      </c>
      <c r="F108" s="57"/>
    </row>
    <row r="109" spans="1:10" ht="14.25" customHeight="1" x14ac:dyDescent="0.25">
      <c r="A109" s="69"/>
      <c r="B109" s="24" t="s">
        <v>112</v>
      </c>
      <c r="C109" s="55">
        <f>IF(C108="","",IF(AND(MONTH(C108)&gt;=1,MONTH(C108)&lt;=3),1,IF(AND(MONTH(C108)&gt;=4,MONTH(C108)&lt;=6),2,IF(AND(MONTH(C108)&gt;=7,MONTH(C108)&lt;=9),3,4))))</f>
        <v>2</v>
      </c>
      <c r="D109" s="69"/>
      <c r="E109" s="56" t="s">
        <v>865</v>
      </c>
      <c r="F109" s="57"/>
    </row>
    <row r="111" spans="1:10" ht="14.25" customHeight="1" x14ac:dyDescent="0.25">
      <c r="A111" s="29" t="s">
        <v>1017</v>
      </c>
      <c r="B111" s="29" t="s">
        <v>1042</v>
      </c>
      <c r="C111" s="29" t="s">
        <v>1011</v>
      </c>
      <c r="D111" s="29" t="s">
        <v>985</v>
      </c>
      <c r="E111" s="29" t="s">
        <v>449</v>
      </c>
      <c r="F111" s="29" t="s">
        <v>989</v>
      </c>
    </row>
    <row r="112" spans="1:10" ht="14.25" customHeight="1" x14ac:dyDescent="0.25">
      <c r="A112" s="25" t="s">
        <v>745</v>
      </c>
      <c r="B112" s="26" t="str">
        <f ca="1">IFERROR(INDEX(UNSPSCDes,MATCH(INDIRECT(ADDRESS(ROW(),COLUMN()-1,4)),UNSPSCCode,0)),IF(INDIRECT(ADDRESS(ROW(),COLUMN()-1,4))="45111609","Proyectores multimedia",""))</f>
        <v>Proyectores multimedia</v>
      </c>
      <c r="C112" s="58" t="str">
        <f>IFERROR(VLOOKUP("UD",'Informacion '!P:Q,2,FALSE),"")</f>
        <v>Unidad</v>
      </c>
      <c r="D112" s="25">
        <v>2</v>
      </c>
      <c r="E112" s="28">
        <v>75000</v>
      </c>
      <c r="F112" s="27">
        <f t="shared" ref="F112:F118" ca="1" si="2">INDIRECT(ADDRESS(ROW(),COLUMN()-2,4))*INDIRECT(ADDRESS(ROW(),COLUMN()-1,4))</f>
        <v>150000</v>
      </c>
    </row>
    <row r="113" spans="1:10" ht="14.25" customHeight="1" x14ac:dyDescent="0.25">
      <c r="A113" s="25" t="s">
        <v>745</v>
      </c>
      <c r="B113" s="26" t="str">
        <f ca="1">IFERROR(INDEX(UNSPSCDes,MATCH(INDIRECT(ADDRESS(ROW(),COLUMN()-1,4)),UNSPSCCode,0)),IF(INDIRECT(ADDRESS(ROW(),COLUMN()-1,4))="45111609","Proyectores multimedia",""))</f>
        <v>Proyectores multimedia</v>
      </c>
      <c r="C113" s="58" t="str">
        <f>IFERROR(VLOOKUP("UD",'Informacion '!P:Q,2,FALSE),"")</f>
        <v>Unidad</v>
      </c>
      <c r="D113" s="25">
        <v>1</v>
      </c>
      <c r="E113" s="28">
        <v>80000</v>
      </c>
      <c r="F113" s="27">
        <f t="shared" ca="1" si="2"/>
        <v>80000</v>
      </c>
    </row>
    <row r="114" spans="1:10" ht="14.25" customHeight="1" x14ac:dyDescent="0.25">
      <c r="A114" s="25" t="s">
        <v>336</v>
      </c>
      <c r="B114" s="26" t="str">
        <f ca="1">IFERROR(INDEX(UNSPSCDes,MATCH(INDIRECT(ADDRESS(ROW(),COLUMN()-1,4)),UNSPSCCode,0)),IF(INDIRECT(ADDRESS(ROW(),COLUMN()-1,4))="45111603","Pantallas o desplegadores para proyección",""))</f>
        <v>Pantallas o desplegadores para proyección</v>
      </c>
      <c r="C114" s="58" t="str">
        <f>IFERROR(VLOOKUP("UD",'Informacion '!P:Q,2,FALSE),"")</f>
        <v>Unidad</v>
      </c>
      <c r="D114" s="25">
        <v>2</v>
      </c>
      <c r="E114" s="28">
        <v>6670</v>
      </c>
      <c r="F114" s="27">
        <f t="shared" ca="1" si="2"/>
        <v>13340</v>
      </c>
    </row>
    <row r="115" spans="1:10" ht="14.25" customHeight="1" x14ac:dyDescent="0.25">
      <c r="A115" s="25" t="s">
        <v>329</v>
      </c>
      <c r="B115" s="26" t="str">
        <f ca="1">IFERROR(INDEX(UNSPSCDes,MATCH(INDIRECT(ADDRESS(ROW(),COLUMN()-1,4)),UNSPSCCode,0)),IF(INDIRECT(ADDRESS(ROW(),COLUMN()-1,4))="45111802","Soportes para televisiones",""))</f>
        <v>Soportes para televisiones</v>
      </c>
      <c r="C115" s="58" t="str">
        <f>IFERROR(VLOOKUP("UD",'Informacion '!P:Q,2,FALSE),"")</f>
        <v>Unidad</v>
      </c>
      <c r="D115" s="25">
        <v>2</v>
      </c>
      <c r="E115" s="28">
        <v>2500</v>
      </c>
      <c r="F115" s="27">
        <f t="shared" ca="1" si="2"/>
        <v>5000</v>
      </c>
    </row>
    <row r="116" spans="1:10" ht="14.25" customHeight="1" x14ac:dyDescent="0.25">
      <c r="A116" s="25" t="s">
        <v>329</v>
      </c>
      <c r="B116" s="26" t="str">
        <f ca="1">IFERROR(INDEX(UNSPSCDes,MATCH(INDIRECT(ADDRESS(ROW(),COLUMN()-1,4)),UNSPSCCode,0)),IF(INDIRECT(ADDRESS(ROW(),COLUMN()-1,4))="45111802","Soportes para televisiones",""))</f>
        <v>Soportes para televisiones</v>
      </c>
      <c r="C116" s="58" t="str">
        <f>IFERROR(VLOOKUP("UD",'Informacion '!P:Q,2,FALSE),"")</f>
        <v>Unidad</v>
      </c>
      <c r="D116" s="25">
        <v>1</v>
      </c>
      <c r="E116" s="28">
        <v>2500</v>
      </c>
      <c r="F116" s="27">
        <f t="shared" ca="1" si="2"/>
        <v>2500</v>
      </c>
    </row>
    <row r="117" spans="1:10" ht="14.25" customHeight="1" x14ac:dyDescent="0.25">
      <c r="A117" s="25" t="s">
        <v>329</v>
      </c>
      <c r="B117" s="26" t="str">
        <f ca="1">IFERROR(INDEX(UNSPSCDes,MATCH(INDIRECT(ADDRESS(ROW(),COLUMN()-1,4)),UNSPSCCode,0)),IF(INDIRECT(ADDRESS(ROW(),COLUMN()-1,4))="45111802","Soportes para televisiones",""))</f>
        <v>Soportes para televisiones</v>
      </c>
      <c r="C117" s="58" t="str">
        <f>IFERROR(VLOOKUP("UD",'Informacion '!P:Q,2,FALSE),"")</f>
        <v>Unidad</v>
      </c>
      <c r="D117" s="25">
        <v>1</v>
      </c>
      <c r="E117" s="28">
        <v>1710</v>
      </c>
      <c r="F117" s="27">
        <f t="shared" ca="1" si="2"/>
        <v>1710</v>
      </c>
    </row>
    <row r="118" spans="1:10" ht="14.25" customHeight="1" x14ac:dyDescent="0.25">
      <c r="A118" s="25" t="s">
        <v>329</v>
      </c>
      <c r="B118" s="26" t="str">
        <f ca="1">IFERROR(INDEX(UNSPSCDes,MATCH(INDIRECT(ADDRESS(ROW(),COLUMN()-1,4)),UNSPSCCode,0)),IF(INDIRECT(ADDRESS(ROW(),COLUMN()-1,4))="45111802","Soportes para televisiones",""))</f>
        <v>Soportes para televisiones</v>
      </c>
      <c r="C118" s="58" t="str">
        <f>IFERROR(VLOOKUP("UD",'Informacion '!P:Q,2,FALSE),"")</f>
        <v>Unidad</v>
      </c>
      <c r="D118" s="25">
        <v>1</v>
      </c>
      <c r="E118" s="28">
        <v>800</v>
      </c>
      <c r="F118" s="27">
        <f t="shared" ca="1" si="2"/>
        <v>800</v>
      </c>
    </row>
    <row r="119" spans="1:10" ht="14.25" customHeight="1" x14ac:dyDescent="0.25">
      <c r="E119" s="30" t="s">
        <v>816</v>
      </c>
      <c r="F119" s="31">
        <f ca="1">SUM(Table10[MONTO TOTAL ESTIMADO])</f>
        <v>253350</v>
      </c>
      <c r="H119" s="21" t="str">
        <f>C105</f>
        <v>Bienes</v>
      </c>
      <c r="I119" s="21" t="str">
        <f>E105</f>
        <v>No</v>
      </c>
      <c r="J119" s="21" t="str">
        <f>D105</f>
        <v>Compras Menores</v>
      </c>
    </row>
    <row r="121" spans="1:10" ht="33.950000000000003" customHeight="1" x14ac:dyDescent="0.25">
      <c r="A121" s="22" t="s">
        <v>1051</v>
      </c>
      <c r="B121" s="22" t="s">
        <v>11</v>
      </c>
      <c r="C121" s="22" t="s">
        <v>751</v>
      </c>
      <c r="D121" s="22" t="s">
        <v>930</v>
      </c>
      <c r="E121" s="22" t="s">
        <v>699</v>
      </c>
      <c r="F121" s="22" t="s">
        <v>710</v>
      </c>
    </row>
    <row r="122" spans="1:10" ht="14.25" customHeight="1" x14ac:dyDescent="0.25">
      <c r="A122" s="23" t="s">
        <v>836</v>
      </c>
      <c r="B122" s="23" t="s">
        <v>836</v>
      </c>
      <c r="C122" s="23" t="s">
        <v>1155</v>
      </c>
      <c r="D122" s="23" t="s">
        <v>1128</v>
      </c>
      <c r="E122" s="23" t="s">
        <v>1156</v>
      </c>
      <c r="F122" s="23" t="s">
        <v>436</v>
      </c>
    </row>
    <row r="123" spans="1:10" ht="14.25" customHeight="1" x14ac:dyDescent="0.25">
      <c r="A123" s="68" t="s">
        <v>965</v>
      </c>
      <c r="B123" s="24" t="s">
        <v>543</v>
      </c>
      <c r="C123" s="54">
        <v>46071</v>
      </c>
      <c r="D123" s="68" t="s">
        <v>598</v>
      </c>
      <c r="E123" s="56" t="s">
        <v>858</v>
      </c>
      <c r="F123" s="57" t="s">
        <v>184</v>
      </c>
    </row>
    <row r="124" spans="1:10" ht="14.25" customHeight="1" x14ac:dyDescent="0.25">
      <c r="A124" s="69"/>
      <c r="B124" s="24" t="s">
        <v>112</v>
      </c>
      <c r="C124" s="55">
        <f>IF(C123="","",IF(AND(MONTH(C123)&gt;=1,MONTH(C123)&lt;=3),1,IF(AND(MONTH(C123)&gt;=4,MONTH(C123)&lt;=6),2,IF(AND(MONTH(C123)&gt;=7,MONTH(C123)&lt;=9),3,4))))</f>
        <v>1</v>
      </c>
      <c r="D124" s="69"/>
      <c r="E124" s="56" t="s">
        <v>143</v>
      </c>
      <c r="F124" s="57"/>
    </row>
    <row r="125" spans="1:10" ht="14.25" customHeight="1" x14ac:dyDescent="0.25">
      <c r="A125" s="69"/>
      <c r="B125" s="24" t="s">
        <v>844</v>
      </c>
      <c r="C125" s="54">
        <v>46087</v>
      </c>
      <c r="D125" s="69"/>
      <c r="E125" s="56" t="s">
        <v>183</v>
      </c>
      <c r="F125" s="57"/>
    </row>
    <row r="126" spans="1:10" ht="14.25" customHeight="1" x14ac:dyDescent="0.25">
      <c r="A126" s="69"/>
      <c r="B126" s="24" t="s">
        <v>112</v>
      </c>
      <c r="C126" s="55">
        <f>IF(C125="","",IF(AND(MONTH(C125)&gt;=1,MONTH(C125)&lt;=3),1,IF(AND(MONTH(C125)&gt;=4,MONTH(C125)&lt;=6),2,IF(AND(MONTH(C125)&gt;=7,MONTH(C125)&lt;=9),3,4))))</f>
        <v>1</v>
      </c>
      <c r="D126" s="69"/>
      <c r="E126" s="56" t="s">
        <v>865</v>
      </c>
      <c r="F126" s="57"/>
    </row>
    <row r="128" spans="1:10" ht="14.25" customHeight="1" x14ac:dyDescent="0.25">
      <c r="A128" s="29" t="s">
        <v>1017</v>
      </c>
      <c r="B128" s="29" t="s">
        <v>1042</v>
      </c>
      <c r="C128" s="29" t="s">
        <v>1011</v>
      </c>
      <c r="D128" s="29" t="s">
        <v>985</v>
      </c>
      <c r="E128" s="29" t="s">
        <v>449</v>
      </c>
      <c r="F128" s="29" t="s">
        <v>989</v>
      </c>
    </row>
    <row r="129" spans="1:10" ht="14.25" customHeight="1" x14ac:dyDescent="0.25">
      <c r="A129" s="25" t="s">
        <v>1209</v>
      </c>
      <c r="B129" s="26" t="str">
        <f t="shared" ref="B129:B140" ca="1" si="3">IFERROR(INDEX(UNSPSCDes,MATCH(INDIRECT(ADDRESS(ROW(),COLUMN()-1,4)),UNSPSCCode,0)),IF(INDIRECT(ADDRESS(ROW(),COLUMN()-1,4))="26111703","Baterías para vehículos",""))</f>
        <v>Baterías para vehículos</v>
      </c>
      <c r="C129" s="58" t="str">
        <f>IFERROR(VLOOKUP("UD",'Informacion '!P:Q,2,FALSE),"")</f>
        <v>Unidad</v>
      </c>
      <c r="D129" s="25">
        <v>30</v>
      </c>
      <c r="E129" s="28">
        <v>11000</v>
      </c>
      <c r="F129" s="27">
        <f t="shared" ref="F129:F140" ca="1" si="4">INDIRECT(ADDRESS(ROW(),COLUMN()-2,4))*INDIRECT(ADDRESS(ROW(),COLUMN()-1,4))</f>
        <v>330000</v>
      </c>
    </row>
    <row r="130" spans="1:10" ht="14.25" customHeight="1" x14ac:dyDescent="0.25">
      <c r="A130" s="25" t="s">
        <v>1209</v>
      </c>
      <c r="B130" s="26" t="str">
        <f t="shared" ca="1" si="3"/>
        <v>Baterías para vehículos</v>
      </c>
      <c r="C130" s="58" t="str">
        <f>IFERROR(VLOOKUP("UD",'Informacion '!P:Q,2,FALSE),"")</f>
        <v>Unidad</v>
      </c>
      <c r="D130" s="25">
        <v>30</v>
      </c>
      <c r="E130" s="28">
        <v>9500</v>
      </c>
      <c r="F130" s="27">
        <f t="shared" ca="1" si="4"/>
        <v>285000</v>
      </c>
    </row>
    <row r="131" spans="1:10" ht="14.25" customHeight="1" x14ac:dyDescent="0.25">
      <c r="A131" s="25" t="s">
        <v>1209</v>
      </c>
      <c r="B131" s="26" t="str">
        <f t="shared" ca="1" si="3"/>
        <v>Baterías para vehículos</v>
      </c>
      <c r="C131" s="58" t="str">
        <f>IFERROR(VLOOKUP("UD",'Informacion '!P:Q,2,FALSE),"")</f>
        <v>Unidad</v>
      </c>
      <c r="D131" s="25">
        <v>4</v>
      </c>
      <c r="E131" s="28">
        <v>13000</v>
      </c>
      <c r="F131" s="27">
        <f t="shared" ca="1" si="4"/>
        <v>52000</v>
      </c>
    </row>
    <row r="132" spans="1:10" ht="14.25" customHeight="1" x14ac:dyDescent="0.25">
      <c r="A132" s="25" t="s">
        <v>1209</v>
      </c>
      <c r="B132" s="26" t="str">
        <f t="shared" ca="1" si="3"/>
        <v>Baterías para vehículos</v>
      </c>
      <c r="C132" s="58" t="str">
        <f>IFERROR(VLOOKUP("UD",'Informacion '!P:Q,2,FALSE),"")</f>
        <v>Unidad</v>
      </c>
      <c r="D132" s="25">
        <v>4</v>
      </c>
      <c r="E132" s="28">
        <v>9500</v>
      </c>
      <c r="F132" s="27">
        <f t="shared" ca="1" si="4"/>
        <v>38000</v>
      </c>
    </row>
    <row r="133" spans="1:10" ht="14.25" customHeight="1" x14ac:dyDescent="0.25">
      <c r="A133" s="25" t="s">
        <v>1209</v>
      </c>
      <c r="B133" s="26" t="str">
        <f t="shared" ca="1" si="3"/>
        <v>Baterías para vehículos</v>
      </c>
      <c r="C133" s="58" t="str">
        <f>IFERROR(VLOOKUP("UD",'Informacion '!P:Q,2,FALSE),"")</f>
        <v>Unidad</v>
      </c>
      <c r="D133" s="25">
        <v>4</v>
      </c>
      <c r="E133" s="28">
        <v>9500</v>
      </c>
      <c r="F133" s="27">
        <f t="shared" ca="1" si="4"/>
        <v>38000</v>
      </c>
    </row>
    <row r="134" spans="1:10" ht="14.25" customHeight="1" x14ac:dyDescent="0.25">
      <c r="A134" s="25" t="s">
        <v>1209</v>
      </c>
      <c r="B134" s="26" t="str">
        <f t="shared" ca="1" si="3"/>
        <v>Baterías para vehículos</v>
      </c>
      <c r="C134" s="58" t="str">
        <f>IFERROR(VLOOKUP("UD",'Informacion '!P:Q,2,FALSE),"")</f>
        <v>Unidad</v>
      </c>
      <c r="D134" s="25">
        <v>12</v>
      </c>
      <c r="E134" s="28">
        <v>11000</v>
      </c>
      <c r="F134" s="27">
        <f t="shared" ca="1" si="4"/>
        <v>132000</v>
      </c>
    </row>
    <row r="135" spans="1:10" ht="14.25" customHeight="1" x14ac:dyDescent="0.25">
      <c r="A135" s="25" t="s">
        <v>1209</v>
      </c>
      <c r="B135" s="26" t="str">
        <f t="shared" ca="1" si="3"/>
        <v>Baterías para vehículos</v>
      </c>
      <c r="C135" s="58" t="str">
        <f>IFERROR(VLOOKUP("UD",'Informacion '!P:Q,2,FALSE),"")</f>
        <v>Unidad</v>
      </c>
      <c r="D135" s="25">
        <v>20</v>
      </c>
      <c r="E135" s="28">
        <v>20000</v>
      </c>
      <c r="F135" s="27">
        <f t="shared" ca="1" si="4"/>
        <v>400000</v>
      </c>
    </row>
    <row r="136" spans="1:10" ht="14.25" customHeight="1" x14ac:dyDescent="0.25">
      <c r="A136" s="25" t="s">
        <v>1209</v>
      </c>
      <c r="B136" s="26" t="str">
        <f t="shared" ca="1" si="3"/>
        <v>Baterías para vehículos</v>
      </c>
      <c r="C136" s="58" t="str">
        <f>IFERROR(VLOOKUP("UD",'Informacion '!P:Q,2,FALSE),"")</f>
        <v>Unidad</v>
      </c>
      <c r="D136" s="25">
        <v>8</v>
      </c>
      <c r="E136" s="28">
        <v>11000</v>
      </c>
      <c r="F136" s="27">
        <f t="shared" ca="1" si="4"/>
        <v>88000</v>
      </c>
    </row>
    <row r="137" spans="1:10" ht="14.25" customHeight="1" x14ac:dyDescent="0.25">
      <c r="A137" s="25" t="s">
        <v>1209</v>
      </c>
      <c r="B137" s="26" t="str">
        <f t="shared" ca="1" si="3"/>
        <v>Baterías para vehículos</v>
      </c>
      <c r="C137" s="58" t="str">
        <f>IFERROR(VLOOKUP("UD",'Informacion '!P:Q,2,FALSE),"")</f>
        <v>Unidad</v>
      </c>
      <c r="D137" s="25">
        <v>16</v>
      </c>
      <c r="E137" s="28">
        <v>11000</v>
      </c>
      <c r="F137" s="27">
        <f t="shared" ca="1" si="4"/>
        <v>176000</v>
      </c>
    </row>
    <row r="138" spans="1:10" ht="14.25" customHeight="1" x14ac:dyDescent="0.25">
      <c r="A138" s="25" t="s">
        <v>1209</v>
      </c>
      <c r="B138" s="26" t="str">
        <f t="shared" ca="1" si="3"/>
        <v>Baterías para vehículos</v>
      </c>
      <c r="C138" s="58" t="str">
        <f>IFERROR(VLOOKUP("UD",'Informacion '!P:Q,2,FALSE),"")</f>
        <v>Unidad</v>
      </c>
      <c r="D138" s="25">
        <v>20</v>
      </c>
      <c r="E138" s="28">
        <v>2800</v>
      </c>
      <c r="F138" s="27">
        <f t="shared" ca="1" si="4"/>
        <v>56000</v>
      </c>
    </row>
    <row r="139" spans="1:10" ht="14.25" customHeight="1" x14ac:dyDescent="0.25">
      <c r="A139" s="25" t="s">
        <v>1209</v>
      </c>
      <c r="B139" s="26" t="str">
        <f t="shared" ca="1" si="3"/>
        <v>Baterías para vehículos</v>
      </c>
      <c r="C139" s="58" t="str">
        <f>IFERROR(VLOOKUP("UD",'Informacion '!P:Q,2,FALSE),"")</f>
        <v>Unidad</v>
      </c>
      <c r="D139" s="25">
        <v>4</v>
      </c>
      <c r="E139" s="28">
        <v>14000</v>
      </c>
      <c r="F139" s="27">
        <f t="shared" ca="1" si="4"/>
        <v>56000</v>
      </c>
    </row>
    <row r="140" spans="1:10" ht="14.25" customHeight="1" x14ac:dyDescent="0.25">
      <c r="A140" s="25" t="s">
        <v>1209</v>
      </c>
      <c r="B140" s="26" t="str">
        <f t="shared" ca="1" si="3"/>
        <v>Baterías para vehículos</v>
      </c>
      <c r="C140" s="58" t="str">
        <f>IFERROR(VLOOKUP("UD",'Informacion '!P:Q,2,FALSE),"")</f>
        <v>Unidad</v>
      </c>
      <c r="D140" s="25">
        <v>4</v>
      </c>
      <c r="E140" s="28">
        <v>16000</v>
      </c>
      <c r="F140" s="27">
        <f t="shared" ca="1" si="4"/>
        <v>64000</v>
      </c>
    </row>
    <row r="141" spans="1:10" ht="14.25" customHeight="1" x14ac:dyDescent="0.25">
      <c r="E141" s="30" t="s">
        <v>816</v>
      </c>
      <c r="F141" s="31">
        <f ca="1">SUM(Table11[MONTO TOTAL ESTIMADO])</f>
        <v>1715000</v>
      </c>
      <c r="H141" s="21" t="str">
        <f>C122</f>
        <v>Bienes</v>
      </c>
      <c r="I141" s="21" t="str">
        <f>E122</f>
        <v>No</v>
      </c>
      <c r="J141" s="21" t="str">
        <f>D122</f>
        <v>Compras Menores</v>
      </c>
    </row>
    <row r="143" spans="1:10" ht="33.950000000000003" customHeight="1" x14ac:dyDescent="0.25">
      <c r="A143" s="22" t="s">
        <v>1051</v>
      </c>
      <c r="B143" s="22" t="s">
        <v>11</v>
      </c>
      <c r="C143" s="22" t="s">
        <v>751</v>
      </c>
      <c r="D143" s="22" t="s">
        <v>930</v>
      </c>
      <c r="E143" s="22" t="s">
        <v>699</v>
      </c>
      <c r="F143" s="22" t="s">
        <v>710</v>
      </c>
    </row>
    <row r="144" spans="1:10" ht="14.25" customHeight="1" x14ac:dyDescent="0.25">
      <c r="A144" s="23" t="s">
        <v>821</v>
      </c>
      <c r="B144" s="23" t="s">
        <v>821</v>
      </c>
      <c r="C144" s="23" t="s">
        <v>438</v>
      </c>
      <c r="D144" s="23" t="s">
        <v>1128</v>
      </c>
      <c r="E144" s="23" t="s">
        <v>1156</v>
      </c>
      <c r="F144" s="23" t="s">
        <v>436</v>
      </c>
    </row>
    <row r="145" spans="1:10" ht="14.25" customHeight="1" x14ac:dyDescent="0.25">
      <c r="A145" s="68" t="s">
        <v>965</v>
      </c>
      <c r="B145" s="24" t="s">
        <v>543</v>
      </c>
      <c r="C145" s="54">
        <v>46127</v>
      </c>
      <c r="D145" s="68" t="s">
        <v>598</v>
      </c>
      <c r="E145" s="56" t="s">
        <v>858</v>
      </c>
      <c r="F145" s="57" t="s">
        <v>184</v>
      </c>
    </row>
    <row r="146" spans="1:10" ht="14.25" customHeight="1" x14ac:dyDescent="0.25">
      <c r="A146" s="69"/>
      <c r="B146" s="24" t="s">
        <v>112</v>
      </c>
      <c r="C146" s="55">
        <f>IF(C145="","",IF(AND(MONTH(C145)&gt;=1,MONTH(C145)&lt;=3),1,IF(AND(MONTH(C145)&gt;=4,MONTH(C145)&lt;=6),2,IF(AND(MONTH(C145)&gt;=7,MONTH(C145)&lt;=9),3,4))))</f>
        <v>2</v>
      </c>
      <c r="D146" s="69"/>
      <c r="E146" s="56" t="s">
        <v>143</v>
      </c>
      <c r="F146" s="57"/>
    </row>
    <row r="147" spans="1:10" ht="14.25" customHeight="1" x14ac:dyDescent="0.25">
      <c r="A147" s="69"/>
      <c r="B147" s="24" t="s">
        <v>844</v>
      </c>
      <c r="C147" s="54">
        <v>46137</v>
      </c>
      <c r="D147" s="69"/>
      <c r="E147" s="56" t="s">
        <v>183</v>
      </c>
      <c r="F147" s="57"/>
    </row>
    <row r="148" spans="1:10" ht="14.25" customHeight="1" x14ac:dyDescent="0.25">
      <c r="A148" s="69"/>
      <c r="B148" s="24" t="s">
        <v>112</v>
      </c>
      <c r="C148" s="55">
        <f>IF(C147="","",IF(AND(MONTH(C147)&gt;=1,MONTH(C147)&lt;=3),1,IF(AND(MONTH(C147)&gt;=4,MONTH(C147)&lt;=6),2,IF(AND(MONTH(C147)&gt;=7,MONTH(C147)&lt;=9),3,4))))</f>
        <v>2</v>
      </c>
      <c r="D148" s="69"/>
      <c r="E148" s="56" t="s">
        <v>865</v>
      </c>
      <c r="F148" s="57"/>
    </row>
    <row r="150" spans="1:10" ht="14.25" customHeight="1" x14ac:dyDescent="0.25">
      <c r="A150" s="29" t="s">
        <v>1017</v>
      </c>
      <c r="B150" s="29" t="s">
        <v>1042</v>
      </c>
      <c r="C150" s="29" t="s">
        <v>1011</v>
      </c>
      <c r="D150" s="29" t="s">
        <v>985</v>
      </c>
      <c r="E150" s="29" t="s">
        <v>449</v>
      </c>
      <c r="F150" s="29" t="s">
        <v>989</v>
      </c>
    </row>
    <row r="151" spans="1:10" ht="14.25" customHeight="1" x14ac:dyDescent="0.25">
      <c r="A151" s="25" t="s">
        <v>1154</v>
      </c>
      <c r="B151" s="26" t="str">
        <f ca="1">IFERROR(INDEX(UNSPSCDes,MATCH(INDIRECT(ADDRESS(ROW(),COLUMN()-1,4)),UNSPSCCode,0)),IF(INDIRECT(ADDRESS(ROW(),COLUMN()-1,4))="78180103","Servicios de cambio de fluidos de aceite o de la transmisión",""))</f>
        <v>Servicios de cambio de fluidos de aceite o de la transmisión</v>
      </c>
      <c r="C151" s="58" t="str">
        <f>IFERROR(VLOOKUP("GAL",'Informacion '!P:Q,2,FALSE),"")</f>
        <v>Galón</v>
      </c>
      <c r="D151" s="25">
        <v>6000</v>
      </c>
      <c r="E151" s="28">
        <v>262</v>
      </c>
      <c r="F151" s="27">
        <f ca="1">INDIRECT(ADDRESS(ROW(),COLUMN()-2,4))*INDIRECT(ADDRESS(ROW(),COLUMN()-1,4))</f>
        <v>1572000</v>
      </c>
    </row>
    <row r="152" spans="1:10" ht="14.25" customHeight="1" x14ac:dyDescent="0.25">
      <c r="E152" s="30" t="s">
        <v>816</v>
      </c>
      <c r="F152" s="31">
        <f ca="1">SUM(Table12[MONTO TOTAL ESTIMADO])</f>
        <v>1572000</v>
      </c>
      <c r="H152" s="21" t="str">
        <f>C144</f>
        <v>Servicios</v>
      </c>
      <c r="I152" s="21" t="str">
        <f>E144</f>
        <v>No</v>
      </c>
      <c r="J152" s="21" t="str">
        <f>D144</f>
        <v>Compras Menores</v>
      </c>
    </row>
    <row r="154" spans="1:10" ht="33.950000000000003" customHeight="1" x14ac:dyDescent="0.25">
      <c r="A154" s="22" t="s">
        <v>1051</v>
      </c>
      <c r="B154" s="22" t="s">
        <v>11</v>
      </c>
      <c r="C154" s="22" t="s">
        <v>751</v>
      </c>
      <c r="D154" s="22" t="s">
        <v>930</v>
      </c>
      <c r="E154" s="22" t="s">
        <v>699</v>
      </c>
      <c r="F154" s="22" t="s">
        <v>710</v>
      </c>
    </row>
    <row r="155" spans="1:10" ht="14.25" customHeight="1" x14ac:dyDescent="0.25">
      <c r="A155" s="23" t="s">
        <v>0</v>
      </c>
      <c r="B155" s="23" t="s">
        <v>0</v>
      </c>
      <c r="C155" s="23" t="s">
        <v>1155</v>
      </c>
      <c r="D155" s="23" t="s">
        <v>1128</v>
      </c>
      <c r="E155" s="23" t="s">
        <v>561</v>
      </c>
      <c r="F155" s="23" t="s">
        <v>436</v>
      </c>
    </row>
    <row r="156" spans="1:10" ht="14.25" customHeight="1" x14ac:dyDescent="0.25">
      <c r="A156" s="68" t="s">
        <v>965</v>
      </c>
      <c r="B156" s="24" t="s">
        <v>543</v>
      </c>
      <c r="C156" s="54">
        <v>46063</v>
      </c>
      <c r="D156" s="68" t="s">
        <v>598</v>
      </c>
      <c r="E156" s="56" t="s">
        <v>858</v>
      </c>
      <c r="F156" s="57" t="s">
        <v>184</v>
      </c>
    </row>
    <row r="157" spans="1:10" ht="14.25" customHeight="1" x14ac:dyDescent="0.25">
      <c r="A157" s="69"/>
      <c r="B157" s="24" t="s">
        <v>112</v>
      </c>
      <c r="C157" s="55">
        <f>IF(C156="","",IF(AND(MONTH(C156)&gt;=1,MONTH(C156)&lt;=3),1,IF(AND(MONTH(C156)&gt;=4,MONTH(C156)&lt;=6),2,IF(AND(MONTH(C156)&gt;=7,MONTH(C156)&lt;=9),3,4))))</f>
        <v>1</v>
      </c>
      <c r="D157" s="69"/>
      <c r="E157" s="56" t="s">
        <v>143</v>
      </c>
      <c r="F157" s="57"/>
    </row>
    <row r="158" spans="1:10" ht="14.25" customHeight="1" x14ac:dyDescent="0.25">
      <c r="A158" s="69"/>
      <c r="B158" s="24" t="s">
        <v>844</v>
      </c>
      <c r="C158" s="54">
        <v>46101</v>
      </c>
      <c r="D158" s="69"/>
      <c r="E158" s="56" t="s">
        <v>183</v>
      </c>
      <c r="F158" s="57"/>
    </row>
    <row r="159" spans="1:10" ht="14.25" customHeight="1" x14ac:dyDescent="0.25">
      <c r="A159" s="69"/>
      <c r="B159" s="24" t="s">
        <v>112</v>
      </c>
      <c r="C159" s="55">
        <f>IF(C158="","",IF(AND(MONTH(C158)&gt;=1,MONTH(C158)&lt;=3),1,IF(AND(MONTH(C158)&gt;=4,MONTH(C158)&lt;=6),2,IF(AND(MONTH(C158)&gt;=7,MONTH(C158)&lt;=9),3,4))))</f>
        <v>1</v>
      </c>
      <c r="D159" s="69"/>
      <c r="E159" s="56" t="s">
        <v>865</v>
      </c>
      <c r="F159" s="57"/>
    </row>
    <row r="161" spans="1:10" ht="14.25" customHeight="1" x14ac:dyDescent="0.25">
      <c r="A161" s="29" t="s">
        <v>1017</v>
      </c>
      <c r="B161" s="29" t="s">
        <v>1042</v>
      </c>
      <c r="C161" s="29" t="s">
        <v>1011</v>
      </c>
      <c r="D161" s="29" t="s">
        <v>985</v>
      </c>
      <c r="E161" s="29" t="s">
        <v>449</v>
      </c>
      <c r="F161" s="29" t="s">
        <v>989</v>
      </c>
    </row>
    <row r="162" spans="1:10" ht="14.25" customHeight="1" x14ac:dyDescent="0.25">
      <c r="A162" s="25" t="s">
        <v>964</v>
      </c>
      <c r="B162" s="26" t="str">
        <f ca="1">IFERROR(INDEX(UNSPSCDes,MATCH(INDIRECT(ADDRESS(ROW(),COLUMN()-1,4)),UNSPSCCode,0)),IF(INDIRECT(ADDRESS(ROW(),COLUMN()-1,4))="52141509","Combinación de neveras y congeladores para uso doméstico",""))</f>
        <v>Combinación de neveras y congeladores para uso doméstico</v>
      </c>
      <c r="C162" s="58" t="str">
        <f>IFERROR(VLOOKUP("UD",'Informacion '!P:Q,2,FALSE),"")</f>
        <v>Unidad</v>
      </c>
      <c r="D162" s="25">
        <v>30</v>
      </c>
      <c r="E162" s="28">
        <v>9525</v>
      </c>
      <c r="F162" s="27">
        <f t="shared" ref="F162:F171" ca="1" si="5">INDIRECT(ADDRESS(ROW(),COLUMN()-2,4))*INDIRECT(ADDRESS(ROW(),COLUMN()-1,4))</f>
        <v>285750</v>
      </c>
    </row>
    <row r="163" spans="1:10" ht="14.25" customHeight="1" x14ac:dyDescent="0.25">
      <c r="A163" s="25" t="s">
        <v>922</v>
      </c>
      <c r="B163" s="26" t="str">
        <f ca="1">IFERROR(INDEX(UNSPSCDes,MATCH(INDIRECT(ADDRESS(ROW(),COLUMN()-1,4)),UNSPSCCode,0)),IF(INDIRECT(ADDRESS(ROW(),COLUMN()-1,4))="52141502","Hornos microondas para uso doméstico",""))</f>
        <v>Hornos microondas para uso doméstico</v>
      </c>
      <c r="C163" s="58" t="str">
        <f>IFERROR(VLOOKUP("UD",'Informacion '!P:Q,2,FALSE),"")</f>
        <v>Unidad</v>
      </c>
      <c r="D163" s="25">
        <v>30</v>
      </c>
      <c r="E163" s="28">
        <v>11781</v>
      </c>
      <c r="F163" s="27">
        <f t="shared" ca="1" si="5"/>
        <v>353430</v>
      </c>
    </row>
    <row r="164" spans="1:10" ht="14.25" customHeight="1" x14ac:dyDescent="0.25">
      <c r="A164" s="25" t="s">
        <v>593</v>
      </c>
      <c r="B164" s="26" t="str">
        <f ca="1">IFERROR(INDEX(UNSPSCDes,MATCH(INDIRECT(ADDRESS(ROW(),COLUMN()-1,4)),UNSPSCCode,0)),IF(INDIRECT(ADDRESS(ROW(),COLUMN()-1,4))="52141504","Fogones para uso doméstico",""))</f>
        <v>Fogones para uso doméstico</v>
      </c>
      <c r="C164" s="58" t="str">
        <f>IFERROR(VLOOKUP("UD",'Informacion '!P:Q,2,FALSE),"")</f>
        <v>Unidad</v>
      </c>
      <c r="D164" s="25">
        <v>40</v>
      </c>
      <c r="E164" s="28">
        <v>790</v>
      </c>
      <c r="F164" s="27">
        <f t="shared" ca="1" si="5"/>
        <v>31600</v>
      </c>
    </row>
    <row r="165" spans="1:10" ht="14.25" customHeight="1" x14ac:dyDescent="0.25">
      <c r="A165" s="25" t="s">
        <v>318</v>
      </c>
      <c r="B165" s="26" t="str">
        <f ca="1">IFERROR(INDEX(UNSPSCDes,MATCH(INDIRECT(ADDRESS(ROW(),COLUMN()-1,4)),UNSPSCCode,0)),IF(INDIRECT(ADDRESS(ROW(),COLUMN()-1,4))="52141501","Neveras para uso doméstico",""))</f>
        <v>Neveras para uso doméstico</v>
      </c>
      <c r="C165" s="58" t="str">
        <f>IFERROR(VLOOKUP("UD",'Informacion '!P:Q,2,FALSE),"")</f>
        <v>Unidad</v>
      </c>
      <c r="D165" s="25">
        <v>15</v>
      </c>
      <c r="E165" s="28">
        <v>12390</v>
      </c>
      <c r="F165" s="27">
        <f t="shared" ca="1" si="5"/>
        <v>185850</v>
      </c>
    </row>
    <row r="166" spans="1:10" ht="14.25" customHeight="1" x14ac:dyDescent="0.25">
      <c r="A166" s="25" t="s">
        <v>318</v>
      </c>
      <c r="B166" s="26" t="str">
        <f ca="1">IFERROR(INDEX(UNSPSCDes,MATCH(INDIRECT(ADDRESS(ROW(),COLUMN()-1,4)),UNSPSCCode,0)),IF(INDIRECT(ADDRESS(ROW(),COLUMN()-1,4))="52141501","Neveras para uso doméstico",""))</f>
        <v>Neveras para uso doméstico</v>
      </c>
      <c r="C166" s="58" t="str">
        <f>IFERROR(VLOOKUP("UD",'Informacion '!P:Q,2,FALSE),"")</f>
        <v>Unidad</v>
      </c>
      <c r="D166" s="25">
        <v>5</v>
      </c>
      <c r="E166" s="28">
        <v>20000</v>
      </c>
      <c r="F166" s="27">
        <f t="shared" ca="1" si="5"/>
        <v>100000</v>
      </c>
    </row>
    <row r="167" spans="1:10" ht="14.25" customHeight="1" x14ac:dyDescent="0.25">
      <c r="A167" s="25" t="s">
        <v>936</v>
      </c>
      <c r="B167" s="26" t="str">
        <f ca="1">IFERROR(INDEX(UNSPSCDes,MATCH(INDIRECT(ADDRESS(ROW(),COLUMN()-1,4)),UNSPSCCode,0)),IF(INDIRECT(ADDRESS(ROW(),COLUMN()-1,4))="40101604","Ventiladores",""))</f>
        <v>Ventiladores</v>
      </c>
      <c r="C167" s="58" t="str">
        <f>IFERROR(VLOOKUP("UD",'Informacion '!P:Q,2,FALSE),"")</f>
        <v>Unidad</v>
      </c>
      <c r="D167" s="25">
        <v>10</v>
      </c>
      <c r="E167" s="28">
        <v>2670</v>
      </c>
      <c r="F167" s="27">
        <f t="shared" ca="1" si="5"/>
        <v>26700</v>
      </c>
    </row>
    <row r="168" spans="1:10" ht="14.25" customHeight="1" x14ac:dyDescent="0.25">
      <c r="A168" s="25" t="s">
        <v>936</v>
      </c>
      <c r="B168" s="26" t="str">
        <f ca="1">IFERROR(INDEX(UNSPSCDes,MATCH(INDIRECT(ADDRESS(ROW(),COLUMN()-1,4)),UNSPSCCode,0)),IF(INDIRECT(ADDRESS(ROW(),COLUMN()-1,4))="40101604","Ventiladores",""))</f>
        <v>Ventiladores</v>
      </c>
      <c r="C168" s="58" t="str">
        <f>IFERROR(VLOOKUP("UD",'Informacion '!P:Q,2,FALSE),"")</f>
        <v>Unidad</v>
      </c>
      <c r="D168" s="25">
        <v>10</v>
      </c>
      <c r="E168" s="28">
        <v>10670</v>
      </c>
      <c r="F168" s="27">
        <f t="shared" ca="1" si="5"/>
        <v>106700</v>
      </c>
    </row>
    <row r="169" spans="1:10" ht="14.25" customHeight="1" x14ac:dyDescent="0.25">
      <c r="A169" s="25" t="s">
        <v>181</v>
      </c>
      <c r="B169" s="26" t="str">
        <f ca="1">IFERROR(INDEX(UNSPSCDes,MATCH(INDIRECT(ADDRESS(ROW(),COLUMN()-1,4)),UNSPSCCode,0)),IF(INDIRECT(ADDRESS(ROW(),COLUMN()-1,4))="52141526","Cafeteras para uso doméstico",""))</f>
        <v>Cafeteras para uso doméstico</v>
      </c>
      <c r="C169" s="58" t="str">
        <f>IFERROR(VLOOKUP("UD",'Informacion '!P:Q,2,FALSE),"")</f>
        <v>Unidad</v>
      </c>
      <c r="D169" s="25">
        <v>10</v>
      </c>
      <c r="E169" s="28">
        <v>2120</v>
      </c>
      <c r="F169" s="27">
        <f t="shared" ca="1" si="5"/>
        <v>21200</v>
      </c>
    </row>
    <row r="170" spans="1:10" ht="14.25" customHeight="1" x14ac:dyDescent="0.25">
      <c r="A170" s="25" t="s">
        <v>181</v>
      </c>
      <c r="B170" s="26" t="str">
        <f ca="1">IFERROR(INDEX(UNSPSCDes,MATCH(INDIRECT(ADDRESS(ROW(),COLUMN()-1,4)),UNSPSCCode,0)),IF(INDIRECT(ADDRESS(ROW(),COLUMN()-1,4))="52141526","Cafeteras para uso doméstico",""))</f>
        <v>Cafeteras para uso doméstico</v>
      </c>
      <c r="C170" s="58" t="str">
        <f>IFERROR(VLOOKUP("UD",'Informacion '!P:Q,2,FALSE),"")</f>
        <v>Unidad</v>
      </c>
      <c r="D170" s="25">
        <v>10</v>
      </c>
      <c r="E170" s="28">
        <v>4909</v>
      </c>
      <c r="F170" s="27">
        <f t="shared" ca="1" si="5"/>
        <v>49090</v>
      </c>
    </row>
    <row r="171" spans="1:10" ht="14.25" customHeight="1" x14ac:dyDescent="0.25">
      <c r="A171" s="25" t="s">
        <v>318</v>
      </c>
      <c r="B171" s="26" t="str">
        <f ca="1">IFERROR(INDEX(UNSPSCDes,MATCH(INDIRECT(ADDRESS(ROW(),COLUMN()-1,4)),UNSPSCCode,0)),IF(INDIRECT(ADDRESS(ROW(),COLUMN()-1,4))="52141501","Neveras para uso doméstico",""))</f>
        <v>Neveras para uso doméstico</v>
      </c>
      <c r="C171" s="58" t="str">
        <f>IFERROR(VLOOKUP("UD",'Informacion '!P:Q,2,FALSE),"")</f>
        <v>Unidad</v>
      </c>
      <c r="D171" s="25">
        <v>1</v>
      </c>
      <c r="E171" s="28">
        <v>12390</v>
      </c>
      <c r="F171" s="27">
        <f t="shared" ca="1" si="5"/>
        <v>12390</v>
      </c>
    </row>
    <row r="172" spans="1:10" ht="14.25" customHeight="1" x14ac:dyDescent="0.25">
      <c r="E172" s="30" t="s">
        <v>816</v>
      </c>
      <c r="F172" s="31">
        <f ca="1">SUM(Table13[MONTO TOTAL ESTIMADO])</f>
        <v>1172710</v>
      </c>
      <c r="H172" s="21" t="str">
        <f>C155</f>
        <v>Bienes</v>
      </c>
      <c r="I172" s="21" t="str">
        <f>E155</f>
        <v>Sí</v>
      </c>
      <c r="J172" s="21" t="str">
        <f>D155</f>
        <v>Compras Menores</v>
      </c>
    </row>
    <row r="174" spans="1:10" ht="33.950000000000003" customHeight="1" x14ac:dyDescent="0.25">
      <c r="A174" s="22" t="s">
        <v>1051</v>
      </c>
      <c r="B174" s="22" t="s">
        <v>11</v>
      </c>
      <c r="C174" s="22" t="s">
        <v>751</v>
      </c>
      <c r="D174" s="22" t="s">
        <v>930</v>
      </c>
      <c r="E174" s="22" t="s">
        <v>699</v>
      </c>
      <c r="F174" s="22" t="s">
        <v>710</v>
      </c>
    </row>
    <row r="175" spans="1:10" ht="14.25" customHeight="1" x14ac:dyDescent="0.25">
      <c r="A175" s="23" t="s">
        <v>470</v>
      </c>
      <c r="B175" s="23" t="s">
        <v>470</v>
      </c>
      <c r="C175" s="23" t="s">
        <v>1155</v>
      </c>
      <c r="D175" s="23" t="s">
        <v>1128</v>
      </c>
      <c r="E175" s="23" t="s">
        <v>561</v>
      </c>
      <c r="F175" s="23" t="s">
        <v>436</v>
      </c>
    </row>
    <row r="176" spans="1:10" ht="14.25" customHeight="1" x14ac:dyDescent="0.25">
      <c r="A176" s="68" t="s">
        <v>965</v>
      </c>
      <c r="B176" s="24" t="s">
        <v>543</v>
      </c>
      <c r="C176" s="54">
        <v>46066</v>
      </c>
      <c r="D176" s="68" t="s">
        <v>598</v>
      </c>
      <c r="E176" s="56" t="s">
        <v>858</v>
      </c>
      <c r="F176" s="57" t="s">
        <v>184</v>
      </c>
    </row>
    <row r="177" spans="1:6" ht="14.25" customHeight="1" x14ac:dyDescent="0.25">
      <c r="A177" s="69"/>
      <c r="B177" s="24" t="s">
        <v>112</v>
      </c>
      <c r="C177" s="55">
        <f>IF(C176="","",IF(AND(MONTH(C176)&gt;=1,MONTH(C176)&lt;=3),1,IF(AND(MONTH(C176)&gt;=4,MONTH(C176)&lt;=6),2,IF(AND(MONTH(C176)&gt;=7,MONTH(C176)&lt;=9),3,4))))</f>
        <v>1</v>
      </c>
      <c r="D177" s="69"/>
      <c r="E177" s="56" t="s">
        <v>143</v>
      </c>
      <c r="F177" s="57"/>
    </row>
    <row r="178" spans="1:6" ht="14.25" customHeight="1" x14ac:dyDescent="0.25">
      <c r="A178" s="69"/>
      <c r="B178" s="24" t="s">
        <v>844</v>
      </c>
      <c r="C178" s="54">
        <v>46103</v>
      </c>
      <c r="D178" s="69"/>
      <c r="E178" s="56" t="s">
        <v>183</v>
      </c>
      <c r="F178" s="57"/>
    </row>
    <row r="179" spans="1:6" ht="14.25" customHeight="1" x14ac:dyDescent="0.25">
      <c r="A179" s="69"/>
      <c r="B179" s="24" t="s">
        <v>112</v>
      </c>
      <c r="C179" s="55">
        <f>IF(C178="","",IF(AND(MONTH(C178)&gt;=1,MONTH(C178)&lt;=3),1,IF(AND(MONTH(C178)&gt;=4,MONTH(C178)&lt;=6),2,IF(AND(MONTH(C178)&gt;=7,MONTH(C178)&lt;=9),3,4))))</f>
        <v>1</v>
      </c>
      <c r="D179" s="69"/>
      <c r="E179" s="56" t="s">
        <v>865</v>
      </c>
      <c r="F179" s="57"/>
    </row>
    <row r="181" spans="1:6" ht="14.25" customHeight="1" x14ac:dyDescent="0.25">
      <c r="A181" s="29" t="s">
        <v>1017</v>
      </c>
      <c r="B181" s="29" t="s">
        <v>1042</v>
      </c>
      <c r="C181" s="29" t="s">
        <v>1011</v>
      </c>
      <c r="D181" s="29" t="s">
        <v>985</v>
      </c>
      <c r="E181" s="29" t="s">
        <v>449</v>
      </c>
      <c r="F181" s="29" t="s">
        <v>989</v>
      </c>
    </row>
    <row r="182" spans="1:6" ht="14.25" customHeight="1" x14ac:dyDescent="0.25">
      <c r="A182" s="25" t="s">
        <v>874</v>
      </c>
      <c r="B182" s="26" t="str">
        <f t="shared" ref="B182:B187" ca="1" si="6">IFERROR(INDEX(UNSPSCDes,MATCH(INDIRECT(ADDRESS(ROW(),COLUMN()-1,4)),UNSPSCCode,0)),IF(INDIRECT(ADDRESS(ROW(),COLUMN()-1,4))="40142612","Adaptadores de tubo",""))</f>
        <v>Adaptadores de tubo</v>
      </c>
      <c r="C182" s="58" t="str">
        <f>IFERROR(VLOOKUP("UD",'Informacion '!P:Q,2,FALSE),"")</f>
        <v>Unidad</v>
      </c>
      <c r="D182" s="25">
        <v>30</v>
      </c>
      <c r="E182" s="28">
        <v>98.68</v>
      </c>
      <c r="F182" s="27">
        <f t="shared" ref="F182:F213" ca="1" si="7">INDIRECT(ADDRESS(ROW(),COLUMN()-2,4))*INDIRECT(ADDRESS(ROW(),COLUMN()-1,4))</f>
        <v>2960.4</v>
      </c>
    </row>
    <row r="183" spans="1:6" ht="14.25" customHeight="1" x14ac:dyDescent="0.25">
      <c r="A183" s="25" t="s">
        <v>874</v>
      </c>
      <c r="B183" s="26" t="str">
        <f t="shared" ca="1" si="6"/>
        <v>Adaptadores de tubo</v>
      </c>
      <c r="C183" s="58" t="str">
        <f>IFERROR(VLOOKUP("UD",'Informacion '!P:Q,2,FALSE),"")</f>
        <v>Unidad</v>
      </c>
      <c r="D183" s="25">
        <v>30</v>
      </c>
      <c r="E183" s="28">
        <v>116.43</v>
      </c>
      <c r="F183" s="27">
        <f t="shared" ca="1" si="7"/>
        <v>3492.9</v>
      </c>
    </row>
    <row r="184" spans="1:6" ht="14.25" customHeight="1" x14ac:dyDescent="0.25">
      <c r="A184" s="25" t="s">
        <v>874</v>
      </c>
      <c r="B184" s="26" t="str">
        <f t="shared" ca="1" si="6"/>
        <v>Adaptadores de tubo</v>
      </c>
      <c r="C184" s="58" t="str">
        <f>IFERROR(VLOOKUP("UD",'Informacion '!P:Q,2,FALSE),"")</f>
        <v>Unidad</v>
      </c>
      <c r="D184" s="25">
        <v>30</v>
      </c>
      <c r="E184" s="28">
        <v>14.56</v>
      </c>
      <c r="F184" s="27">
        <f t="shared" ca="1" si="7"/>
        <v>436.8</v>
      </c>
    </row>
    <row r="185" spans="1:6" ht="14.25" customHeight="1" x14ac:dyDescent="0.25">
      <c r="A185" s="25" t="s">
        <v>874</v>
      </c>
      <c r="B185" s="26" t="str">
        <f t="shared" ca="1" si="6"/>
        <v>Adaptadores de tubo</v>
      </c>
      <c r="C185" s="58" t="str">
        <f>IFERROR(VLOOKUP("UD",'Informacion '!P:Q,2,FALSE),"")</f>
        <v>Unidad</v>
      </c>
      <c r="D185" s="25">
        <v>30</v>
      </c>
      <c r="E185" s="28">
        <v>24.9</v>
      </c>
      <c r="F185" s="27">
        <f t="shared" ca="1" si="7"/>
        <v>747</v>
      </c>
    </row>
    <row r="186" spans="1:6" ht="14.25" customHeight="1" x14ac:dyDescent="0.25">
      <c r="A186" s="25" t="s">
        <v>874</v>
      </c>
      <c r="B186" s="26" t="str">
        <f t="shared" ca="1" si="6"/>
        <v>Adaptadores de tubo</v>
      </c>
      <c r="C186" s="58" t="str">
        <f>IFERROR(VLOOKUP("UD",'Informacion '!P:Q,2,FALSE),"")</f>
        <v>Unidad</v>
      </c>
      <c r="D186" s="25">
        <v>15</v>
      </c>
      <c r="E186" s="28">
        <v>8.68</v>
      </c>
      <c r="F186" s="27">
        <f t="shared" ca="1" si="7"/>
        <v>130.19999999999999</v>
      </c>
    </row>
    <row r="187" spans="1:6" ht="14.25" customHeight="1" x14ac:dyDescent="0.25">
      <c r="A187" s="25" t="s">
        <v>874</v>
      </c>
      <c r="B187" s="26" t="str">
        <f t="shared" ca="1" si="6"/>
        <v>Adaptadores de tubo</v>
      </c>
      <c r="C187" s="58" t="str">
        <f>IFERROR(VLOOKUP("UD",'Informacion '!P:Q,2,FALSE),"")</f>
        <v>Unidad</v>
      </c>
      <c r="D187" s="25">
        <v>15</v>
      </c>
      <c r="E187" s="28">
        <v>10.11</v>
      </c>
      <c r="F187" s="27">
        <f t="shared" ca="1" si="7"/>
        <v>151.64999999999998</v>
      </c>
    </row>
    <row r="188" spans="1:6" ht="14.25" customHeight="1" x14ac:dyDescent="0.25">
      <c r="A188" s="25" t="s">
        <v>12</v>
      </c>
      <c r="B188" s="26" t="str">
        <f ca="1">IFERROR(INDEX(UNSPSCDes,MATCH(INDIRECT(ADDRESS(ROW(),COLUMN()-1,4)),UNSPSCCode,0)),IF(INDIRECT(ADDRESS(ROW(),COLUMN()-1,4))="40142615","Reductores de tubo",""))</f>
        <v>Reductores de tubo</v>
      </c>
      <c r="C188" s="58" t="str">
        <f>IFERROR(VLOOKUP("UD",'Informacion '!P:Q,2,FALSE),"")</f>
        <v>Unidad</v>
      </c>
      <c r="D188" s="25">
        <v>15</v>
      </c>
      <c r="E188" s="28">
        <v>97.65</v>
      </c>
      <c r="F188" s="27">
        <f t="shared" ca="1" si="7"/>
        <v>1464.75</v>
      </c>
    </row>
    <row r="189" spans="1:6" ht="14.25" customHeight="1" x14ac:dyDescent="0.25">
      <c r="A189" s="25" t="s">
        <v>12</v>
      </c>
      <c r="B189" s="26" t="str">
        <f ca="1">IFERROR(INDEX(UNSPSCDes,MATCH(INDIRECT(ADDRESS(ROW(),COLUMN()-1,4)),UNSPSCCode,0)),IF(INDIRECT(ADDRESS(ROW(),COLUMN()-1,4))="40142615","Reductores de tubo",""))</f>
        <v>Reductores de tubo</v>
      </c>
      <c r="C189" s="58" t="str">
        <f>IFERROR(VLOOKUP("UD",'Informacion '!P:Q,2,FALSE),"")</f>
        <v>Unidad</v>
      </c>
      <c r="D189" s="25">
        <v>15</v>
      </c>
      <c r="E189" s="28">
        <v>97.65</v>
      </c>
      <c r="F189" s="27">
        <f t="shared" ca="1" si="7"/>
        <v>1464.75</v>
      </c>
    </row>
    <row r="190" spans="1:6" ht="14.25" customHeight="1" x14ac:dyDescent="0.25">
      <c r="A190" s="25" t="s">
        <v>12</v>
      </c>
      <c r="B190" s="26" t="str">
        <f ca="1">IFERROR(INDEX(UNSPSCDes,MATCH(INDIRECT(ADDRESS(ROW(),COLUMN()-1,4)),UNSPSCCode,0)),IF(INDIRECT(ADDRESS(ROW(),COLUMN()-1,4))="40142615","Reductores de tubo",""))</f>
        <v>Reductores de tubo</v>
      </c>
      <c r="C190" s="58" t="str">
        <f>IFERROR(VLOOKUP("UD",'Informacion '!P:Q,2,FALSE),"")</f>
        <v>Unidad</v>
      </c>
      <c r="D190" s="25">
        <v>30</v>
      </c>
      <c r="E190" s="28">
        <v>5.56</v>
      </c>
      <c r="F190" s="27">
        <f t="shared" ca="1" si="7"/>
        <v>166.79999999999998</v>
      </c>
    </row>
    <row r="191" spans="1:6" ht="14.25" customHeight="1" x14ac:dyDescent="0.25">
      <c r="A191" s="25" t="s">
        <v>12</v>
      </c>
      <c r="B191" s="26" t="str">
        <f ca="1">IFERROR(INDEX(UNSPSCDes,MATCH(INDIRECT(ADDRESS(ROW(),COLUMN()-1,4)),UNSPSCCode,0)),IF(INDIRECT(ADDRESS(ROW(),COLUMN()-1,4))="40142615","Reductores de tubo",""))</f>
        <v>Reductores de tubo</v>
      </c>
      <c r="C191" s="58" t="str">
        <f>IFERROR(VLOOKUP("UD",'Informacion '!P:Q,2,FALSE),"")</f>
        <v>Unidad</v>
      </c>
      <c r="D191" s="25">
        <v>30</v>
      </c>
      <c r="E191" s="28">
        <v>6.01</v>
      </c>
      <c r="F191" s="27">
        <f t="shared" ca="1" si="7"/>
        <v>180.29999999999998</v>
      </c>
    </row>
    <row r="192" spans="1:6" ht="14.25" customHeight="1" x14ac:dyDescent="0.25">
      <c r="A192" s="25" t="s">
        <v>13</v>
      </c>
      <c r="B192" s="26" t="str">
        <f ca="1">IFERROR(INDEX(UNSPSCDes,MATCH(INDIRECT(ADDRESS(ROW(),COLUMN()-1,4)),UNSPSCCode,0)),IF(INDIRECT(ADDRESS(ROW(),COLUMN()-1,4))="40142605","Piezas en T de tubo",""))</f>
        <v>Piezas en T de tubo</v>
      </c>
      <c r="C192" s="58" t="str">
        <f>IFERROR(VLOOKUP("UD",'Informacion '!P:Q,2,FALSE),"")</f>
        <v>Unidad</v>
      </c>
      <c r="D192" s="25">
        <v>30</v>
      </c>
      <c r="E192" s="28">
        <v>35.299999999999997</v>
      </c>
      <c r="F192" s="27">
        <f t="shared" ca="1" si="7"/>
        <v>1059</v>
      </c>
    </row>
    <row r="193" spans="1:6" ht="14.25" customHeight="1" x14ac:dyDescent="0.25">
      <c r="A193" s="25" t="s">
        <v>119</v>
      </c>
      <c r="B193" s="26" t="str">
        <f ca="1">IFERROR(INDEX(UNSPSCDes,MATCH(INDIRECT(ADDRESS(ROW(),COLUMN()-1,4)),UNSPSCCode,0)),IF(INDIRECT(ADDRESS(ROW(),COLUMN()-1,4))="40142604","Codos de tubo",""))</f>
        <v>Codos de tubo</v>
      </c>
      <c r="C193" s="58" t="str">
        <f>IFERROR(VLOOKUP("UD",'Informacion '!P:Q,2,FALSE),"")</f>
        <v>Unidad</v>
      </c>
      <c r="D193" s="25">
        <v>30</v>
      </c>
      <c r="E193" s="28">
        <v>216.95</v>
      </c>
      <c r="F193" s="27">
        <f t="shared" ca="1" si="7"/>
        <v>6508.5</v>
      </c>
    </row>
    <row r="194" spans="1:6" ht="14.25" customHeight="1" x14ac:dyDescent="0.25">
      <c r="A194" s="25" t="s">
        <v>909</v>
      </c>
      <c r="B194" s="26" t="str">
        <f ca="1">IFERROR(INDEX(UNSPSCDes,MATCH(INDIRECT(ADDRESS(ROW(),COLUMN()-1,4)),UNSPSCCode,0)),IF(INDIRECT(ADDRESS(ROW(),COLUMN()-1,4))="39121434","Conectores de tubos metálicos eléctricos (emt)",""))</f>
        <v>Conectores de tubos metálicos eléctricos (emt)</v>
      </c>
      <c r="C194" s="58" t="str">
        <f>IFERROR(VLOOKUP("UD",'Informacion '!P:Q,2,FALSE),"")</f>
        <v>Unidad</v>
      </c>
      <c r="D194" s="25">
        <v>50</v>
      </c>
      <c r="E194" s="28">
        <v>22</v>
      </c>
      <c r="F194" s="27">
        <f t="shared" ca="1" si="7"/>
        <v>1100</v>
      </c>
    </row>
    <row r="195" spans="1:6" ht="14.25" customHeight="1" x14ac:dyDescent="0.25">
      <c r="A195" s="25" t="s">
        <v>896</v>
      </c>
      <c r="B195" s="26" t="str">
        <f ca="1">IFERROR(INDEX(UNSPSCDes,MATCH(INDIRECT(ADDRESS(ROW(),COLUMN()-1,4)),UNSPSCCode,0)),IF(INDIRECT(ADDRESS(ROW(),COLUMN()-1,4))="40141619","Válvulas de mariposa con diseño de casquillo",""))</f>
        <v>Válvulas de mariposa con diseño de casquillo</v>
      </c>
      <c r="C195" s="58" t="str">
        <f>IFERROR(VLOOKUP("UD",'Informacion '!P:Q,2,FALSE),"")</f>
        <v>Unidad</v>
      </c>
      <c r="D195" s="25">
        <v>10</v>
      </c>
      <c r="E195" s="28">
        <v>500</v>
      </c>
      <c r="F195" s="27">
        <f t="shared" ca="1" si="7"/>
        <v>5000</v>
      </c>
    </row>
    <row r="196" spans="1:6" ht="14.25" customHeight="1" x14ac:dyDescent="0.25">
      <c r="A196" s="25" t="s">
        <v>323</v>
      </c>
      <c r="B196" s="26" t="str">
        <f ca="1">IFERROR(INDEX(UNSPSCDes,MATCH(INDIRECT(ADDRESS(ROW(),COLUMN()-1,4)),UNSPSCCode,0)),IF(INDIRECT(ADDRESS(ROW(),COLUMN()-1,4))="31231313","Tubería de plástico",""))</f>
        <v>Tubería de plástico</v>
      </c>
      <c r="C196" s="58" t="str">
        <f>IFERROR(VLOOKUP("UD",'Informacion '!P:Q,2,FALSE),"")</f>
        <v>Unidad</v>
      </c>
      <c r="D196" s="25">
        <v>2</v>
      </c>
      <c r="E196" s="28">
        <v>147.5</v>
      </c>
      <c r="F196" s="27">
        <f t="shared" ca="1" si="7"/>
        <v>295</v>
      </c>
    </row>
    <row r="197" spans="1:6" ht="14.25" customHeight="1" x14ac:dyDescent="0.25">
      <c r="A197" s="25" t="s">
        <v>323</v>
      </c>
      <c r="B197" s="26" t="str">
        <f ca="1">IFERROR(INDEX(UNSPSCDes,MATCH(INDIRECT(ADDRESS(ROW(),COLUMN()-1,4)),UNSPSCCode,0)),IF(INDIRECT(ADDRESS(ROW(),COLUMN()-1,4))="31231313","Tubería de plástico",""))</f>
        <v>Tubería de plástico</v>
      </c>
      <c r="C197" s="58" t="str">
        <f>IFERROR(VLOOKUP("UD",'Informacion '!P:Q,2,FALSE),"")</f>
        <v>Unidad</v>
      </c>
      <c r="D197" s="25">
        <v>2</v>
      </c>
      <c r="E197" s="28">
        <v>536.07000000000005</v>
      </c>
      <c r="F197" s="27">
        <f t="shared" ca="1" si="7"/>
        <v>1072.1400000000001</v>
      </c>
    </row>
    <row r="198" spans="1:6" ht="14.25" customHeight="1" x14ac:dyDescent="0.25">
      <c r="A198" s="25" t="s">
        <v>323</v>
      </c>
      <c r="B198" s="26" t="str">
        <f ca="1">IFERROR(INDEX(UNSPSCDes,MATCH(INDIRECT(ADDRESS(ROW(),COLUMN()-1,4)),UNSPSCCode,0)),IF(INDIRECT(ADDRESS(ROW(),COLUMN()-1,4))="31231313","Tubería de plástico",""))</f>
        <v>Tubería de plástico</v>
      </c>
      <c r="C198" s="58" t="str">
        <f>IFERROR(VLOOKUP("UD",'Informacion '!P:Q,2,FALSE),"")</f>
        <v>Unidad</v>
      </c>
      <c r="D198" s="25">
        <v>5</v>
      </c>
      <c r="E198" s="28">
        <v>550.75</v>
      </c>
      <c r="F198" s="27">
        <f t="shared" ca="1" si="7"/>
        <v>2753.75</v>
      </c>
    </row>
    <row r="199" spans="1:6" ht="14.25" customHeight="1" x14ac:dyDescent="0.25">
      <c r="A199" s="25" t="s">
        <v>692</v>
      </c>
      <c r="B199" s="26" t="str">
        <f ca="1">IFERROR(INDEX(UNSPSCDes,MATCH(INDIRECT(ADDRESS(ROW(),COLUMN()-1,4)),UNSPSCCode,0)),IF(INDIRECT(ADDRESS(ROW(),COLUMN()-1,4))="27111708","Llaves para tubos",""))</f>
        <v>Llaves para tubos</v>
      </c>
      <c r="C199" s="58" t="str">
        <f>IFERROR(VLOOKUP("UD",'Informacion '!P:Q,2,FALSE),"")</f>
        <v>Unidad</v>
      </c>
      <c r="D199" s="25">
        <v>10</v>
      </c>
      <c r="E199" s="28">
        <v>98.89</v>
      </c>
      <c r="F199" s="27">
        <f t="shared" ca="1" si="7"/>
        <v>988.9</v>
      </c>
    </row>
    <row r="200" spans="1:6" ht="14.25" customHeight="1" x14ac:dyDescent="0.25">
      <c r="A200" s="25" t="s">
        <v>692</v>
      </c>
      <c r="B200" s="26" t="str">
        <f ca="1">IFERROR(INDEX(UNSPSCDes,MATCH(INDIRECT(ADDRESS(ROW(),COLUMN()-1,4)),UNSPSCCode,0)),IF(INDIRECT(ADDRESS(ROW(),COLUMN()-1,4))="27111708","Llaves para tubos",""))</f>
        <v>Llaves para tubos</v>
      </c>
      <c r="C200" s="58" t="str">
        <f>IFERROR(VLOOKUP("UD",'Informacion '!P:Q,2,FALSE),"")</f>
        <v>Unidad</v>
      </c>
      <c r="D200" s="25">
        <v>10</v>
      </c>
      <c r="E200" s="28">
        <v>98.89</v>
      </c>
      <c r="F200" s="27">
        <f t="shared" ca="1" si="7"/>
        <v>988.9</v>
      </c>
    </row>
    <row r="201" spans="1:6" ht="14.25" customHeight="1" x14ac:dyDescent="0.25">
      <c r="A201" s="25" t="s">
        <v>439</v>
      </c>
      <c r="B201" s="26" t="str">
        <f ca="1">IFERROR(INDEX(UNSPSCDes,MATCH(INDIRECT(ADDRESS(ROW(),COLUMN()-1,4)),UNSPSCCode,0)),IF(INDIRECT(ADDRESS(ROW(),COLUMN()-1,4))="40142009","Mangueras multipropósito de aire, agua y gas",""))</f>
        <v>Mangueras multipropósito de aire, agua y gas</v>
      </c>
      <c r="C201" s="58" t="str">
        <f>IFERROR(VLOOKUP("UD",'Informacion '!P:Q,2,FALSE),"")</f>
        <v>Unidad</v>
      </c>
      <c r="D201" s="25">
        <v>30</v>
      </c>
      <c r="E201" s="28">
        <v>1050.5</v>
      </c>
      <c r="F201" s="27">
        <f t="shared" ca="1" si="7"/>
        <v>31515</v>
      </c>
    </row>
    <row r="202" spans="1:6" ht="14.25" customHeight="1" x14ac:dyDescent="0.25">
      <c r="A202" s="25" t="s">
        <v>439</v>
      </c>
      <c r="B202" s="26" t="str">
        <f ca="1">IFERROR(INDEX(UNSPSCDes,MATCH(INDIRECT(ADDRESS(ROW(),COLUMN()-1,4)),UNSPSCCode,0)),IF(INDIRECT(ADDRESS(ROW(),COLUMN()-1,4))="40142009","Mangueras multipropósito de aire, agua y gas",""))</f>
        <v>Mangueras multipropósito de aire, agua y gas</v>
      </c>
      <c r="C202" s="58" t="str">
        <f>IFERROR(VLOOKUP("UD",'Informacion '!P:Q,2,FALSE),"")</f>
        <v>Unidad</v>
      </c>
      <c r="D202" s="25">
        <v>30</v>
      </c>
      <c r="E202" s="28">
        <v>950.5</v>
      </c>
      <c r="F202" s="27">
        <f t="shared" ca="1" si="7"/>
        <v>28515</v>
      </c>
    </row>
    <row r="203" spans="1:6" ht="14.25" customHeight="1" x14ac:dyDescent="0.25">
      <c r="A203" s="25" t="s">
        <v>1187</v>
      </c>
      <c r="B203" s="26" t="str">
        <f ca="1">IFERROR(INDEX(UNSPSCDes,MATCH(INDIRECT(ADDRESS(ROW(),COLUMN()-1,4)),UNSPSCCode,0)),IF(INDIRECT(ADDRESS(ROW(),COLUMN()-1,4))="47131705","Accesorios para urinales o inodoros",""))</f>
        <v>Accesorios para urinales o inodoros</v>
      </c>
      <c r="C203" s="58" t="str">
        <f>IFERROR(VLOOKUP("UD",'Informacion '!P:Q,2,FALSE),"")</f>
        <v>Unidad</v>
      </c>
      <c r="D203" s="25">
        <v>10</v>
      </c>
      <c r="E203" s="28">
        <v>1037.33</v>
      </c>
      <c r="F203" s="27">
        <f t="shared" ca="1" si="7"/>
        <v>10373.299999999999</v>
      </c>
    </row>
    <row r="204" spans="1:6" ht="14.25" customHeight="1" x14ac:dyDescent="0.25">
      <c r="A204" s="25" t="s">
        <v>1187</v>
      </c>
      <c r="B204" s="26" t="str">
        <f ca="1">IFERROR(INDEX(UNSPSCDes,MATCH(INDIRECT(ADDRESS(ROW(),COLUMN()-1,4)),UNSPSCCode,0)),IF(INDIRECT(ADDRESS(ROW(),COLUMN()-1,4))="47131705","Accesorios para urinales o inodoros",""))</f>
        <v>Accesorios para urinales o inodoros</v>
      </c>
      <c r="C204" s="58" t="str">
        <f>IFERROR(VLOOKUP("UD",'Informacion '!P:Q,2,FALSE),"")</f>
        <v>Unidad</v>
      </c>
      <c r="D204" s="25">
        <v>20</v>
      </c>
      <c r="E204" s="28">
        <v>1895</v>
      </c>
      <c r="F204" s="27">
        <f t="shared" ca="1" si="7"/>
        <v>37900</v>
      </c>
    </row>
    <row r="205" spans="1:6" ht="14.25" customHeight="1" x14ac:dyDescent="0.25">
      <c r="A205" s="25" t="s">
        <v>1187</v>
      </c>
      <c r="B205" s="26" t="str">
        <f ca="1">IFERROR(INDEX(UNSPSCDes,MATCH(INDIRECT(ADDRESS(ROW(),COLUMN()-1,4)),UNSPSCCode,0)),IF(INDIRECT(ADDRESS(ROW(),COLUMN()-1,4))="47131705","Accesorios para urinales o inodoros",""))</f>
        <v>Accesorios para urinales o inodoros</v>
      </c>
      <c r="C205" s="58" t="str">
        <f>IFERROR(VLOOKUP("UD",'Informacion '!P:Q,2,FALSE),"")</f>
        <v>Unidad</v>
      </c>
      <c r="D205" s="25">
        <v>30</v>
      </c>
      <c r="E205" s="28">
        <v>52.45</v>
      </c>
      <c r="F205" s="27">
        <f t="shared" ca="1" si="7"/>
        <v>1573.5</v>
      </c>
    </row>
    <row r="206" spans="1:6" ht="14.25" customHeight="1" x14ac:dyDescent="0.25">
      <c r="A206" s="25" t="s">
        <v>895</v>
      </c>
      <c r="B206" s="26" t="str">
        <f ca="1">IFERROR(INDEX(UNSPSCDes,MATCH(INDIRECT(ADDRESS(ROW(),COLUMN()-1,4)),UNSPSCCode,0)),IF(INDIRECT(ADDRESS(ROW(),COLUMN()-1,4))="40141609","Válvulas de control",""))</f>
        <v>Válvulas de control</v>
      </c>
      <c r="C206" s="58" t="str">
        <f>IFERROR(VLOOKUP("UD",'Informacion '!P:Q,2,FALSE),"")</f>
        <v>Unidad</v>
      </c>
      <c r="D206" s="25">
        <v>10</v>
      </c>
      <c r="E206" s="28">
        <v>240.66</v>
      </c>
      <c r="F206" s="27">
        <f t="shared" ca="1" si="7"/>
        <v>2406.6</v>
      </c>
    </row>
    <row r="207" spans="1:6" ht="14.25" customHeight="1" x14ac:dyDescent="0.25">
      <c r="A207" s="25" t="s">
        <v>895</v>
      </c>
      <c r="B207" s="26" t="str">
        <f ca="1">IFERROR(INDEX(UNSPSCDes,MATCH(INDIRECT(ADDRESS(ROW(),COLUMN()-1,4)),UNSPSCCode,0)),IF(INDIRECT(ADDRESS(ROW(),COLUMN()-1,4))="40141609","Válvulas de control",""))</f>
        <v>Válvulas de control</v>
      </c>
      <c r="C207" s="58" t="str">
        <f>IFERROR(VLOOKUP("UD",'Informacion '!P:Q,2,FALSE),"")</f>
        <v>Unidad</v>
      </c>
      <c r="D207" s="25">
        <v>10</v>
      </c>
      <c r="E207" s="28">
        <v>231.49</v>
      </c>
      <c r="F207" s="27">
        <f t="shared" ca="1" si="7"/>
        <v>2314.9</v>
      </c>
    </row>
    <row r="208" spans="1:6" ht="14.25" customHeight="1" x14ac:dyDescent="0.25">
      <c r="A208" s="25" t="s">
        <v>1217</v>
      </c>
      <c r="B208" s="26" t="str">
        <f ca="1">IFERROR(INDEX(UNSPSCDes,MATCH(INDIRECT(ADDRESS(ROW(),COLUMN()-1,4)),UNSPSCCode,0)),IF(INDIRECT(ADDRESS(ROW(),COLUMN()-1,4))="40141702","Grifos",""))</f>
        <v>Grifos</v>
      </c>
      <c r="C208" s="58" t="str">
        <f>IFERROR(VLOOKUP("UD",'Informacion '!P:Q,2,FALSE),"")</f>
        <v>Unidad</v>
      </c>
      <c r="D208" s="25">
        <v>10</v>
      </c>
      <c r="E208" s="28">
        <v>731</v>
      </c>
      <c r="F208" s="27">
        <f t="shared" ca="1" si="7"/>
        <v>7310</v>
      </c>
    </row>
    <row r="209" spans="1:6" ht="14.25" customHeight="1" x14ac:dyDescent="0.25">
      <c r="A209" s="25" t="s">
        <v>1217</v>
      </c>
      <c r="B209" s="26" t="str">
        <f ca="1">IFERROR(INDEX(UNSPSCDes,MATCH(INDIRECT(ADDRESS(ROW(),COLUMN()-1,4)),UNSPSCCode,0)),IF(INDIRECT(ADDRESS(ROW(),COLUMN()-1,4))="40141702","Grifos",""))</f>
        <v>Grifos</v>
      </c>
      <c r="C209" s="58" t="str">
        <f>IFERROR(VLOOKUP("UD",'Informacion '!P:Q,2,FALSE),"")</f>
        <v>Unidad</v>
      </c>
      <c r="D209" s="25">
        <v>10</v>
      </c>
      <c r="E209" s="28">
        <v>2348.64</v>
      </c>
      <c r="F209" s="27">
        <f t="shared" ca="1" si="7"/>
        <v>23486.399999999998</v>
      </c>
    </row>
    <row r="210" spans="1:6" ht="14.25" customHeight="1" x14ac:dyDescent="0.25">
      <c r="A210" s="25" t="s">
        <v>1217</v>
      </c>
      <c r="B210" s="26" t="str">
        <f ca="1">IFERROR(INDEX(UNSPSCDes,MATCH(INDIRECT(ADDRESS(ROW(),COLUMN()-1,4)),UNSPSCCode,0)),IF(INDIRECT(ADDRESS(ROW(),COLUMN()-1,4))="40141702","Grifos",""))</f>
        <v>Grifos</v>
      </c>
      <c r="C210" s="58" t="str">
        <f>IFERROR(VLOOKUP("UD",'Informacion '!P:Q,2,FALSE),"")</f>
        <v>Unidad</v>
      </c>
      <c r="D210" s="25">
        <v>10</v>
      </c>
      <c r="E210" s="28">
        <v>2553.04</v>
      </c>
      <c r="F210" s="27">
        <f t="shared" ca="1" si="7"/>
        <v>25530.400000000001</v>
      </c>
    </row>
    <row r="211" spans="1:6" ht="14.25" customHeight="1" x14ac:dyDescent="0.25">
      <c r="A211" s="25" t="s">
        <v>1217</v>
      </c>
      <c r="B211" s="26" t="str">
        <f ca="1">IFERROR(INDEX(UNSPSCDes,MATCH(INDIRECT(ADDRESS(ROW(),COLUMN()-1,4)),UNSPSCCode,0)),IF(INDIRECT(ADDRESS(ROW(),COLUMN()-1,4))="40141702","Grifos",""))</f>
        <v>Grifos</v>
      </c>
      <c r="C211" s="58" t="str">
        <f>IFERROR(VLOOKUP("UD",'Informacion '!P:Q,2,FALSE),"")</f>
        <v>Unidad</v>
      </c>
      <c r="D211" s="25">
        <v>15</v>
      </c>
      <c r="E211" s="28">
        <v>2553.04</v>
      </c>
      <c r="F211" s="27">
        <f t="shared" ca="1" si="7"/>
        <v>38295.599999999999</v>
      </c>
    </row>
    <row r="212" spans="1:6" ht="14.25" customHeight="1" x14ac:dyDescent="0.25">
      <c r="A212" s="25" t="s">
        <v>288</v>
      </c>
      <c r="B212" s="26" t="str">
        <f ca="1">IFERROR(INDEX(UNSPSCDes,MATCH(INDIRECT(ADDRESS(ROW(),COLUMN()-1,4)),UNSPSCCode,0)),IF(INDIRECT(ADDRESS(ROW(),COLUMN()-1,4))="47121807","Émbolo del lavaplatos o inodoro",""))</f>
        <v>Émbolo del lavaplatos o inodoro</v>
      </c>
      <c r="C212" s="58" t="str">
        <f>IFERROR(VLOOKUP("GAL",'Informacion '!P:Q,2,FALSE),"")</f>
        <v>Galón</v>
      </c>
      <c r="D212" s="25">
        <v>4</v>
      </c>
      <c r="E212" s="28">
        <v>450</v>
      </c>
      <c r="F212" s="27">
        <f t="shared" ca="1" si="7"/>
        <v>1800</v>
      </c>
    </row>
    <row r="213" spans="1:6" ht="14.25" customHeight="1" x14ac:dyDescent="0.25">
      <c r="A213" s="25" t="s">
        <v>119</v>
      </c>
      <c r="B213" s="26" t="str">
        <f ca="1">IFERROR(INDEX(UNSPSCDes,MATCH(INDIRECT(ADDRESS(ROW(),COLUMN()-1,4)),UNSPSCCode,0)),IF(INDIRECT(ADDRESS(ROW(),COLUMN()-1,4))="40142604","Codos de tubo",""))</f>
        <v>Codos de tubo</v>
      </c>
      <c r="C213" s="58" t="str">
        <f>IFERROR(VLOOKUP("UD",'Informacion '!P:Q,2,FALSE),"")</f>
        <v>Unidad</v>
      </c>
      <c r="D213" s="25">
        <v>10</v>
      </c>
      <c r="E213" s="28">
        <v>216.95</v>
      </c>
      <c r="F213" s="27">
        <f t="shared" ca="1" si="7"/>
        <v>2169.5</v>
      </c>
    </row>
    <row r="214" spans="1:6" ht="14.25" customHeight="1" x14ac:dyDescent="0.25">
      <c r="A214" s="25" t="s">
        <v>13</v>
      </c>
      <c r="B214" s="26" t="str">
        <f ca="1">IFERROR(INDEX(UNSPSCDes,MATCH(INDIRECT(ADDRESS(ROW(),COLUMN()-1,4)),UNSPSCCode,0)),IF(INDIRECT(ADDRESS(ROW(),COLUMN()-1,4))="40142605","Piezas en T de tubo",""))</f>
        <v>Piezas en T de tubo</v>
      </c>
      <c r="C214" s="58" t="str">
        <f>IFERROR(VLOOKUP("UD",'Informacion '!P:Q,2,FALSE),"")</f>
        <v>Unidad</v>
      </c>
      <c r="D214" s="25">
        <v>10</v>
      </c>
      <c r="E214" s="28">
        <v>69</v>
      </c>
      <c r="F214" s="27">
        <f t="shared" ref="F214:F244" ca="1" si="8">INDIRECT(ADDRESS(ROW(),COLUMN()-2,4))*INDIRECT(ADDRESS(ROW(),COLUMN()-1,4))</f>
        <v>690</v>
      </c>
    </row>
    <row r="215" spans="1:6" ht="14.25" customHeight="1" x14ac:dyDescent="0.25">
      <c r="A215" s="25" t="s">
        <v>909</v>
      </c>
      <c r="B215" s="26" t="str">
        <f ca="1">IFERROR(INDEX(UNSPSCDes,MATCH(INDIRECT(ADDRESS(ROW(),COLUMN()-1,4)),UNSPSCCode,0)),IF(INDIRECT(ADDRESS(ROW(),COLUMN()-1,4))="39121434","Conectores de tubos metálicos eléctricos (emt)",""))</f>
        <v>Conectores de tubos metálicos eléctricos (emt)</v>
      </c>
      <c r="C215" s="58" t="str">
        <f>IFERROR(VLOOKUP("UD",'Informacion '!P:Q,2,FALSE),"")</f>
        <v>Unidad</v>
      </c>
      <c r="D215" s="25">
        <v>12</v>
      </c>
      <c r="E215" s="28">
        <v>33</v>
      </c>
      <c r="F215" s="27">
        <f t="shared" ca="1" si="8"/>
        <v>396</v>
      </c>
    </row>
    <row r="216" spans="1:6" ht="14.25" customHeight="1" x14ac:dyDescent="0.25">
      <c r="A216" s="25" t="s">
        <v>493</v>
      </c>
      <c r="B216" s="26" t="str">
        <f ca="1">IFERROR(INDEX(UNSPSCDes,MATCH(INDIRECT(ADDRESS(ROW(),COLUMN()-1,4)),UNSPSCCode,0)),IF(INDIRECT(ADDRESS(ROW(),COLUMN()-1,4))="27121704","Uniones hidráulicas",""))</f>
        <v>Uniones hidráulicas</v>
      </c>
      <c r="C216" s="58" t="str">
        <f>IFERROR(VLOOKUP("UD",'Informacion '!P:Q,2,FALSE),"")</f>
        <v>Unidad</v>
      </c>
      <c r="D216" s="25">
        <v>10</v>
      </c>
      <c r="E216" s="28">
        <v>71.61</v>
      </c>
      <c r="F216" s="27">
        <f t="shared" ca="1" si="8"/>
        <v>716.1</v>
      </c>
    </row>
    <row r="217" spans="1:6" ht="14.25" customHeight="1" x14ac:dyDescent="0.25">
      <c r="A217" s="25" t="s">
        <v>874</v>
      </c>
      <c r="B217" s="26" t="str">
        <f ca="1">IFERROR(INDEX(UNSPSCDes,MATCH(INDIRECT(ADDRESS(ROW(),COLUMN()-1,4)),UNSPSCCode,0)),IF(INDIRECT(ADDRESS(ROW(),COLUMN()-1,4))="40142612","Adaptadores de tubo",""))</f>
        <v>Adaptadores de tubo</v>
      </c>
      <c r="C217" s="58" t="str">
        <f>IFERROR(VLOOKUP("UD",'Informacion '!P:Q,2,FALSE),"")</f>
        <v>Unidad</v>
      </c>
      <c r="D217" s="25">
        <v>10</v>
      </c>
      <c r="E217" s="28">
        <v>269.93</v>
      </c>
      <c r="F217" s="27">
        <f t="shared" ca="1" si="8"/>
        <v>2699.3</v>
      </c>
    </row>
    <row r="218" spans="1:6" ht="14.25" customHeight="1" x14ac:dyDescent="0.25">
      <c r="A218" s="25" t="s">
        <v>874</v>
      </c>
      <c r="B218" s="26" t="str">
        <f ca="1">IFERROR(INDEX(UNSPSCDes,MATCH(INDIRECT(ADDRESS(ROW(),COLUMN()-1,4)),UNSPSCCode,0)),IF(INDIRECT(ADDRESS(ROW(),COLUMN()-1,4))="40142612","Adaptadores de tubo",""))</f>
        <v>Adaptadores de tubo</v>
      </c>
      <c r="C218" s="58" t="str">
        <f>IFERROR(VLOOKUP("UD",'Informacion '!P:Q,2,FALSE),"")</f>
        <v>Unidad</v>
      </c>
      <c r="D218" s="25">
        <v>5</v>
      </c>
      <c r="E218" s="28">
        <v>269.93</v>
      </c>
      <c r="F218" s="27">
        <f t="shared" ca="1" si="8"/>
        <v>1349.65</v>
      </c>
    </row>
    <row r="219" spans="1:6" ht="14.25" customHeight="1" x14ac:dyDescent="0.25">
      <c r="A219" s="25" t="s">
        <v>493</v>
      </c>
      <c r="B219" s="26" t="str">
        <f ca="1">IFERROR(INDEX(UNSPSCDes,MATCH(INDIRECT(ADDRESS(ROW(),COLUMN()-1,4)),UNSPSCCode,0)),IF(INDIRECT(ADDRESS(ROW(),COLUMN()-1,4))="27121704","Uniones hidráulicas",""))</f>
        <v>Uniones hidráulicas</v>
      </c>
      <c r="C219" s="58" t="str">
        <f>IFERROR(VLOOKUP("UD",'Informacion '!P:Q,2,FALSE),"")</f>
        <v>Unidad</v>
      </c>
      <c r="D219" s="25">
        <v>5</v>
      </c>
      <c r="E219" s="28">
        <v>816.9</v>
      </c>
      <c r="F219" s="27">
        <f t="shared" ca="1" si="8"/>
        <v>4084.5</v>
      </c>
    </row>
    <row r="220" spans="1:6" ht="14.25" customHeight="1" x14ac:dyDescent="0.25">
      <c r="A220" s="25" t="s">
        <v>493</v>
      </c>
      <c r="B220" s="26" t="str">
        <f ca="1">IFERROR(INDEX(UNSPSCDes,MATCH(INDIRECT(ADDRESS(ROW(),COLUMN()-1,4)),UNSPSCCode,0)),IF(INDIRECT(ADDRESS(ROW(),COLUMN()-1,4))="27121704","Uniones hidráulicas",""))</f>
        <v>Uniones hidráulicas</v>
      </c>
      <c r="C220" s="58" t="str">
        <f>IFERROR(VLOOKUP("UD",'Informacion '!P:Q,2,FALSE),"")</f>
        <v>Unidad</v>
      </c>
      <c r="D220" s="25">
        <v>5</v>
      </c>
      <c r="E220" s="28">
        <v>816.9</v>
      </c>
      <c r="F220" s="27">
        <f t="shared" ca="1" si="8"/>
        <v>4084.5</v>
      </c>
    </row>
    <row r="221" spans="1:6" ht="14.25" customHeight="1" x14ac:dyDescent="0.25">
      <c r="A221" s="25" t="s">
        <v>12</v>
      </c>
      <c r="B221" s="26" t="str">
        <f ca="1">IFERROR(INDEX(UNSPSCDes,MATCH(INDIRECT(ADDRESS(ROW(),COLUMN()-1,4)),UNSPSCCode,0)),IF(INDIRECT(ADDRESS(ROW(),COLUMN()-1,4))="40142615","Reductores de tubo",""))</f>
        <v>Reductores de tubo</v>
      </c>
      <c r="C221" s="58" t="str">
        <f>IFERROR(VLOOKUP("UD",'Informacion '!P:Q,2,FALSE),"")</f>
        <v>Unidad</v>
      </c>
      <c r="D221" s="25">
        <v>5</v>
      </c>
      <c r="E221" s="28">
        <v>153.13</v>
      </c>
      <c r="F221" s="27">
        <f t="shared" ca="1" si="8"/>
        <v>765.65</v>
      </c>
    </row>
    <row r="222" spans="1:6" ht="14.25" customHeight="1" x14ac:dyDescent="0.25">
      <c r="A222" s="25" t="s">
        <v>874</v>
      </c>
      <c r="B222" s="26" t="str">
        <f ca="1">IFERROR(INDEX(UNSPSCDes,MATCH(INDIRECT(ADDRESS(ROW(),COLUMN()-1,4)),UNSPSCCode,0)),IF(INDIRECT(ADDRESS(ROW(),COLUMN()-1,4))="40142612","Adaptadores de tubo",""))</f>
        <v>Adaptadores de tubo</v>
      </c>
      <c r="C222" s="58" t="str">
        <f>IFERROR(VLOOKUP("UD",'Informacion '!P:Q,2,FALSE),"")</f>
        <v>Unidad</v>
      </c>
      <c r="D222" s="25">
        <v>5</v>
      </c>
      <c r="E222" s="28">
        <v>117.41</v>
      </c>
      <c r="F222" s="27">
        <f t="shared" ca="1" si="8"/>
        <v>587.04999999999995</v>
      </c>
    </row>
    <row r="223" spans="1:6" ht="14.25" customHeight="1" x14ac:dyDescent="0.25">
      <c r="A223" s="25" t="s">
        <v>493</v>
      </c>
      <c r="B223" s="26" t="str">
        <f ca="1">IFERROR(INDEX(UNSPSCDes,MATCH(INDIRECT(ADDRESS(ROW(),COLUMN()-1,4)),UNSPSCCode,0)),IF(INDIRECT(ADDRESS(ROW(),COLUMN()-1,4))="27121704","Uniones hidráulicas",""))</f>
        <v>Uniones hidráulicas</v>
      </c>
      <c r="C223" s="58" t="str">
        <f>IFERROR(VLOOKUP("UD",'Informacion '!P:Q,2,FALSE),"")</f>
        <v>Unidad</v>
      </c>
      <c r="D223" s="25">
        <v>10</v>
      </c>
      <c r="E223" s="28">
        <v>456</v>
      </c>
      <c r="F223" s="27">
        <f t="shared" ca="1" si="8"/>
        <v>4560</v>
      </c>
    </row>
    <row r="224" spans="1:6" ht="14.25" customHeight="1" x14ac:dyDescent="0.25">
      <c r="A224" s="25" t="s">
        <v>119</v>
      </c>
      <c r="B224" s="26" t="str">
        <f ca="1">IFERROR(INDEX(UNSPSCDes,MATCH(INDIRECT(ADDRESS(ROW(),COLUMN()-1,4)),UNSPSCCode,0)),IF(INDIRECT(ADDRESS(ROW(),COLUMN()-1,4))="40142604","Codos de tubo",""))</f>
        <v>Codos de tubo</v>
      </c>
      <c r="C224" s="58" t="str">
        <f>IFERROR(VLOOKUP("UD",'Informacion '!P:Q,2,FALSE),"")</f>
        <v>Unidad</v>
      </c>
      <c r="D224" s="25">
        <v>25</v>
      </c>
      <c r="E224" s="28">
        <v>138.26</v>
      </c>
      <c r="F224" s="27">
        <f t="shared" ca="1" si="8"/>
        <v>3456.5</v>
      </c>
    </row>
    <row r="225" spans="1:6" ht="14.25" customHeight="1" x14ac:dyDescent="0.25">
      <c r="A225" s="25" t="s">
        <v>13</v>
      </c>
      <c r="B225" s="26" t="str">
        <f ca="1">IFERROR(INDEX(UNSPSCDes,MATCH(INDIRECT(ADDRESS(ROW(),COLUMN()-1,4)),UNSPSCCode,0)),IF(INDIRECT(ADDRESS(ROW(),COLUMN()-1,4))="40142605","Piezas en T de tubo",""))</f>
        <v>Piezas en T de tubo</v>
      </c>
      <c r="C225" s="58" t="str">
        <f>IFERROR(VLOOKUP("UD",'Informacion '!P:Q,2,FALSE),"")</f>
        <v>Unidad</v>
      </c>
      <c r="D225" s="25">
        <v>20</v>
      </c>
      <c r="E225" s="28">
        <v>205.37</v>
      </c>
      <c r="F225" s="27">
        <f t="shared" ca="1" si="8"/>
        <v>4107.3999999999996</v>
      </c>
    </row>
    <row r="226" spans="1:6" ht="14.25" customHeight="1" x14ac:dyDescent="0.25">
      <c r="A226" s="25" t="s">
        <v>493</v>
      </c>
      <c r="B226" s="26" t="str">
        <f ca="1">IFERROR(INDEX(UNSPSCDes,MATCH(INDIRECT(ADDRESS(ROW(),COLUMN()-1,4)),UNSPSCCode,0)),IF(INDIRECT(ADDRESS(ROW(),COLUMN()-1,4))="27121704","Uniones hidráulicas",""))</f>
        <v>Uniones hidráulicas</v>
      </c>
      <c r="C226" s="58" t="str">
        <f>IFERROR(VLOOKUP("UD",'Informacion '!P:Q,2,FALSE),"")</f>
        <v>Unidad</v>
      </c>
      <c r="D226" s="25">
        <v>10</v>
      </c>
      <c r="E226" s="28">
        <v>146</v>
      </c>
      <c r="F226" s="27">
        <f t="shared" ca="1" si="8"/>
        <v>1460</v>
      </c>
    </row>
    <row r="227" spans="1:6" ht="14.25" customHeight="1" x14ac:dyDescent="0.25">
      <c r="A227" s="25" t="s">
        <v>874</v>
      </c>
      <c r="B227" s="26" t="str">
        <f ca="1">IFERROR(INDEX(UNSPSCDes,MATCH(INDIRECT(ADDRESS(ROW(),COLUMN()-1,4)),UNSPSCCode,0)),IF(INDIRECT(ADDRESS(ROW(),COLUMN()-1,4))="40142612","Adaptadores de tubo",""))</f>
        <v>Adaptadores de tubo</v>
      </c>
      <c r="C227" s="58" t="str">
        <f>IFERROR(VLOOKUP("UD",'Informacion '!P:Q,2,FALSE),"")</f>
        <v>Unidad</v>
      </c>
      <c r="D227" s="25">
        <v>10</v>
      </c>
      <c r="E227" s="28">
        <v>14.56</v>
      </c>
      <c r="F227" s="27">
        <f t="shared" ca="1" si="8"/>
        <v>145.6</v>
      </c>
    </row>
    <row r="228" spans="1:6" ht="14.25" customHeight="1" x14ac:dyDescent="0.25">
      <c r="A228" s="25" t="s">
        <v>874</v>
      </c>
      <c r="B228" s="26" t="str">
        <f ca="1">IFERROR(INDEX(UNSPSCDes,MATCH(INDIRECT(ADDRESS(ROW(),COLUMN()-1,4)),UNSPSCCode,0)),IF(INDIRECT(ADDRESS(ROW(),COLUMN()-1,4))="40142612","Adaptadores de tubo",""))</f>
        <v>Adaptadores de tubo</v>
      </c>
      <c r="C228" s="58" t="str">
        <f>IFERROR(VLOOKUP("UD",'Informacion '!P:Q,2,FALSE),"")</f>
        <v>Unidad</v>
      </c>
      <c r="D228" s="25">
        <v>10</v>
      </c>
      <c r="E228" s="28">
        <v>14.46</v>
      </c>
      <c r="F228" s="27">
        <f t="shared" ca="1" si="8"/>
        <v>144.60000000000002</v>
      </c>
    </row>
    <row r="229" spans="1:6" ht="14.25" customHeight="1" x14ac:dyDescent="0.25">
      <c r="A229" s="25" t="s">
        <v>493</v>
      </c>
      <c r="B229" s="26" t="str">
        <f ca="1">IFERROR(INDEX(UNSPSCDes,MATCH(INDIRECT(ADDRESS(ROW(),COLUMN()-1,4)),UNSPSCCode,0)),IF(INDIRECT(ADDRESS(ROW(),COLUMN()-1,4))="27121704","Uniones hidráulicas",""))</f>
        <v>Uniones hidráulicas</v>
      </c>
      <c r="C229" s="58" t="str">
        <f>IFERROR(VLOOKUP("UD",'Informacion '!P:Q,2,FALSE),"")</f>
        <v>Unidad</v>
      </c>
      <c r="D229" s="25">
        <v>10</v>
      </c>
      <c r="E229" s="28">
        <v>277.14999999999998</v>
      </c>
      <c r="F229" s="27">
        <f t="shared" ca="1" si="8"/>
        <v>2771.5</v>
      </c>
    </row>
    <row r="230" spans="1:6" ht="14.25" customHeight="1" x14ac:dyDescent="0.25">
      <c r="A230" s="25" t="s">
        <v>493</v>
      </c>
      <c r="B230" s="26" t="str">
        <f ca="1">IFERROR(INDEX(UNSPSCDes,MATCH(INDIRECT(ADDRESS(ROW(),COLUMN()-1,4)),UNSPSCCode,0)),IF(INDIRECT(ADDRESS(ROW(),COLUMN()-1,4))="27121704","Uniones hidráulicas",""))</f>
        <v>Uniones hidráulicas</v>
      </c>
      <c r="C230" s="58" t="str">
        <f>IFERROR(VLOOKUP("UD",'Informacion '!P:Q,2,FALSE),"")</f>
        <v>Unidad</v>
      </c>
      <c r="D230" s="25">
        <v>10</v>
      </c>
      <c r="E230" s="28">
        <v>277.14999999999998</v>
      </c>
      <c r="F230" s="27">
        <f t="shared" ca="1" si="8"/>
        <v>2771.5</v>
      </c>
    </row>
    <row r="231" spans="1:6" ht="14.25" customHeight="1" x14ac:dyDescent="0.25">
      <c r="A231" s="25" t="s">
        <v>768</v>
      </c>
      <c r="B231" s="26" t="str">
        <f ca="1">IFERROR(INDEX(UNSPSCDes,MATCH(INDIRECT(ADDRESS(ROW(),COLUMN()-1,4)),UNSPSCCode,0)),IF(INDIRECT(ADDRESS(ROW(),COLUMN()-1,4))="31201514","Cinta de sellado de hilo de poli tetrafluoretileno (ptfe)",""))</f>
        <v>Cinta de sellado de hilo de poli tetrafluoretileno (ptfe)</v>
      </c>
      <c r="C231" s="58" t="str">
        <f>IFERROR(VLOOKUP("UD",'Informacion '!P:Q,2,FALSE),"")</f>
        <v>Unidad</v>
      </c>
      <c r="D231" s="25">
        <v>1</v>
      </c>
      <c r="E231" s="28">
        <v>468.87</v>
      </c>
      <c r="F231" s="27">
        <f t="shared" ca="1" si="8"/>
        <v>468.87</v>
      </c>
    </row>
    <row r="232" spans="1:6" ht="14.25" customHeight="1" x14ac:dyDescent="0.25">
      <c r="A232" s="25" t="s">
        <v>960</v>
      </c>
      <c r="B232" s="26" t="str">
        <f ca="1">IFERROR(INDEX(UNSPSCDes,MATCH(INDIRECT(ADDRESS(ROW(),COLUMN()-1,4)),UNSPSCCode,0)),IF(INDIRECT(ADDRESS(ROW(),COLUMN()-1,4))="24111813","Tanques de lavado",""))</f>
        <v>Tanques de lavado</v>
      </c>
      <c r="C232" s="58" t="str">
        <f>IFERROR(VLOOKUP("UD",'Informacion '!P:Q,2,FALSE),"")</f>
        <v>Unidad</v>
      </c>
      <c r="D232" s="25">
        <v>1</v>
      </c>
      <c r="E232" s="28">
        <v>5276.02</v>
      </c>
      <c r="F232" s="27">
        <f t="shared" ca="1" si="8"/>
        <v>5276.02</v>
      </c>
    </row>
    <row r="233" spans="1:6" ht="14.25" customHeight="1" x14ac:dyDescent="0.25">
      <c r="A233" s="25" t="s">
        <v>368</v>
      </c>
      <c r="B233" s="26" t="str">
        <f ca="1">IFERROR(INDEX(UNSPSCDes,MATCH(INDIRECT(ADDRESS(ROW(),COLUMN()-1,4)),UNSPSCCode,0)),IF(INDIRECT(ADDRESS(ROW(),COLUMN()-1,4))="40151501","Bombas de aire",""))</f>
        <v>Bombas de aire</v>
      </c>
      <c r="C233" s="58" t="str">
        <f>IFERROR(VLOOKUP("UD",'Informacion '!P:Q,2,FALSE),"")</f>
        <v>Unidad</v>
      </c>
      <c r="D233" s="25">
        <v>2</v>
      </c>
      <c r="E233" s="28">
        <v>8504.4699999999993</v>
      </c>
      <c r="F233" s="27">
        <f t="shared" ca="1" si="8"/>
        <v>17008.939999999999</v>
      </c>
    </row>
    <row r="234" spans="1:6" ht="14.25" customHeight="1" x14ac:dyDescent="0.25">
      <c r="A234" s="25" t="s">
        <v>960</v>
      </c>
      <c r="B234" s="26" t="str">
        <f ca="1">IFERROR(INDEX(UNSPSCDes,MATCH(INDIRECT(ADDRESS(ROW(),COLUMN()-1,4)),UNSPSCCode,0)),IF(INDIRECT(ADDRESS(ROW(),COLUMN()-1,4))="24111813","Tanques de lavado",""))</f>
        <v>Tanques de lavado</v>
      </c>
      <c r="C234" s="58" t="str">
        <f>IFERROR(VLOOKUP("UD",'Informacion '!P:Q,2,FALSE),"")</f>
        <v>Unidad</v>
      </c>
      <c r="D234" s="25">
        <v>1</v>
      </c>
      <c r="E234" s="28">
        <v>7291.95</v>
      </c>
      <c r="F234" s="27">
        <f t="shared" ca="1" si="8"/>
        <v>7291.95</v>
      </c>
    </row>
    <row r="235" spans="1:6" ht="14.25" customHeight="1" x14ac:dyDescent="0.25">
      <c r="A235" s="25" t="s">
        <v>687</v>
      </c>
      <c r="B235" s="26" t="str">
        <f ca="1">IFERROR(INDEX(UNSPSCDes,MATCH(INDIRECT(ADDRESS(ROW(),COLUMN()-1,4)),UNSPSCCode,0)),IF(INDIRECT(ADDRESS(ROW(),COLUMN()-1,4))="24111802","Tanques o cilindros de aire o gas",""))</f>
        <v>Tanques o cilindros de aire o gas</v>
      </c>
      <c r="C235" s="58" t="str">
        <f>IFERROR(VLOOKUP("UD",'Informacion '!P:Q,2,FALSE),"")</f>
        <v>Unidad</v>
      </c>
      <c r="D235" s="25">
        <v>1</v>
      </c>
      <c r="E235" s="28">
        <v>80000</v>
      </c>
      <c r="F235" s="27">
        <f t="shared" ca="1" si="8"/>
        <v>80000</v>
      </c>
    </row>
    <row r="236" spans="1:6" ht="14.25" customHeight="1" x14ac:dyDescent="0.25">
      <c r="A236" s="25" t="s">
        <v>886</v>
      </c>
      <c r="B236" s="26" t="str">
        <f ca="1">IFERROR(INDEX(UNSPSCDes,MATCH(INDIRECT(ADDRESS(ROW(),COLUMN()-1,4)),UNSPSCCode,0)),IF(INDIRECT(ADDRESS(ROW(),COLUMN()-1,4))="40142202","Reguladores de fluido",""))</f>
        <v>Reguladores de fluido</v>
      </c>
      <c r="C236" s="58" t="str">
        <f>IFERROR(VLOOKUP("UD",'Informacion '!P:Q,2,FALSE),"")</f>
        <v>Unidad</v>
      </c>
      <c r="D236" s="25">
        <v>5</v>
      </c>
      <c r="E236" s="28">
        <v>415</v>
      </c>
      <c r="F236" s="27">
        <f t="shared" ca="1" si="8"/>
        <v>2075</v>
      </c>
    </row>
    <row r="237" spans="1:6" ht="14.25" customHeight="1" x14ac:dyDescent="0.25">
      <c r="A237" s="25" t="s">
        <v>1195</v>
      </c>
      <c r="B237" s="26" t="str">
        <f ca="1">IFERROR(INDEX(UNSPSCDes,MATCH(INDIRECT(ADDRESS(ROW(),COLUMN()-1,4)),UNSPSCCode,0)),IF(INDIRECT(ADDRESS(ROW(),COLUMN()-1,4))="31161502","Tornillos de anclaje",""))</f>
        <v>Tornillos de anclaje</v>
      </c>
      <c r="C237" s="58" t="str">
        <f>IFERROR(VLOOKUP("UD",'Informacion '!P:Q,2,FALSE),"")</f>
        <v>Unidad</v>
      </c>
      <c r="D237" s="25">
        <v>30</v>
      </c>
      <c r="E237" s="28">
        <v>199.53</v>
      </c>
      <c r="F237" s="27">
        <f t="shared" ca="1" si="8"/>
        <v>5985.9</v>
      </c>
    </row>
    <row r="238" spans="1:6" ht="14.25" customHeight="1" x14ac:dyDescent="0.25">
      <c r="A238" s="25" t="s">
        <v>1195</v>
      </c>
      <c r="B238" s="26" t="str">
        <f ca="1">IFERROR(INDEX(UNSPSCDes,MATCH(INDIRECT(ADDRESS(ROW(),COLUMN()-1,4)),UNSPSCCode,0)),IF(INDIRECT(ADDRESS(ROW(),COLUMN()-1,4))="31161502","Tornillos de anclaje",""))</f>
        <v>Tornillos de anclaje</v>
      </c>
      <c r="C238" s="58" t="str">
        <f>IFERROR(VLOOKUP("UD",'Informacion '!P:Q,2,FALSE),"")</f>
        <v>Unidad</v>
      </c>
      <c r="D238" s="25">
        <v>30</v>
      </c>
      <c r="E238" s="28">
        <v>199.53</v>
      </c>
      <c r="F238" s="27">
        <f t="shared" ca="1" si="8"/>
        <v>5985.9</v>
      </c>
    </row>
    <row r="239" spans="1:6" ht="14.25" customHeight="1" x14ac:dyDescent="0.25">
      <c r="A239" s="25" t="s">
        <v>784</v>
      </c>
      <c r="B239" s="26" t="str">
        <f t="shared" ref="B239:B244" ca="1" si="9">IFERROR(INDEX(UNSPSCDes,MATCH(INDIRECT(ADDRESS(ROW(),COLUMN()-1,4)),UNSPSCCode,0)),IF(INDIRECT(ADDRESS(ROW(),COLUMN()-1,4))="26121519","Alambre de aluminio revestido de cobre",""))</f>
        <v>Alambre de aluminio revestido de cobre</v>
      </c>
      <c r="C239" s="58" t="str">
        <f>IFERROR(VLOOKUP("FT",'Informacion '!P:Q,2,FALSE),"")</f>
        <v>Pie</v>
      </c>
      <c r="D239" s="25">
        <v>1000</v>
      </c>
      <c r="E239" s="28">
        <v>30</v>
      </c>
      <c r="F239" s="27">
        <f t="shared" ca="1" si="8"/>
        <v>30000</v>
      </c>
    </row>
    <row r="240" spans="1:6" ht="14.25" customHeight="1" x14ac:dyDescent="0.25">
      <c r="A240" s="25" t="s">
        <v>784</v>
      </c>
      <c r="B240" s="26" t="str">
        <f t="shared" ca="1" si="9"/>
        <v>Alambre de aluminio revestido de cobre</v>
      </c>
      <c r="C240" s="58" t="str">
        <f>IFERROR(VLOOKUP("FT",'Informacion '!P:Q,2,FALSE),"")</f>
        <v>Pie</v>
      </c>
      <c r="D240" s="25">
        <v>500</v>
      </c>
      <c r="E240" s="28">
        <v>40</v>
      </c>
      <c r="F240" s="27">
        <f t="shared" ca="1" si="8"/>
        <v>20000</v>
      </c>
    </row>
    <row r="241" spans="1:10" ht="14.25" customHeight="1" x14ac:dyDescent="0.25">
      <c r="A241" s="25" t="s">
        <v>784</v>
      </c>
      <c r="B241" s="26" t="str">
        <f t="shared" ca="1" si="9"/>
        <v>Alambre de aluminio revestido de cobre</v>
      </c>
      <c r="C241" s="58" t="str">
        <f>IFERROR(VLOOKUP("FT",'Informacion '!P:Q,2,FALSE),"")</f>
        <v>Pie</v>
      </c>
      <c r="D241" s="25">
        <v>500</v>
      </c>
      <c r="E241" s="28">
        <v>1451.4</v>
      </c>
      <c r="F241" s="27">
        <f t="shared" ca="1" si="8"/>
        <v>725700</v>
      </c>
    </row>
    <row r="242" spans="1:10" ht="14.25" customHeight="1" x14ac:dyDescent="0.25">
      <c r="A242" s="25" t="s">
        <v>784</v>
      </c>
      <c r="B242" s="26" t="str">
        <f t="shared" ca="1" si="9"/>
        <v>Alambre de aluminio revestido de cobre</v>
      </c>
      <c r="C242" s="58" t="str">
        <f>IFERROR(VLOOKUP("FT",'Informacion '!P:Q,2,FALSE),"")</f>
        <v>Pie</v>
      </c>
      <c r="D242" s="25">
        <v>1000</v>
      </c>
      <c r="E242" s="28">
        <v>900</v>
      </c>
      <c r="F242" s="27">
        <f t="shared" ca="1" si="8"/>
        <v>900000</v>
      </c>
    </row>
    <row r="243" spans="1:10" ht="14.25" customHeight="1" x14ac:dyDescent="0.25">
      <c r="A243" s="25" t="s">
        <v>784</v>
      </c>
      <c r="B243" s="26" t="str">
        <f t="shared" ca="1" si="9"/>
        <v>Alambre de aluminio revestido de cobre</v>
      </c>
      <c r="C243" s="58" t="str">
        <f>IFERROR(VLOOKUP("FT",'Informacion '!P:Q,2,FALSE),"")</f>
        <v>Pie</v>
      </c>
      <c r="D243" s="25">
        <v>1000</v>
      </c>
      <c r="E243" s="28">
        <v>45</v>
      </c>
      <c r="F243" s="27">
        <f t="shared" ca="1" si="8"/>
        <v>45000</v>
      </c>
    </row>
    <row r="244" spans="1:10" ht="14.25" customHeight="1" x14ac:dyDescent="0.25">
      <c r="A244" s="25" t="s">
        <v>784</v>
      </c>
      <c r="B244" s="26" t="str">
        <f t="shared" ca="1" si="9"/>
        <v>Alambre de aluminio revestido de cobre</v>
      </c>
      <c r="C244" s="58" t="str">
        <f>IFERROR(VLOOKUP("FT",'Informacion '!P:Q,2,FALSE),"")</f>
        <v>Pie</v>
      </c>
      <c r="D244" s="25">
        <v>500</v>
      </c>
      <c r="E244" s="28">
        <v>37</v>
      </c>
      <c r="F244" s="27">
        <f t="shared" ca="1" si="8"/>
        <v>18500</v>
      </c>
    </row>
    <row r="245" spans="1:10" ht="14.25" customHeight="1" x14ac:dyDescent="0.25">
      <c r="E245" s="30" t="s">
        <v>816</v>
      </c>
      <c r="F245" s="31">
        <f ca="1">SUM(Table14[MONTO TOTAL ESTIMADO])</f>
        <v>2142234.37</v>
      </c>
      <c r="H245" s="21" t="str">
        <f>C175</f>
        <v>Bienes</v>
      </c>
      <c r="I245" s="21" t="str">
        <f>E175</f>
        <v>Sí</v>
      </c>
      <c r="J245" s="21" t="str">
        <f>D175</f>
        <v>Compras Menores</v>
      </c>
    </row>
    <row r="247" spans="1:10" ht="33.950000000000003" customHeight="1" x14ac:dyDescent="0.25">
      <c r="A247" s="22" t="s">
        <v>1051</v>
      </c>
      <c r="B247" s="22" t="s">
        <v>11</v>
      </c>
      <c r="C247" s="22" t="s">
        <v>751</v>
      </c>
      <c r="D247" s="22" t="s">
        <v>930</v>
      </c>
      <c r="E247" s="22" t="s">
        <v>699</v>
      </c>
      <c r="F247" s="22" t="s">
        <v>710</v>
      </c>
    </row>
    <row r="248" spans="1:10" ht="14.25" customHeight="1" x14ac:dyDescent="0.25">
      <c r="A248" s="23" t="s">
        <v>528</v>
      </c>
      <c r="B248" s="23" t="s">
        <v>528</v>
      </c>
      <c r="C248" s="23" t="s">
        <v>438</v>
      </c>
      <c r="D248" s="23" t="s">
        <v>146</v>
      </c>
      <c r="E248" s="23" t="s">
        <v>1156</v>
      </c>
      <c r="F248" s="23" t="s">
        <v>436</v>
      </c>
    </row>
    <row r="249" spans="1:10" ht="14.25" customHeight="1" x14ac:dyDescent="0.25">
      <c r="A249" s="68" t="s">
        <v>965</v>
      </c>
      <c r="B249" s="24" t="s">
        <v>543</v>
      </c>
      <c r="C249" s="54">
        <v>46042</v>
      </c>
      <c r="D249" s="68" t="s">
        <v>598</v>
      </c>
      <c r="E249" s="56" t="s">
        <v>858</v>
      </c>
      <c r="F249" s="57"/>
    </row>
    <row r="250" spans="1:10" ht="14.25" customHeight="1" x14ac:dyDescent="0.25">
      <c r="A250" s="69"/>
      <c r="B250" s="24" t="s">
        <v>112</v>
      </c>
      <c r="C250" s="55">
        <f>IF(C249="","",IF(AND(MONTH(C249)&gt;=1,MONTH(C249)&lt;=3),1,IF(AND(MONTH(C249)&gt;=4,MONTH(C249)&lt;=6),2,IF(AND(MONTH(C249)&gt;=7,MONTH(C249)&lt;=9),3,4))))</f>
        <v>1</v>
      </c>
      <c r="D250" s="69"/>
      <c r="E250" s="56" t="s">
        <v>143</v>
      </c>
      <c r="F250" s="57"/>
    </row>
    <row r="251" spans="1:10" ht="14.25" customHeight="1" x14ac:dyDescent="0.25">
      <c r="A251" s="69"/>
      <c r="B251" s="24" t="s">
        <v>844</v>
      </c>
      <c r="C251" s="54">
        <v>46112</v>
      </c>
      <c r="D251" s="69"/>
      <c r="E251" s="56" t="s">
        <v>183</v>
      </c>
      <c r="F251" s="57"/>
    </row>
    <row r="252" spans="1:10" ht="14.25" customHeight="1" x14ac:dyDescent="0.25">
      <c r="A252" s="69"/>
      <c r="B252" s="24" t="s">
        <v>112</v>
      </c>
      <c r="C252" s="55">
        <f>IF(C251="","",IF(AND(MONTH(C251)&gt;=1,MONTH(C251)&lt;=3),1,IF(AND(MONTH(C251)&gt;=4,MONTH(C251)&lt;=6),2,IF(AND(MONTH(C251)&gt;=7,MONTH(C251)&lt;=9),3,4))))</f>
        <v>1</v>
      </c>
      <c r="D252" s="69"/>
      <c r="E252" s="56" t="s">
        <v>865</v>
      </c>
      <c r="F252" s="57"/>
    </row>
    <row r="254" spans="1:10" ht="14.25" customHeight="1" x14ac:dyDescent="0.25">
      <c r="A254" s="29" t="s">
        <v>1017</v>
      </c>
      <c r="B254" s="29" t="s">
        <v>1042</v>
      </c>
      <c r="C254" s="29" t="s">
        <v>1011</v>
      </c>
      <c r="D254" s="29" t="s">
        <v>985</v>
      </c>
      <c r="E254" s="29" t="s">
        <v>449</v>
      </c>
      <c r="F254" s="29" t="s">
        <v>989</v>
      </c>
    </row>
    <row r="255" spans="1:10" ht="14.25" customHeight="1" x14ac:dyDescent="0.25">
      <c r="A255" s="25" t="s">
        <v>630</v>
      </c>
      <c r="B255" s="26" t="str">
        <f ca="1">IFERROR(INDEX(UNSPSCDes,MATCH(INDIRECT(ADDRESS(ROW(),COLUMN()-1,4)),UNSPSCCode,0)),IF(INDIRECT(ADDRESS(ROW(),COLUMN()-1,4))="80141902","Reuniones y eventos",""))</f>
        <v>Reuniones y eventos</v>
      </c>
      <c r="C255" s="58" t="str">
        <f>IFERROR(VLOOKUP("UD",'Informacion '!P:Q,2,FALSE),"")</f>
        <v>Unidad</v>
      </c>
      <c r="D255" s="25">
        <v>5</v>
      </c>
      <c r="E255" s="28">
        <v>2500000</v>
      </c>
      <c r="F255" s="27">
        <f ca="1">INDIRECT(ADDRESS(ROW(),COLUMN()-2,4))*INDIRECT(ADDRESS(ROW(),COLUMN()-1,4))</f>
        <v>12500000</v>
      </c>
    </row>
    <row r="256" spans="1:10" ht="14.25" customHeight="1" x14ac:dyDescent="0.25">
      <c r="E256" s="30" t="s">
        <v>816</v>
      </c>
      <c r="F256" s="31">
        <f ca="1">SUM(Table15[MONTO TOTAL ESTIMADO])</f>
        <v>12500000</v>
      </c>
      <c r="H256" s="21" t="str">
        <f>C248</f>
        <v>Servicios</v>
      </c>
      <c r="I256" s="21" t="str">
        <f>E248</f>
        <v>No</v>
      </c>
      <c r="J256" s="21" t="str">
        <f>D248</f>
        <v>Licitacion Publica</v>
      </c>
    </row>
    <row r="258" spans="1:10" ht="33.950000000000003" customHeight="1" x14ac:dyDescent="0.25">
      <c r="A258" s="22" t="s">
        <v>1051</v>
      </c>
      <c r="B258" s="22" t="s">
        <v>11</v>
      </c>
      <c r="C258" s="22" t="s">
        <v>751</v>
      </c>
      <c r="D258" s="22" t="s">
        <v>930</v>
      </c>
      <c r="E258" s="22" t="s">
        <v>699</v>
      </c>
      <c r="F258" s="22" t="s">
        <v>710</v>
      </c>
    </row>
    <row r="259" spans="1:10" ht="14.25" customHeight="1" x14ac:dyDescent="0.25">
      <c r="A259" s="23" t="s">
        <v>893</v>
      </c>
      <c r="B259" s="23" t="s">
        <v>893</v>
      </c>
      <c r="C259" s="23" t="s">
        <v>438</v>
      </c>
      <c r="D259" s="23" t="s">
        <v>1128</v>
      </c>
      <c r="E259" s="23" t="s">
        <v>1156</v>
      </c>
      <c r="F259" s="23" t="s">
        <v>436</v>
      </c>
    </row>
    <row r="260" spans="1:10" ht="14.25" customHeight="1" x14ac:dyDescent="0.25">
      <c r="A260" s="68" t="s">
        <v>965</v>
      </c>
      <c r="B260" s="24" t="s">
        <v>543</v>
      </c>
      <c r="C260" s="54">
        <v>46114</v>
      </c>
      <c r="D260" s="68" t="s">
        <v>598</v>
      </c>
      <c r="E260" s="56" t="s">
        <v>858</v>
      </c>
      <c r="F260" s="57"/>
    </row>
    <row r="261" spans="1:10" ht="14.25" customHeight="1" x14ac:dyDescent="0.25">
      <c r="A261" s="69"/>
      <c r="B261" s="24" t="s">
        <v>112</v>
      </c>
      <c r="C261" s="55">
        <f>IF(C260="","",IF(AND(MONTH(C260)&gt;=1,MONTH(C260)&lt;=3),1,IF(AND(MONTH(C260)&gt;=4,MONTH(C260)&lt;=6),2,IF(AND(MONTH(C260)&gt;=7,MONTH(C260)&lt;=9),3,4))))</f>
        <v>2</v>
      </c>
      <c r="D261" s="69"/>
      <c r="E261" s="56" t="s">
        <v>143</v>
      </c>
      <c r="F261" s="57"/>
    </row>
    <row r="262" spans="1:10" ht="14.25" customHeight="1" x14ac:dyDescent="0.25">
      <c r="A262" s="69"/>
      <c r="B262" s="24" t="s">
        <v>844</v>
      </c>
      <c r="C262" s="54">
        <v>46203</v>
      </c>
      <c r="D262" s="69"/>
      <c r="E262" s="56" t="s">
        <v>183</v>
      </c>
      <c r="F262" s="57"/>
    </row>
    <row r="263" spans="1:10" ht="14.25" customHeight="1" x14ac:dyDescent="0.25">
      <c r="A263" s="69"/>
      <c r="B263" s="24" t="s">
        <v>112</v>
      </c>
      <c r="C263" s="55">
        <f>IF(C262="","",IF(AND(MONTH(C262)&gt;=1,MONTH(C262)&lt;=3),1,IF(AND(MONTH(C262)&gt;=4,MONTH(C262)&lt;=6),2,IF(AND(MONTH(C262)&gt;=7,MONTH(C262)&lt;=9),3,4))))</f>
        <v>2</v>
      </c>
      <c r="D263" s="69"/>
      <c r="E263" s="56" t="s">
        <v>865</v>
      </c>
      <c r="F263" s="57"/>
    </row>
    <row r="265" spans="1:10" ht="14.25" customHeight="1" x14ac:dyDescent="0.25">
      <c r="A265" s="29" t="s">
        <v>1017</v>
      </c>
      <c r="B265" s="29" t="s">
        <v>1042</v>
      </c>
      <c r="C265" s="29" t="s">
        <v>1011</v>
      </c>
      <c r="D265" s="29" t="s">
        <v>985</v>
      </c>
      <c r="E265" s="29" t="s">
        <v>449</v>
      </c>
      <c r="F265" s="29" t="s">
        <v>989</v>
      </c>
    </row>
    <row r="266" spans="1:10" ht="14.25" customHeight="1" x14ac:dyDescent="0.25">
      <c r="A266" s="25" t="s">
        <v>199</v>
      </c>
      <c r="B266" s="26" t="str">
        <f ca="1">IFERROR(INDEX(UNSPSCDes,MATCH(INDIRECT(ADDRESS(ROW(),COLUMN()-1,4)),UNSPSCCode,0)),IF(INDIRECT(ADDRESS(ROW(),COLUMN()-1,4))="72102103","Servicios de exterminación o fumigación",""))</f>
        <v>Servicios de exterminación o fumigación</v>
      </c>
      <c r="C266" s="58" t="str">
        <f>IFERROR(VLOOKUP("UD",'Informacion '!P:Q,2,FALSE),"")</f>
        <v>Unidad</v>
      </c>
      <c r="D266" s="25">
        <v>2</v>
      </c>
      <c r="E266" s="28">
        <v>542436.01</v>
      </c>
      <c r="F266" s="27">
        <f ca="1">INDIRECT(ADDRESS(ROW(),COLUMN()-2,4))*INDIRECT(ADDRESS(ROW(),COLUMN()-1,4))</f>
        <v>1084872.02</v>
      </c>
    </row>
    <row r="267" spans="1:10" ht="14.25" customHeight="1" x14ac:dyDescent="0.25">
      <c r="E267" s="30" t="s">
        <v>816</v>
      </c>
      <c r="F267" s="31">
        <f ca="1">SUM(Table16[MONTO TOTAL ESTIMADO])</f>
        <v>1084872.02</v>
      </c>
      <c r="H267" s="21" t="str">
        <f>C259</f>
        <v>Servicios</v>
      </c>
      <c r="I267" s="21" t="str">
        <f>E259</f>
        <v>No</v>
      </c>
      <c r="J267" s="21" t="str">
        <f>D259</f>
        <v>Compras Menores</v>
      </c>
    </row>
    <row r="269" spans="1:10" ht="33.950000000000003" customHeight="1" x14ac:dyDescent="0.25">
      <c r="A269" s="22" t="s">
        <v>1051</v>
      </c>
      <c r="B269" s="22" t="s">
        <v>11</v>
      </c>
      <c r="C269" s="22" t="s">
        <v>751</v>
      </c>
      <c r="D269" s="22" t="s">
        <v>930</v>
      </c>
      <c r="E269" s="22" t="s">
        <v>699</v>
      </c>
      <c r="F269" s="22" t="s">
        <v>710</v>
      </c>
    </row>
    <row r="270" spans="1:10" ht="14.25" customHeight="1" x14ac:dyDescent="0.25">
      <c r="A270" s="23" t="s">
        <v>528</v>
      </c>
      <c r="B270" s="23" t="s">
        <v>528</v>
      </c>
      <c r="C270" s="23" t="s">
        <v>438</v>
      </c>
      <c r="D270" s="23" t="s">
        <v>146</v>
      </c>
      <c r="E270" s="23" t="s">
        <v>1156</v>
      </c>
      <c r="F270" s="23" t="s">
        <v>436</v>
      </c>
    </row>
    <row r="271" spans="1:10" ht="14.25" customHeight="1" x14ac:dyDescent="0.25">
      <c r="A271" s="68" t="s">
        <v>965</v>
      </c>
      <c r="B271" s="24" t="s">
        <v>543</v>
      </c>
      <c r="C271" s="54">
        <v>46297</v>
      </c>
      <c r="D271" s="68" t="s">
        <v>598</v>
      </c>
      <c r="E271" s="56" t="s">
        <v>858</v>
      </c>
      <c r="F271" s="57"/>
    </row>
    <row r="272" spans="1:10" ht="14.25" customHeight="1" x14ac:dyDescent="0.25">
      <c r="A272" s="69"/>
      <c r="B272" s="24" t="s">
        <v>112</v>
      </c>
      <c r="C272" s="55">
        <f>IF(C271="","",IF(AND(MONTH(C271)&gt;=1,MONTH(C271)&lt;=3),1,IF(AND(MONTH(C271)&gt;=4,MONTH(C271)&lt;=6),2,IF(AND(MONTH(C271)&gt;=7,MONTH(C271)&lt;=9),3,4))))</f>
        <v>4</v>
      </c>
      <c r="D272" s="69"/>
      <c r="E272" s="56" t="s">
        <v>143</v>
      </c>
      <c r="F272" s="57"/>
    </row>
    <row r="273" spans="1:10" ht="14.25" customHeight="1" x14ac:dyDescent="0.25">
      <c r="A273" s="69"/>
      <c r="B273" s="24" t="s">
        <v>844</v>
      </c>
      <c r="C273" s="54">
        <v>46356</v>
      </c>
      <c r="D273" s="69"/>
      <c r="E273" s="56" t="s">
        <v>183</v>
      </c>
      <c r="F273" s="57"/>
    </row>
    <row r="274" spans="1:10" ht="14.25" customHeight="1" x14ac:dyDescent="0.25">
      <c r="A274" s="69"/>
      <c r="B274" s="24" t="s">
        <v>112</v>
      </c>
      <c r="C274" s="55">
        <f>IF(C273="","",IF(AND(MONTH(C273)&gt;=1,MONTH(C273)&lt;=3),1,IF(AND(MONTH(C273)&gt;=4,MONTH(C273)&lt;=6),2,IF(AND(MONTH(C273)&gt;=7,MONTH(C273)&lt;=9),3,4))))</f>
        <v>4</v>
      </c>
      <c r="D274" s="69"/>
      <c r="E274" s="56" t="s">
        <v>865</v>
      </c>
      <c r="F274" s="57"/>
    </row>
    <row r="276" spans="1:10" ht="14.25" customHeight="1" x14ac:dyDescent="0.25">
      <c r="A276" s="29" t="s">
        <v>1017</v>
      </c>
      <c r="B276" s="29" t="s">
        <v>1042</v>
      </c>
      <c r="C276" s="29" t="s">
        <v>1011</v>
      </c>
      <c r="D276" s="29" t="s">
        <v>985</v>
      </c>
      <c r="E276" s="29" t="s">
        <v>449</v>
      </c>
      <c r="F276" s="29" t="s">
        <v>989</v>
      </c>
    </row>
    <row r="277" spans="1:10" ht="14.25" customHeight="1" x14ac:dyDescent="0.25">
      <c r="A277" s="25" t="s">
        <v>630</v>
      </c>
      <c r="B277" s="26" t="str">
        <f ca="1">IFERROR(INDEX(UNSPSCDes,MATCH(INDIRECT(ADDRESS(ROW(),COLUMN()-1,4)),UNSPSCCode,0)),IF(INDIRECT(ADDRESS(ROW(),COLUMN()-1,4))="80141902","Reuniones y eventos",""))</f>
        <v>Reuniones y eventos</v>
      </c>
      <c r="C277" s="58" t="str">
        <f>IFERROR(VLOOKUP("UD",'Informacion '!P:Q,2,FALSE),"")</f>
        <v>Unidad</v>
      </c>
      <c r="D277" s="25">
        <v>5</v>
      </c>
      <c r="E277" s="28">
        <v>2500000</v>
      </c>
      <c r="F277" s="27">
        <f ca="1">INDIRECT(ADDRESS(ROW(),COLUMN()-2,4))*INDIRECT(ADDRESS(ROW(),COLUMN()-1,4))</f>
        <v>12500000</v>
      </c>
    </row>
    <row r="278" spans="1:10" ht="14.25" customHeight="1" x14ac:dyDescent="0.25">
      <c r="E278" s="30" t="s">
        <v>816</v>
      </c>
      <c r="F278" s="31">
        <f ca="1">SUM(Table17[MONTO TOTAL ESTIMADO])</f>
        <v>12500000</v>
      </c>
      <c r="H278" s="21" t="str">
        <f>C270</f>
        <v>Servicios</v>
      </c>
      <c r="I278" s="21" t="str">
        <f>E270</f>
        <v>No</v>
      </c>
      <c r="J278" s="21" t="str">
        <f>D270</f>
        <v>Licitacion Publica</v>
      </c>
    </row>
    <row r="280" spans="1:10" ht="33.950000000000003" customHeight="1" x14ac:dyDescent="0.25">
      <c r="A280" s="22" t="s">
        <v>1051</v>
      </c>
      <c r="B280" s="22" t="s">
        <v>11</v>
      </c>
      <c r="C280" s="22" t="s">
        <v>751</v>
      </c>
      <c r="D280" s="22" t="s">
        <v>930</v>
      </c>
      <c r="E280" s="22" t="s">
        <v>699</v>
      </c>
      <c r="F280" s="22" t="s">
        <v>710</v>
      </c>
    </row>
    <row r="281" spans="1:10" ht="14.25" customHeight="1" x14ac:dyDescent="0.25">
      <c r="A281" s="23" t="s">
        <v>1126</v>
      </c>
      <c r="B281" s="23" t="s">
        <v>1126</v>
      </c>
      <c r="C281" s="23" t="s">
        <v>1155</v>
      </c>
      <c r="D281" s="23" t="s">
        <v>1128</v>
      </c>
      <c r="E281" s="23" t="s">
        <v>1156</v>
      </c>
      <c r="F281" s="23" t="s">
        <v>436</v>
      </c>
    </row>
    <row r="282" spans="1:10" ht="14.25" customHeight="1" x14ac:dyDescent="0.25">
      <c r="A282" s="68" t="s">
        <v>965</v>
      </c>
      <c r="B282" s="24" t="s">
        <v>543</v>
      </c>
      <c r="C282" s="54">
        <v>46056</v>
      </c>
      <c r="D282" s="68" t="s">
        <v>598</v>
      </c>
      <c r="E282" s="56" t="s">
        <v>858</v>
      </c>
      <c r="F282" s="57" t="s">
        <v>184</v>
      </c>
    </row>
    <row r="283" spans="1:10" ht="14.25" customHeight="1" x14ac:dyDescent="0.25">
      <c r="A283" s="69"/>
      <c r="B283" s="24" t="s">
        <v>112</v>
      </c>
      <c r="C283" s="55">
        <f>IF(C282="","",IF(AND(MONTH(C282)&gt;=1,MONTH(C282)&lt;=3),1,IF(AND(MONTH(C282)&gt;=4,MONTH(C282)&lt;=6),2,IF(AND(MONTH(C282)&gt;=7,MONTH(C282)&lt;=9),3,4))))</f>
        <v>1</v>
      </c>
      <c r="D283" s="69"/>
      <c r="E283" s="56" t="s">
        <v>143</v>
      </c>
      <c r="F283" s="57"/>
    </row>
    <row r="284" spans="1:10" ht="14.25" customHeight="1" x14ac:dyDescent="0.25">
      <c r="A284" s="69"/>
      <c r="B284" s="24" t="s">
        <v>844</v>
      </c>
      <c r="C284" s="54">
        <v>46101</v>
      </c>
      <c r="D284" s="69"/>
      <c r="E284" s="56" t="s">
        <v>183</v>
      </c>
      <c r="F284" s="57"/>
    </row>
    <row r="285" spans="1:10" ht="14.25" customHeight="1" x14ac:dyDescent="0.25">
      <c r="A285" s="69"/>
      <c r="B285" s="24" t="s">
        <v>112</v>
      </c>
      <c r="C285" s="55">
        <f>IF(C284="","",IF(AND(MONTH(C284)&gt;=1,MONTH(C284)&lt;=3),1,IF(AND(MONTH(C284)&gt;=4,MONTH(C284)&lt;=6),2,IF(AND(MONTH(C284)&gt;=7,MONTH(C284)&lt;=9),3,4))))</f>
        <v>1</v>
      </c>
      <c r="D285" s="69"/>
      <c r="E285" s="56" t="s">
        <v>865</v>
      </c>
      <c r="F285" s="57"/>
    </row>
    <row r="287" spans="1:10" ht="14.25" customHeight="1" x14ac:dyDescent="0.25">
      <c r="A287" s="29" t="s">
        <v>1017</v>
      </c>
      <c r="B287" s="29" t="s">
        <v>1042</v>
      </c>
      <c r="C287" s="29" t="s">
        <v>1011</v>
      </c>
      <c r="D287" s="29" t="s">
        <v>985</v>
      </c>
      <c r="E287" s="29" t="s">
        <v>449</v>
      </c>
      <c r="F287" s="29" t="s">
        <v>989</v>
      </c>
    </row>
    <row r="288" spans="1:10" ht="14.25" customHeight="1" x14ac:dyDescent="0.25">
      <c r="A288" s="25" t="s">
        <v>394</v>
      </c>
      <c r="B288" s="26" t="str">
        <f ca="1">IFERROR(INDEX(UNSPSCDes,MATCH(INDIRECT(ADDRESS(ROW(),COLUMN()-1,4)),UNSPSCCode,0)),IF(INDIRECT(ADDRESS(ROW(),COLUMN()-1,4))="47121610","Máquina para lavar pisos",""))</f>
        <v>Máquina para lavar pisos</v>
      </c>
      <c r="C288" s="58" t="str">
        <f>IFERROR(VLOOKUP("UD",'Informacion '!P:Q,2,FALSE),"")</f>
        <v>Unidad</v>
      </c>
      <c r="D288" s="25">
        <v>4</v>
      </c>
      <c r="E288" s="28">
        <v>8680</v>
      </c>
      <c r="F288" s="27">
        <f t="shared" ref="F288:F307" ca="1" si="10">INDIRECT(ADDRESS(ROW(),COLUMN()-2,4))*INDIRECT(ADDRESS(ROW(),COLUMN()-1,4))</f>
        <v>34720</v>
      </c>
    </row>
    <row r="289" spans="1:6" ht="14.25" customHeight="1" x14ac:dyDescent="0.25">
      <c r="A289" s="25" t="s">
        <v>1182</v>
      </c>
      <c r="B289" s="26" t="str">
        <f ca="1">IFERROR(INDEX(UNSPSCDes,MATCH(INDIRECT(ADDRESS(ROW(),COLUMN()-1,4)),UNSPSCCode,0)),IF(INDIRECT(ADDRESS(ROW(),COLUMN()-1,4))="27112706","Cepillos eléctricos",""))</f>
        <v>Cepillos eléctricos</v>
      </c>
      <c r="C289" s="58" t="str">
        <f>IFERROR(VLOOKUP("UD",'Informacion '!P:Q,2,FALSE),"")</f>
        <v>Unidad</v>
      </c>
      <c r="D289" s="25">
        <v>4</v>
      </c>
      <c r="E289" s="28">
        <v>12134.26</v>
      </c>
      <c r="F289" s="27">
        <f t="shared" ca="1" si="10"/>
        <v>48537.04</v>
      </c>
    </row>
    <row r="290" spans="1:6" ht="14.25" customHeight="1" x14ac:dyDescent="0.25">
      <c r="A290" s="25" t="s">
        <v>1034</v>
      </c>
      <c r="B290" s="26" t="str">
        <f ca="1">IFERROR(INDEX(UNSPSCDes,MATCH(INDIRECT(ADDRESS(ROW(),COLUMN()-1,4)),UNSPSCCode,0)),IF(INDIRECT(ADDRESS(ROW(),COLUMN()-1,4))="27111901","Cortafríos",""))</f>
        <v>Cortafríos</v>
      </c>
      <c r="C290" s="58" t="str">
        <f>IFERROR(VLOOKUP("UD",'Informacion '!P:Q,2,FALSE),"")</f>
        <v>Unidad</v>
      </c>
      <c r="D290" s="25">
        <v>5</v>
      </c>
      <c r="E290" s="28">
        <v>325</v>
      </c>
      <c r="F290" s="27">
        <f t="shared" ca="1" si="10"/>
        <v>1625</v>
      </c>
    </row>
    <row r="291" spans="1:6" ht="14.25" customHeight="1" x14ac:dyDescent="0.25">
      <c r="A291" s="25" t="s">
        <v>1034</v>
      </c>
      <c r="B291" s="26" t="str">
        <f ca="1">IFERROR(INDEX(UNSPSCDes,MATCH(INDIRECT(ADDRESS(ROW(),COLUMN()-1,4)),UNSPSCCode,0)),IF(INDIRECT(ADDRESS(ROW(),COLUMN()-1,4))="27111901","Cortafríos",""))</f>
        <v>Cortafríos</v>
      </c>
      <c r="C291" s="58" t="str">
        <f>IFERROR(VLOOKUP("UD",'Informacion '!P:Q,2,FALSE),"")</f>
        <v>Unidad</v>
      </c>
      <c r="D291" s="25">
        <v>5</v>
      </c>
      <c r="E291" s="28">
        <v>325</v>
      </c>
      <c r="F291" s="27">
        <f t="shared" ca="1" si="10"/>
        <v>1625</v>
      </c>
    </row>
    <row r="292" spans="1:6" ht="14.25" customHeight="1" x14ac:dyDescent="0.25">
      <c r="A292" s="25" t="s">
        <v>1034</v>
      </c>
      <c r="B292" s="26" t="str">
        <f ca="1">IFERROR(INDEX(UNSPSCDes,MATCH(INDIRECT(ADDRESS(ROW(),COLUMN()-1,4)),UNSPSCCode,0)),IF(INDIRECT(ADDRESS(ROW(),COLUMN()-1,4))="27111901","Cortafríos",""))</f>
        <v>Cortafríos</v>
      </c>
      <c r="C292" s="58" t="str">
        <f>IFERROR(VLOOKUP("UD",'Informacion '!P:Q,2,FALSE),"")</f>
        <v>Unidad</v>
      </c>
      <c r="D292" s="25">
        <v>5</v>
      </c>
      <c r="E292" s="28">
        <v>325</v>
      </c>
      <c r="F292" s="27">
        <f t="shared" ca="1" si="10"/>
        <v>1625</v>
      </c>
    </row>
    <row r="293" spans="1:6" ht="14.25" customHeight="1" x14ac:dyDescent="0.25">
      <c r="A293" s="25" t="s">
        <v>1038</v>
      </c>
      <c r="B293" s="26" t="str">
        <f ca="1">IFERROR(INDEX(UNSPSCDes,MATCH(INDIRECT(ADDRESS(ROW(),COLUMN()-1,4)),UNSPSCCode,0)),IF(INDIRECT(ADDRESS(ROW(),COLUMN()-1,4))="27111506","Cizallas",""))</f>
        <v>Cizallas</v>
      </c>
      <c r="C293" s="58" t="str">
        <f>IFERROR(VLOOKUP("UD",'Informacion '!P:Q,2,FALSE),"")</f>
        <v>Unidad</v>
      </c>
      <c r="D293" s="25">
        <v>5</v>
      </c>
      <c r="E293" s="28">
        <v>325</v>
      </c>
      <c r="F293" s="27">
        <f t="shared" ca="1" si="10"/>
        <v>1625</v>
      </c>
    </row>
    <row r="294" spans="1:6" ht="14.25" customHeight="1" x14ac:dyDescent="0.25">
      <c r="A294" s="25" t="s">
        <v>53</v>
      </c>
      <c r="B294" s="26" t="str">
        <f ca="1">IFERROR(INDEX(UNSPSCDes,MATCH(INDIRECT(ADDRESS(ROW(),COLUMN()-1,4)),UNSPSCCode,0)),IF(INDIRECT(ADDRESS(ROW(),COLUMN()-1,4))="60121234","Espátulas para aplicación de pintura",""))</f>
        <v>Espátulas para aplicación de pintura</v>
      </c>
      <c r="C294" s="58" t="str">
        <f>IFERROR(VLOOKUP("UD",'Informacion '!P:Q,2,FALSE),"")</f>
        <v>Unidad</v>
      </c>
      <c r="D294" s="25">
        <v>10</v>
      </c>
      <c r="E294" s="28">
        <v>175</v>
      </c>
      <c r="F294" s="27">
        <f t="shared" ca="1" si="10"/>
        <v>1750</v>
      </c>
    </row>
    <row r="295" spans="1:6" ht="14.25" customHeight="1" x14ac:dyDescent="0.25">
      <c r="A295" s="25" t="s">
        <v>1214</v>
      </c>
      <c r="B295" s="26" t="str">
        <f ca="1">IFERROR(INDEX(UNSPSCDes,MATCH(INDIRECT(ADDRESS(ROW(),COLUMN()-1,4)),UNSPSCCode,0)),IF(INDIRECT(ADDRESS(ROW(),COLUMN()-1,4))="27111602","Martillos",""))</f>
        <v>Martillos</v>
      </c>
      <c r="C295" s="58" t="str">
        <f>IFERROR(VLOOKUP("UD",'Informacion '!P:Q,2,FALSE),"")</f>
        <v>Unidad</v>
      </c>
      <c r="D295" s="25">
        <v>15</v>
      </c>
      <c r="E295" s="28">
        <v>900</v>
      </c>
      <c r="F295" s="27">
        <f t="shared" ca="1" si="10"/>
        <v>13500</v>
      </c>
    </row>
    <row r="296" spans="1:6" ht="14.25" customHeight="1" x14ac:dyDescent="0.25">
      <c r="A296" s="25" t="s">
        <v>1029</v>
      </c>
      <c r="B296" s="26" t="str">
        <f ca="1">IFERROR(INDEX(UNSPSCDes,MATCH(INDIRECT(ADDRESS(ROW(),COLUMN()-1,4)),UNSPSCCode,0)),IF(INDIRECT(ADDRESS(ROW(),COLUMN()-1,4))="27111802","Nivel",""))</f>
        <v>Nivel</v>
      </c>
      <c r="C296" s="58" t="str">
        <f>IFERROR(VLOOKUP("UD",'Informacion '!P:Q,2,FALSE),"")</f>
        <v>Unidad</v>
      </c>
      <c r="D296" s="25">
        <v>10</v>
      </c>
      <c r="E296" s="28">
        <v>400</v>
      </c>
      <c r="F296" s="27">
        <f t="shared" ca="1" si="10"/>
        <v>4000</v>
      </c>
    </row>
    <row r="297" spans="1:6" ht="14.25" customHeight="1" x14ac:dyDescent="0.25">
      <c r="A297" s="25" t="s">
        <v>1029</v>
      </c>
      <c r="B297" s="26" t="str">
        <f ca="1">IFERROR(INDEX(UNSPSCDes,MATCH(INDIRECT(ADDRESS(ROW(),COLUMN()-1,4)),UNSPSCCode,0)),IF(INDIRECT(ADDRESS(ROW(),COLUMN()-1,4))="27111802","Nivel",""))</f>
        <v>Nivel</v>
      </c>
      <c r="C297" s="58" t="str">
        <f>IFERROR(VLOOKUP("UD",'Informacion '!P:Q,2,FALSE),"")</f>
        <v>Unidad</v>
      </c>
      <c r="D297" s="25">
        <v>10</v>
      </c>
      <c r="E297" s="28">
        <v>400</v>
      </c>
      <c r="F297" s="27">
        <f t="shared" ca="1" si="10"/>
        <v>4000</v>
      </c>
    </row>
    <row r="298" spans="1:6" ht="14.25" customHeight="1" x14ac:dyDescent="0.25">
      <c r="A298" s="25" t="s">
        <v>525</v>
      </c>
      <c r="B298" s="26" t="str">
        <f ca="1">IFERROR(INDEX(UNSPSCDes,MATCH(INDIRECT(ADDRESS(ROW(),COLUMN()-1,4)),UNSPSCCode,0)),IF(INDIRECT(ADDRESS(ROW(),COLUMN()-1,4))="31162804","Topes de puerta",""))</f>
        <v>Topes de puerta</v>
      </c>
      <c r="C298" s="58" t="str">
        <f>IFERROR(VLOOKUP("UD",'Informacion '!P:Q,2,FALSE),"")</f>
        <v>Unidad</v>
      </c>
      <c r="D298" s="25">
        <v>5</v>
      </c>
      <c r="E298" s="28">
        <v>250</v>
      </c>
      <c r="F298" s="27">
        <f t="shared" ca="1" si="10"/>
        <v>1250</v>
      </c>
    </row>
    <row r="299" spans="1:6" ht="14.25" customHeight="1" x14ac:dyDescent="0.25">
      <c r="A299" s="25" t="s">
        <v>525</v>
      </c>
      <c r="B299" s="26" t="str">
        <f ca="1">IFERROR(INDEX(UNSPSCDes,MATCH(INDIRECT(ADDRESS(ROW(),COLUMN()-1,4)),UNSPSCCode,0)),IF(INDIRECT(ADDRESS(ROW(),COLUMN()-1,4))="31162804","Topes de puerta",""))</f>
        <v>Topes de puerta</v>
      </c>
      <c r="C299" s="58" t="str">
        <f>IFERROR(VLOOKUP("UD",'Informacion '!P:Q,2,FALSE),"")</f>
        <v>Unidad</v>
      </c>
      <c r="D299" s="25">
        <v>5</v>
      </c>
      <c r="E299" s="28">
        <v>300</v>
      </c>
      <c r="F299" s="27">
        <f t="shared" ca="1" si="10"/>
        <v>1500</v>
      </c>
    </row>
    <row r="300" spans="1:6" ht="14.25" customHeight="1" x14ac:dyDescent="0.25">
      <c r="A300" s="25" t="s">
        <v>416</v>
      </c>
      <c r="B300" s="26" t="str">
        <f ca="1">IFERROR(INDEX(UNSPSCDes,MATCH(INDIRECT(ADDRESS(ROW(),COLUMN()-1,4)),UNSPSCCode,0)),IF(INDIRECT(ADDRESS(ROW(),COLUMN()-1,4))="27131506","Clavadora de clavos neumática",""))</f>
        <v>Clavadora de clavos neumática</v>
      </c>
      <c r="C300" s="58" t="str">
        <f>IFERROR(VLOOKUP("UD",'Informacion '!P:Q,2,FALSE),"")</f>
        <v>Unidad</v>
      </c>
      <c r="D300" s="25">
        <v>1</v>
      </c>
      <c r="E300" s="28">
        <v>6000</v>
      </c>
      <c r="F300" s="27">
        <f t="shared" ca="1" si="10"/>
        <v>6000</v>
      </c>
    </row>
    <row r="301" spans="1:6" ht="14.25" customHeight="1" x14ac:dyDescent="0.25">
      <c r="A301" s="25" t="s">
        <v>245</v>
      </c>
      <c r="B301" s="26" t="str">
        <f ca="1">IFERROR(INDEX(UNSPSCDes,MATCH(INDIRECT(ADDRESS(ROW(),COLUMN()-1,4)),UNSPSCCode,0)),IF(INDIRECT(ADDRESS(ROW(),COLUMN()-1,4))="27113201","Conjuntos generales de herramientas",""))</f>
        <v>Conjuntos generales de herramientas</v>
      </c>
      <c r="C301" s="58" t="str">
        <f>IFERROR(VLOOKUP("UD",'Informacion '!P:Q,2,FALSE),"")</f>
        <v>Unidad</v>
      </c>
      <c r="D301" s="25">
        <v>2</v>
      </c>
      <c r="E301" s="28">
        <v>2990</v>
      </c>
      <c r="F301" s="27">
        <f t="shared" ca="1" si="10"/>
        <v>5980</v>
      </c>
    </row>
    <row r="302" spans="1:6" ht="14.25" customHeight="1" x14ac:dyDescent="0.25">
      <c r="A302" s="25" t="s">
        <v>245</v>
      </c>
      <c r="B302" s="26" t="str">
        <f ca="1">IFERROR(INDEX(UNSPSCDes,MATCH(INDIRECT(ADDRESS(ROW(),COLUMN()-1,4)),UNSPSCCode,0)),IF(INDIRECT(ADDRESS(ROW(),COLUMN()-1,4))="27113201","Conjuntos generales de herramientas",""))</f>
        <v>Conjuntos generales de herramientas</v>
      </c>
      <c r="C302" s="58" t="str">
        <f>IFERROR(VLOOKUP("UD",'Informacion '!P:Q,2,FALSE),"")</f>
        <v>Unidad</v>
      </c>
      <c r="D302" s="25">
        <v>8</v>
      </c>
      <c r="E302" s="28">
        <v>849.99</v>
      </c>
      <c r="F302" s="27">
        <f t="shared" ca="1" si="10"/>
        <v>6799.92</v>
      </c>
    </row>
    <row r="303" spans="1:6" ht="14.25" customHeight="1" x14ac:dyDescent="0.25">
      <c r="A303" s="25" t="s">
        <v>1101</v>
      </c>
      <c r="B303" s="26" t="str">
        <f ca="1">IFERROR(INDEX(UNSPSCDes,MATCH(INDIRECT(ADDRESS(ROW(),COLUMN()-1,4)),UNSPSCCode,0)),IF(INDIRECT(ADDRESS(ROW(),COLUMN()-1,4))="22101619","Máquinas pulidoras",""))</f>
        <v>Máquinas pulidoras</v>
      </c>
      <c r="C303" s="58" t="str">
        <f>IFERROR(VLOOKUP("UD",'Informacion '!P:Q,2,FALSE),"")</f>
        <v>Unidad</v>
      </c>
      <c r="D303" s="25">
        <v>1</v>
      </c>
      <c r="E303" s="28">
        <v>14294.73</v>
      </c>
      <c r="F303" s="27">
        <f t="shared" ca="1" si="10"/>
        <v>14294.73</v>
      </c>
    </row>
    <row r="304" spans="1:6" ht="14.25" customHeight="1" x14ac:dyDescent="0.25">
      <c r="A304" s="25" t="s">
        <v>928</v>
      </c>
      <c r="B304" s="26" t="str">
        <f ca="1">IFERROR(INDEX(UNSPSCDes,MATCH(INDIRECT(ADDRESS(ROW(),COLUMN()-1,4)),UNSPSCCode,0)),IF(INDIRECT(ADDRESS(ROW(),COLUMN()-1,4))="23171507","Soldadores o pistolas para sueldas",""))</f>
        <v>Soldadores o pistolas para sueldas</v>
      </c>
      <c r="C304" s="58" t="str">
        <f>IFERROR(VLOOKUP("UD",'Informacion '!P:Q,2,FALSE),"")</f>
        <v>Unidad</v>
      </c>
      <c r="D304" s="25">
        <v>2</v>
      </c>
      <c r="E304" s="28">
        <v>15000</v>
      </c>
      <c r="F304" s="27">
        <f t="shared" ca="1" si="10"/>
        <v>30000</v>
      </c>
    </row>
    <row r="305" spans="1:10" ht="14.25" customHeight="1" x14ac:dyDescent="0.25">
      <c r="A305" s="25" t="s">
        <v>245</v>
      </c>
      <c r="B305" s="26" t="str">
        <f ca="1">IFERROR(INDEX(UNSPSCDes,MATCH(INDIRECT(ADDRESS(ROW(),COLUMN()-1,4)),UNSPSCCode,0)),IF(INDIRECT(ADDRESS(ROW(),COLUMN()-1,4))="27113201","Conjuntos generales de herramientas",""))</f>
        <v>Conjuntos generales de herramientas</v>
      </c>
      <c r="C305" s="58" t="str">
        <f>IFERROR(VLOOKUP("UD",'Informacion '!P:Q,2,FALSE),"")</f>
        <v>Unidad</v>
      </c>
      <c r="D305" s="25">
        <v>3</v>
      </c>
      <c r="E305" s="28">
        <v>5146.3999999999996</v>
      </c>
      <c r="F305" s="27">
        <f t="shared" ca="1" si="10"/>
        <v>15439.199999999999</v>
      </c>
    </row>
    <row r="306" spans="1:10" ht="14.25" customHeight="1" x14ac:dyDescent="0.25">
      <c r="A306" s="25" t="s">
        <v>245</v>
      </c>
      <c r="B306" s="26" t="str">
        <f ca="1">IFERROR(INDEX(UNSPSCDes,MATCH(INDIRECT(ADDRESS(ROW(),COLUMN()-1,4)),UNSPSCCode,0)),IF(INDIRECT(ADDRESS(ROW(),COLUMN()-1,4))="27113201","Conjuntos generales de herramientas",""))</f>
        <v>Conjuntos generales de herramientas</v>
      </c>
      <c r="C306" s="58" t="str">
        <f>IFERROR(VLOOKUP("UD",'Informacion '!P:Q,2,FALSE),"")</f>
        <v>Unidad</v>
      </c>
      <c r="D306" s="25">
        <v>4</v>
      </c>
      <c r="E306" s="28">
        <v>595</v>
      </c>
      <c r="F306" s="27">
        <f t="shared" ca="1" si="10"/>
        <v>2380</v>
      </c>
    </row>
    <row r="307" spans="1:10" ht="14.25" customHeight="1" x14ac:dyDescent="0.25">
      <c r="A307" s="25" t="s">
        <v>851</v>
      </c>
      <c r="B307" s="26" t="str">
        <f ca="1">IFERROR(INDEX(UNSPSCDes,MATCH(INDIRECT(ADDRESS(ROW(),COLUMN()-1,4)),UNSPSCCode,0)),IF(INDIRECT(ADDRESS(ROW(),COLUMN()-1,4))="27112111","Alicates de lagarto",""))</f>
        <v>Alicates de lagarto</v>
      </c>
      <c r="C307" s="58" t="str">
        <f>IFERROR(VLOOKUP("UD",'Informacion '!P:Q,2,FALSE),"")</f>
        <v>Unidad</v>
      </c>
      <c r="D307" s="25">
        <v>4</v>
      </c>
      <c r="E307" s="28">
        <v>800.01</v>
      </c>
      <c r="F307" s="27">
        <f t="shared" ca="1" si="10"/>
        <v>3200.04</v>
      </c>
    </row>
    <row r="308" spans="1:10" ht="14.25" customHeight="1" x14ac:dyDescent="0.25">
      <c r="E308" s="30" t="s">
        <v>816</v>
      </c>
      <c r="F308" s="31">
        <f ca="1">SUM(Table18[MONTO TOTAL ESTIMADO])</f>
        <v>199850.93000000005</v>
      </c>
      <c r="H308" s="21" t="str">
        <f>C281</f>
        <v>Bienes</v>
      </c>
      <c r="I308" s="21" t="str">
        <f>E281</f>
        <v>No</v>
      </c>
      <c r="J308" s="21" t="str">
        <f>D281</f>
        <v>Compras Menores</v>
      </c>
    </row>
    <row r="310" spans="1:10" ht="33.950000000000003" customHeight="1" x14ac:dyDescent="0.25">
      <c r="A310" s="22" t="s">
        <v>1051</v>
      </c>
      <c r="B310" s="22" t="s">
        <v>11</v>
      </c>
      <c r="C310" s="22" t="s">
        <v>751</v>
      </c>
      <c r="D310" s="22" t="s">
        <v>930</v>
      </c>
      <c r="E310" s="22" t="s">
        <v>699</v>
      </c>
      <c r="F310" s="22" t="s">
        <v>710</v>
      </c>
    </row>
    <row r="311" spans="1:10" ht="14.25" customHeight="1" x14ac:dyDescent="0.25">
      <c r="A311" s="23" t="s">
        <v>621</v>
      </c>
      <c r="B311" s="23" t="s">
        <v>621</v>
      </c>
      <c r="C311" s="23" t="s">
        <v>438</v>
      </c>
      <c r="D311" s="23" t="s">
        <v>1128</v>
      </c>
      <c r="E311" s="23" t="s">
        <v>1156</v>
      </c>
      <c r="F311" s="23" t="s">
        <v>436</v>
      </c>
    </row>
    <row r="312" spans="1:10" ht="14.25" customHeight="1" x14ac:dyDescent="0.25">
      <c r="A312" s="68" t="s">
        <v>965</v>
      </c>
      <c r="B312" s="24" t="s">
        <v>543</v>
      </c>
      <c r="C312" s="54">
        <v>46056</v>
      </c>
      <c r="D312" s="68" t="s">
        <v>598</v>
      </c>
      <c r="E312" s="56" t="s">
        <v>858</v>
      </c>
      <c r="F312" s="57" t="s">
        <v>184</v>
      </c>
    </row>
    <row r="313" spans="1:10" ht="14.25" customHeight="1" x14ac:dyDescent="0.25">
      <c r="A313" s="69"/>
      <c r="B313" s="24" t="s">
        <v>112</v>
      </c>
      <c r="C313" s="55">
        <f>IF(C312="","",IF(AND(MONTH(C312)&gt;=1,MONTH(C312)&lt;=3),1,IF(AND(MONTH(C312)&gt;=4,MONTH(C312)&lt;=6),2,IF(AND(MONTH(C312)&gt;=7,MONTH(C312)&lt;=9),3,4))))</f>
        <v>1</v>
      </c>
      <c r="D313" s="69"/>
      <c r="E313" s="56" t="s">
        <v>143</v>
      </c>
      <c r="F313" s="57"/>
    </row>
    <row r="314" spans="1:10" ht="14.25" customHeight="1" x14ac:dyDescent="0.25">
      <c r="A314" s="69"/>
      <c r="B314" s="24" t="s">
        <v>844</v>
      </c>
      <c r="C314" s="54">
        <v>46112</v>
      </c>
      <c r="D314" s="69"/>
      <c r="E314" s="56" t="s">
        <v>183</v>
      </c>
      <c r="F314" s="57"/>
    </row>
    <row r="315" spans="1:10" ht="14.25" customHeight="1" x14ac:dyDescent="0.25">
      <c r="A315" s="69"/>
      <c r="B315" s="24" t="s">
        <v>112</v>
      </c>
      <c r="C315" s="55">
        <f>IF(C314="","",IF(AND(MONTH(C314)&gt;=1,MONTH(C314)&lt;=3),1,IF(AND(MONTH(C314)&gt;=4,MONTH(C314)&lt;=6),2,IF(AND(MONTH(C314)&gt;=7,MONTH(C314)&lt;=9),3,4))))</f>
        <v>1</v>
      </c>
      <c r="D315" s="69"/>
      <c r="E315" s="56" t="s">
        <v>865</v>
      </c>
      <c r="F315" s="57"/>
    </row>
    <row r="317" spans="1:10" ht="14.25" customHeight="1" x14ac:dyDescent="0.25">
      <c r="A317" s="29" t="s">
        <v>1017</v>
      </c>
      <c r="B317" s="29" t="s">
        <v>1042</v>
      </c>
      <c r="C317" s="29" t="s">
        <v>1011</v>
      </c>
      <c r="D317" s="29" t="s">
        <v>985</v>
      </c>
      <c r="E317" s="29" t="s">
        <v>449</v>
      </c>
      <c r="F317" s="29" t="s">
        <v>989</v>
      </c>
    </row>
    <row r="318" spans="1:10" ht="14.25" customHeight="1" x14ac:dyDescent="0.25">
      <c r="A318" s="25" t="s">
        <v>49</v>
      </c>
      <c r="B318" s="26" t="str">
        <f ca="1">IFERROR(INDEX(UNSPSCDes,MATCH(INDIRECT(ADDRESS(ROW(),COLUMN()-1,4)),UNSPSCCode,0)),IF(INDIRECT(ADDRESS(ROW(),COLUMN()-1,4))="72101506","Servicios de mantenimiento de elevadores. ",""))</f>
        <v xml:space="preserve">Servicios de mantenimiento de elevadores. </v>
      </c>
      <c r="C318" s="58" t="str">
        <f>IFERROR(VLOOKUP("UD",'Informacion '!P:Q,2,FALSE),"")</f>
        <v>Unidad</v>
      </c>
      <c r="D318" s="25">
        <v>1</v>
      </c>
      <c r="E318" s="28">
        <v>200000</v>
      </c>
      <c r="F318" s="27">
        <f ca="1">INDIRECT(ADDRESS(ROW(),COLUMN()-2,4))*INDIRECT(ADDRESS(ROW(),COLUMN()-1,4))</f>
        <v>200000</v>
      </c>
    </row>
    <row r="319" spans="1:10" ht="14.25" customHeight="1" x14ac:dyDescent="0.25">
      <c r="E319" s="30" t="s">
        <v>816</v>
      </c>
      <c r="F319" s="31">
        <f ca="1">SUM(Table19[MONTO TOTAL ESTIMADO])</f>
        <v>200000</v>
      </c>
      <c r="H319" s="21" t="str">
        <f>C311</f>
        <v>Servicios</v>
      </c>
      <c r="I319" s="21" t="str">
        <f>E311</f>
        <v>No</v>
      </c>
      <c r="J319" s="21" t="str">
        <f>D311</f>
        <v>Compras Menores</v>
      </c>
    </row>
    <row r="321" spans="1:6" ht="33.950000000000003" customHeight="1" x14ac:dyDescent="0.25">
      <c r="A321" s="22" t="s">
        <v>1051</v>
      </c>
      <c r="B321" s="22" t="s">
        <v>11</v>
      </c>
      <c r="C321" s="22" t="s">
        <v>751</v>
      </c>
      <c r="D321" s="22" t="s">
        <v>930</v>
      </c>
      <c r="E321" s="22" t="s">
        <v>699</v>
      </c>
      <c r="F321" s="22" t="s">
        <v>710</v>
      </c>
    </row>
    <row r="322" spans="1:6" ht="14.25" customHeight="1" x14ac:dyDescent="0.25">
      <c r="A322" s="23" t="s">
        <v>357</v>
      </c>
      <c r="B322" s="23" t="s">
        <v>357</v>
      </c>
      <c r="C322" s="23" t="s">
        <v>1155</v>
      </c>
      <c r="D322" s="23" t="s">
        <v>1128</v>
      </c>
      <c r="E322" s="23" t="s">
        <v>561</v>
      </c>
      <c r="F322" s="23" t="s">
        <v>436</v>
      </c>
    </row>
    <row r="323" spans="1:6" ht="14.25" customHeight="1" x14ac:dyDescent="0.25">
      <c r="A323" s="68" t="s">
        <v>965</v>
      </c>
      <c r="B323" s="24" t="s">
        <v>543</v>
      </c>
      <c r="C323" s="54">
        <v>46068</v>
      </c>
      <c r="D323" s="68" t="s">
        <v>598</v>
      </c>
      <c r="E323" s="56" t="s">
        <v>858</v>
      </c>
      <c r="F323" s="57" t="s">
        <v>184</v>
      </c>
    </row>
    <row r="324" spans="1:6" ht="14.25" customHeight="1" x14ac:dyDescent="0.25">
      <c r="A324" s="69"/>
      <c r="B324" s="24" t="s">
        <v>112</v>
      </c>
      <c r="C324" s="55">
        <f>IF(C323="","",IF(AND(MONTH(C323)&gt;=1,MONTH(C323)&lt;=3),1,IF(AND(MONTH(C323)&gt;=4,MONTH(C323)&lt;=6),2,IF(AND(MONTH(C323)&gt;=7,MONTH(C323)&lt;=9),3,4))))</f>
        <v>1</v>
      </c>
      <c r="D324" s="69"/>
      <c r="E324" s="56" t="s">
        <v>143</v>
      </c>
      <c r="F324" s="57"/>
    </row>
    <row r="325" spans="1:6" ht="14.25" customHeight="1" x14ac:dyDescent="0.25">
      <c r="A325" s="69"/>
      <c r="B325" s="24" t="s">
        <v>844</v>
      </c>
      <c r="C325" s="54">
        <v>46094</v>
      </c>
      <c r="D325" s="69"/>
      <c r="E325" s="56" t="s">
        <v>183</v>
      </c>
      <c r="F325" s="57"/>
    </row>
    <row r="326" spans="1:6" ht="14.25" customHeight="1" x14ac:dyDescent="0.25">
      <c r="A326" s="69"/>
      <c r="B326" s="24" t="s">
        <v>112</v>
      </c>
      <c r="C326" s="55">
        <f>IF(C325="","",IF(AND(MONTH(C325)&gt;=1,MONTH(C325)&lt;=3),1,IF(AND(MONTH(C325)&gt;=4,MONTH(C325)&lt;=6),2,IF(AND(MONTH(C325)&gt;=7,MONTH(C325)&lt;=9),3,4))))</f>
        <v>1</v>
      </c>
      <c r="D326" s="69"/>
      <c r="E326" s="56" t="s">
        <v>865</v>
      </c>
      <c r="F326" s="57"/>
    </row>
    <row r="328" spans="1:6" ht="14.25" customHeight="1" x14ac:dyDescent="0.25">
      <c r="A328" s="29" t="s">
        <v>1017</v>
      </c>
      <c r="B328" s="29" t="s">
        <v>1042</v>
      </c>
      <c r="C328" s="29" t="s">
        <v>1011</v>
      </c>
      <c r="D328" s="29" t="s">
        <v>985</v>
      </c>
      <c r="E328" s="29" t="s">
        <v>449</v>
      </c>
      <c r="F328" s="29" t="s">
        <v>989</v>
      </c>
    </row>
    <row r="329" spans="1:6" ht="14.25" customHeight="1" x14ac:dyDescent="0.25">
      <c r="A329" s="25" t="s">
        <v>982</v>
      </c>
      <c r="B329" s="26" t="str">
        <f ca="1">IFERROR(INDEX(UNSPSCDes,MATCH(INDIRECT(ADDRESS(ROW(),COLUMN()-1,4)),UNSPSCCode,0)),IF(INDIRECT(ADDRESS(ROW(),COLUMN()-1,4))="12352104","Alcoholes o sus sustitutos",""))</f>
        <v>Alcoholes o sus sustitutos</v>
      </c>
      <c r="C329" s="58" t="str">
        <f>IFERROR(VLOOKUP("UD",'Informacion '!P:Q,2,FALSE),"")</f>
        <v>Unidad</v>
      </c>
      <c r="D329" s="25">
        <v>4</v>
      </c>
      <c r="E329" s="28">
        <v>590</v>
      </c>
      <c r="F329" s="27">
        <f t="shared" ref="F329:F373" ca="1" si="11">INDIRECT(ADDRESS(ROW(),COLUMN()-2,4))*INDIRECT(ADDRESS(ROW(),COLUMN()-1,4))</f>
        <v>2360</v>
      </c>
    </row>
    <row r="330" spans="1:6" ht="14.25" customHeight="1" x14ac:dyDescent="0.25">
      <c r="A330" s="25" t="s">
        <v>982</v>
      </c>
      <c r="B330" s="26" t="str">
        <f ca="1">IFERROR(INDEX(UNSPSCDes,MATCH(INDIRECT(ADDRESS(ROW(),COLUMN()-1,4)),UNSPSCCode,0)),IF(INDIRECT(ADDRESS(ROW(),COLUMN()-1,4))="12352104","Alcoholes o sus sustitutos",""))</f>
        <v>Alcoholes o sus sustitutos</v>
      </c>
      <c r="C330" s="58" t="str">
        <f>IFERROR(VLOOKUP("UD",'Informacion '!P:Q,2,FALSE),"")</f>
        <v>Unidad</v>
      </c>
      <c r="D330" s="25">
        <v>4</v>
      </c>
      <c r="E330" s="28">
        <v>590</v>
      </c>
      <c r="F330" s="27">
        <f t="shared" ca="1" si="11"/>
        <v>2360</v>
      </c>
    </row>
    <row r="331" spans="1:6" ht="14.25" customHeight="1" x14ac:dyDescent="0.25">
      <c r="A331" s="25" t="s">
        <v>668</v>
      </c>
      <c r="B331" s="26" t="str">
        <f ca="1">IFERROR(INDEX(UNSPSCDes,MATCH(INDIRECT(ADDRESS(ROW(),COLUMN()-1,4)),UNSPSCCode,0)),IF(INDIRECT(ADDRESS(ROW(),COLUMN()-1,4))="47121702","Contenedores de desperdicios o revestimientos rígidos",""))</f>
        <v>Contenedores de desperdicios o revestimientos rígidos</v>
      </c>
      <c r="C331" s="58" t="str">
        <f>IFERROR(VLOOKUP("UD",'Informacion '!P:Q,2,FALSE),"")</f>
        <v>Unidad</v>
      </c>
      <c r="D331" s="25">
        <v>75</v>
      </c>
      <c r="E331" s="28">
        <v>241.9</v>
      </c>
      <c r="F331" s="27">
        <f t="shared" ca="1" si="11"/>
        <v>18142.5</v>
      </c>
    </row>
    <row r="332" spans="1:6" ht="14.25" customHeight="1" x14ac:dyDescent="0.25">
      <c r="A332" s="25" t="s">
        <v>1049</v>
      </c>
      <c r="B332" s="26" t="str">
        <f ca="1">IFERROR(INDEX(UNSPSCDes,MATCH(INDIRECT(ADDRESS(ROW(),COLUMN()-1,4)),UNSPSCCode,0)),IF(INDIRECT(ADDRESS(ROW(),COLUMN()-1,4))="47131706","Dispensadores de ambientadores",""))</f>
        <v>Dispensadores de ambientadores</v>
      </c>
      <c r="C332" s="58" t="str">
        <f>IFERROR(VLOOKUP("UD",'Informacion '!P:Q,2,FALSE),"")</f>
        <v>Unidad</v>
      </c>
      <c r="D332" s="25">
        <v>100</v>
      </c>
      <c r="E332" s="28">
        <v>112.1</v>
      </c>
      <c r="F332" s="27">
        <f t="shared" ca="1" si="11"/>
        <v>11210</v>
      </c>
    </row>
    <row r="333" spans="1:6" ht="14.25" customHeight="1" x14ac:dyDescent="0.25">
      <c r="A333" s="25" t="s">
        <v>1049</v>
      </c>
      <c r="B333" s="26" t="str">
        <f ca="1">IFERROR(INDEX(UNSPSCDes,MATCH(INDIRECT(ADDRESS(ROW(),COLUMN()-1,4)),UNSPSCCode,0)),IF(INDIRECT(ADDRESS(ROW(),COLUMN()-1,4))="47131706","Dispensadores de ambientadores",""))</f>
        <v>Dispensadores de ambientadores</v>
      </c>
      <c r="C333" s="58" t="str">
        <f>IFERROR(VLOOKUP("UD",'Informacion '!P:Q,2,FALSE),"")</f>
        <v>Unidad</v>
      </c>
      <c r="D333" s="25">
        <v>100</v>
      </c>
      <c r="E333" s="28">
        <v>112.1</v>
      </c>
      <c r="F333" s="27">
        <f t="shared" ca="1" si="11"/>
        <v>11210</v>
      </c>
    </row>
    <row r="334" spans="1:6" ht="14.25" customHeight="1" x14ac:dyDescent="0.25">
      <c r="A334" s="25" t="s">
        <v>1049</v>
      </c>
      <c r="B334" s="26" t="str">
        <f ca="1">IFERROR(INDEX(UNSPSCDes,MATCH(INDIRECT(ADDRESS(ROW(),COLUMN()-1,4)),UNSPSCCode,0)),IF(INDIRECT(ADDRESS(ROW(),COLUMN()-1,4))="47131706","Dispensadores de ambientadores",""))</f>
        <v>Dispensadores de ambientadores</v>
      </c>
      <c r="C334" s="58" t="str">
        <f>IFERROR(VLOOKUP("UD",'Informacion '!P:Q,2,FALSE),"")</f>
        <v>Unidad</v>
      </c>
      <c r="D334" s="25">
        <v>100</v>
      </c>
      <c r="E334" s="28">
        <v>112.1</v>
      </c>
      <c r="F334" s="27">
        <f t="shared" ca="1" si="11"/>
        <v>11210</v>
      </c>
    </row>
    <row r="335" spans="1:6" ht="14.25" customHeight="1" x14ac:dyDescent="0.25">
      <c r="A335" s="25" t="s">
        <v>373</v>
      </c>
      <c r="B335" s="26" t="str">
        <f ca="1">IFERROR(INDEX(UNSPSCDes,MATCH(INDIRECT(ADDRESS(ROW(),COLUMN()-1,4)),UNSPSCCode,0)),IF(INDIRECT(ADDRESS(ROW(),COLUMN()-1,4))="47131602","Almohadillas para restregar",""))</f>
        <v>Almohadillas para restregar</v>
      </c>
      <c r="C335" s="58" t="str">
        <f>IFERROR(VLOOKUP("UD",'Informacion '!P:Q,2,FALSE),"")</f>
        <v>Unidad</v>
      </c>
      <c r="D335" s="25">
        <v>100</v>
      </c>
      <c r="E335" s="28">
        <v>76.7</v>
      </c>
      <c r="F335" s="27">
        <f t="shared" ca="1" si="11"/>
        <v>7670</v>
      </c>
    </row>
    <row r="336" spans="1:6" ht="14.25" customHeight="1" x14ac:dyDescent="0.25">
      <c r="A336" s="25" t="s">
        <v>328</v>
      </c>
      <c r="B336" s="26" t="str">
        <f ca="1">IFERROR(INDEX(UNSPSCDes,MATCH(INDIRECT(ADDRESS(ROW(),COLUMN()-1,4)),UNSPSCCode,0)),IF(INDIRECT(ADDRESS(ROW(),COLUMN()-1,4))="47131807","Blanqueadores",""))</f>
        <v>Blanqueadores</v>
      </c>
      <c r="C336" s="58" t="str">
        <f>IFERROR(VLOOKUP("GAL",'Informacion '!P:Q,2,FALSE),"")</f>
        <v>Galón</v>
      </c>
      <c r="D336" s="25">
        <v>200</v>
      </c>
      <c r="E336" s="28">
        <v>159.30000000000001</v>
      </c>
      <c r="F336" s="27">
        <f t="shared" ca="1" si="11"/>
        <v>31860.000000000004</v>
      </c>
    </row>
    <row r="337" spans="1:6" ht="14.25" customHeight="1" x14ac:dyDescent="0.25">
      <c r="A337" s="25" t="s">
        <v>462</v>
      </c>
      <c r="B337" s="26" t="str">
        <f ca="1">IFERROR(INDEX(UNSPSCDes,MATCH(INDIRECT(ADDRESS(ROW(),COLUMN()-1,4)),UNSPSCCode,0)),IF(INDIRECT(ADDRESS(ROW(),COLUMN()-1,4))="47121804","Baldes para limpieza",""))</f>
        <v>Baldes para limpieza</v>
      </c>
      <c r="C337" s="58" t="str">
        <f>IFERROR(VLOOKUP("UD",'Informacion '!P:Q,2,FALSE),"")</f>
        <v>Unidad</v>
      </c>
      <c r="D337" s="25">
        <v>25</v>
      </c>
      <c r="E337" s="28">
        <v>147.5</v>
      </c>
      <c r="F337" s="27">
        <f t="shared" ca="1" si="11"/>
        <v>3687.5</v>
      </c>
    </row>
    <row r="338" spans="1:6" ht="14.25" customHeight="1" x14ac:dyDescent="0.25">
      <c r="A338" s="25" t="s">
        <v>634</v>
      </c>
      <c r="B338" s="26" t="str">
        <f ca="1">IFERROR(INDEX(UNSPSCDes,MATCH(INDIRECT(ADDRESS(ROW(),COLUMN()-1,4)),UNSPSCCode,0)),IF(INDIRECT(ADDRESS(ROW(),COLUMN()-1,4))="47131805","Limpiadores de propósito general",""))</f>
        <v>Limpiadores de propósito general</v>
      </c>
      <c r="C338" s="58" t="str">
        <f>IFERROR(VLOOKUP("GAL",'Informacion '!P:Q,2,FALSE),"")</f>
        <v>Galón</v>
      </c>
      <c r="D338" s="25">
        <v>25</v>
      </c>
      <c r="E338" s="28">
        <v>265.5</v>
      </c>
      <c r="F338" s="27">
        <f t="shared" ca="1" si="11"/>
        <v>6637.5</v>
      </c>
    </row>
    <row r="339" spans="1:6" ht="14.25" customHeight="1" x14ac:dyDescent="0.25">
      <c r="A339" s="25" t="s">
        <v>825</v>
      </c>
      <c r="B339" s="26" t="str">
        <f ca="1">IFERROR(INDEX(UNSPSCDes,MATCH(INDIRECT(ADDRESS(ROW(),COLUMN()-1,4)),UNSPSCCode,0)),IF(INDIRECT(ADDRESS(ROW(),COLUMN()-1,4))="47131803","Desinfectantes para uso doméstico",""))</f>
        <v>Desinfectantes para uso doméstico</v>
      </c>
      <c r="C339" s="58" t="str">
        <f>IFERROR(VLOOKUP("GAL",'Informacion '!P:Q,2,FALSE),"")</f>
        <v>Galón</v>
      </c>
      <c r="D339" s="25">
        <v>200</v>
      </c>
      <c r="E339" s="28">
        <v>295</v>
      </c>
      <c r="F339" s="27">
        <f t="shared" ca="1" si="11"/>
        <v>59000</v>
      </c>
    </row>
    <row r="340" spans="1:6" ht="14.25" customHeight="1" x14ac:dyDescent="0.25">
      <c r="A340" s="25" t="s">
        <v>825</v>
      </c>
      <c r="B340" s="26" t="str">
        <f ca="1">IFERROR(INDEX(UNSPSCDes,MATCH(INDIRECT(ADDRESS(ROW(),COLUMN()-1,4)),UNSPSCCode,0)),IF(INDIRECT(ADDRESS(ROW(),COLUMN()-1,4))="47131803","Desinfectantes para uso doméstico",""))</f>
        <v>Desinfectantes para uso doméstico</v>
      </c>
      <c r="C340" s="58" t="str">
        <f>IFERROR(VLOOKUP("GAL",'Informacion '!P:Q,2,FALSE),"")</f>
        <v>Galón</v>
      </c>
      <c r="D340" s="25">
        <v>200</v>
      </c>
      <c r="E340" s="28">
        <v>295</v>
      </c>
      <c r="F340" s="27">
        <f t="shared" ca="1" si="11"/>
        <v>59000</v>
      </c>
    </row>
    <row r="341" spans="1:6" ht="14.25" customHeight="1" x14ac:dyDescent="0.25">
      <c r="A341" s="25" t="s">
        <v>825</v>
      </c>
      <c r="B341" s="26" t="str">
        <f ca="1">IFERROR(INDEX(UNSPSCDes,MATCH(INDIRECT(ADDRESS(ROW(),COLUMN()-1,4)),UNSPSCCode,0)),IF(INDIRECT(ADDRESS(ROW(),COLUMN()-1,4))="47131803","Desinfectantes para uso doméstico",""))</f>
        <v>Desinfectantes para uso doméstico</v>
      </c>
      <c r="C341" s="58" t="str">
        <f>IFERROR(VLOOKUP("GAL",'Informacion '!P:Q,2,FALSE),"")</f>
        <v>Galón</v>
      </c>
      <c r="D341" s="25">
        <v>200</v>
      </c>
      <c r="E341" s="28">
        <v>295</v>
      </c>
      <c r="F341" s="27">
        <f t="shared" ca="1" si="11"/>
        <v>59000</v>
      </c>
    </row>
    <row r="342" spans="1:6" ht="14.25" customHeight="1" x14ac:dyDescent="0.25">
      <c r="A342" s="25" t="s">
        <v>634</v>
      </c>
      <c r="B342" s="26" t="str">
        <f ca="1">IFERROR(INDEX(UNSPSCDes,MATCH(INDIRECT(ADDRESS(ROW(),COLUMN()-1,4)),UNSPSCCode,0)),IF(INDIRECT(ADDRESS(ROW(),COLUMN()-1,4))="47131805","Limpiadores de propósito general",""))</f>
        <v>Limpiadores de propósito general</v>
      </c>
      <c r="C342" s="58" t="str">
        <f>IFERROR(VLOOKUP("UD",'Informacion '!P:Q,2,FALSE),"")</f>
        <v>Unidad</v>
      </c>
      <c r="D342" s="25">
        <v>200</v>
      </c>
      <c r="E342" s="28">
        <v>65</v>
      </c>
      <c r="F342" s="27">
        <f t="shared" ca="1" si="11"/>
        <v>13000</v>
      </c>
    </row>
    <row r="343" spans="1:6" ht="14.25" customHeight="1" x14ac:dyDescent="0.25">
      <c r="A343" s="25" t="s">
        <v>275</v>
      </c>
      <c r="B343" s="26" t="str">
        <f ca="1">IFERROR(INDEX(UNSPSCDes,MATCH(INDIRECT(ADDRESS(ROW(),COLUMN()-1,4)),UNSPSCCode,0)),IF(INDIRECT(ADDRESS(ROW(),COLUMN()-1,4))="47131604","Escobas",""))</f>
        <v>Escobas</v>
      </c>
      <c r="C343" s="58" t="str">
        <f>IFERROR(VLOOKUP("UD",'Informacion '!P:Q,2,FALSE),"")</f>
        <v>Unidad</v>
      </c>
      <c r="D343" s="25">
        <v>75</v>
      </c>
      <c r="E343" s="28">
        <v>154</v>
      </c>
      <c r="F343" s="27">
        <f t="shared" ca="1" si="11"/>
        <v>11550</v>
      </c>
    </row>
    <row r="344" spans="1:6" ht="14.25" customHeight="1" x14ac:dyDescent="0.25">
      <c r="A344" s="25" t="s">
        <v>275</v>
      </c>
      <c r="B344" s="26" t="str">
        <f ca="1">IFERROR(INDEX(UNSPSCDes,MATCH(INDIRECT(ADDRESS(ROW(),COLUMN()-1,4)),UNSPSCCode,0)),IF(INDIRECT(ADDRESS(ROW(),COLUMN()-1,4))="47131604","Escobas",""))</f>
        <v>Escobas</v>
      </c>
      <c r="C344" s="58" t="str">
        <f>IFERROR(VLOOKUP("UD",'Informacion '!P:Q,2,FALSE),"")</f>
        <v>Unidad</v>
      </c>
      <c r="D344" s="25">
        <v>75</v>
      </c>
      <c r="E344" s="28">
        <v>130</v>
      </c>
      <c r="F344" s="27">
        <f t="shared" ca="1" si="11"/>
        <v>9750</v>
      </c>
    </row>
    <row r="345" spans="1:6" ht="14.25" customHeight="1" x14ac:dyDescent="0.25">
      <c r="A345" s="25" t="s">
        <v>167</v>
      </c>
      <c r="B345" s="26" t="str">
        <f ca="1">IFERROR(INDEX(UNSPSCDes,MATCH(INDIRECT(ADDRESS(ROW(),COLUMN()-1,4)),UNSPSCCode,0)),IF(INDIRECT(ADDRESS(ROW(),COLUMN()-1,4))="40141742","Atomizadores",""))</f>
        <v>Atomizadores</v>
      </c>
      <c r="C345" s="58" t="str">
        <f>IFERROR(VLOOKUP("UD",'Informacion '!P:Q,2,FALSE),"")</f>
        <v>Unidad</v>
      </c>
      <c r="D345" s="25">
        <v>50</v>
      </c>
      <c r="E345" s="28">
        <v>82</v>
      </c>
      <c r="F345" s="27">
        <f t="shared" ca="1" si="11"/>
        <v>4100</v>
      </c>
    </row>
    <row r="346" spans="1:6" ht="14.25" customHeight="1" x14ac:dyDescent="0.25">
      <c r="A346" s="25" t="s">
        <v>730</v>
      </c>
      <c r="B346" s="26" t="str">
        <f ca="1">IFERROR(INDEX(UNSPSCDes,MATCH(INDIRECT(ADDRESS(ROW(),COLUMN()-1,4)),UNSPSCCode,0)),IF(INDIRECT(ADDRESS(ROW(),COLUMN()-1,4))="47121701","Bolsas de basura",""))</f>
        <v>Bolsas de basura</v>
      </c>
      <c r="C346" s="58" t="str">
        <f>IFERROR(VLOOKUP("PAQ",'Informacion '!P:Q,2,FALSE),"")</f>
        <v>Paquete</v>
      </c>
      <c r="D346" s="25">
        <v>100</v>
      </c>
      <c r="E346" s="28">
        <v>413</v>
      </c>
      <c r="F346" s="27">
        <f t="shared" ca="1" si="11"/>
        <v>41300</v>
      </c>
    </row>
    <row r="347" spans="1:6" ht="14.25" customHeight="1" x14ac:dyDescent="0.25">
      <c r="A347" s="25" t="s">
        <v>730</v>
      </c>
      <c r="B347" s="26" t="str">
        <f ca="1">IFERROR(INDEX(UNSPSCDes,MATCH(INDIRECT(ADDRESS(ROW(),COLUMN()-1,4)),UNSPSCCode,0)),IF(INDIRECT(ADDRESS(ROW(),COLUMN()-1,4))="47121701","Bolsas de basura",""))</f>
        <v>Bolsas de basura</v>
      </c>
      <c r="C347" s="58" t="str">
        <f>IFERROR(VLOOKUP("PAQ",'Informacion '!P:Q,2,FALSE),"")</f>
        <v>Paquete</v>
      </c>
      <c r="D347" s="25">
        <v>100</v>
      </c>
      <c r="E347" s="28">
        <v>177</v>
      </c>
      <c r="F347" s="27">
        <f t="shared" ca="1" si="11"/>
        <v>17700</v>
      </c>
    </row>
    <row r="348" spans="1:6" ht="14.25" customHeight="1" x14ac:dyDescent="0.25">
      <c r="A348" s="25" t="s">
        <v>730</v>
      </c>
      <c r="B348" s="26" t="str">
        <f ca="1">IFERROR(INDEX(UNSPSCDes,MATCH(INDIRECT(ADDRESS(ROW(),COLUMN()-1,4)),UNSPSCCode,0)),IF(INDIRECT(ADDRESS(ROW(),COLUMN()-1,4))="47121701","Bolsas de basura",""))</f>
        <v>Bolsas de basura</v>
      </c>
      <c r="C348" s="58" t="str">
        <f>IFERROR(VLOOKUP("PAQ",'Informacion '!P:Q,2,FALSE),"")</f>
        <v>Paquete</v>
      </c>
      <c r="D348" s="25">
        <v>100</v>
      </c>
      <c r="E348" s="28">
        <v>289.10000000000002</v>
      </c>
      <c r="F348" s="27">
        <f t="shared" ca="1" si="11"/>
        <v>28910.000000000004</v>
      </c>
    </row>
    <row r="349" spans="1:6" ht="14.25" customHeight="1" x14ac:dyDescent="0.25">
      <c r="A349" s="25" t="s">
        <v>730</v>
      </c>
      <c r="B349" s="26" t="str">
        <f ca="1">IFERROR(INDEX(UNSPSCDes,MATCH(INDIRECT(ADDRESS(ROW(),COLUMN()-1,4)),UNSPSCCode,0)),IF(INDIRECT(ADDRESS(ROW(),COLUMN()-1,4))="47121701","Bolsas de basura",""))</f>
        <v>Bolsas de basura</v>
      </c>
      <c r="C349" s="58" t="str">
        <f>IFERROR(VLOOKUP("PAQ",'Informacion '!P:Q,2,FALSE),"")</f>
        <v>Paquete</v>
      </c>
      <c r="D349" s="25">
        <v>100</v>
      </c>
      <c r="E349" s="28">
        <v>443.68</v>
      </c>
      <c r="F349" s="27">
        <f t="shared" ca="1" si="11"/>
        <v>44368</v>
      </c>
    </row>
    <row r="350" spans="1:6" ht="14.25" customHeight="1" x14ac:dyDescent="0.25">
      <c r="A350" s="25" t="s">
        <v>58</v>
      </c>
      <c r="B350" s="26" t="str">
        <f ca="1">IFERROR(INDEX(UNSPSCDes,MATCH(INDIRECT(ADDRESS(ROW(),COLUMN()-1,4)),UNSPSCCode,0)),IF(INDIRECT(ADDRESS(ROW(),COLUMN()-1,4))="46181504","Guantes de protección",""))</f>
        <v>Guantes de protección</v>
      </c>
      <c r="C350" s="58" t="str">
        <f>IFERROR(VLOOKUP("UD",'Informacion '!P:Q,2,FALSE),"")</f>
        <v>Unidad</v>
      </c>
      <c r="D350" s="25">
        <v>50</v>
      </c>
      <c r="E350" s="28">
        <v>106.2</v>
      </c>
      <c r="F350" s="27">
        <f t="shared" ca="1" si="11"/>
        <v>5310</v>
      </c>
    </row>
    <row r="351" spans="1:6" ht="14.25" customHeight="1" x14ac:dyDescent="0.25">
      <c r="A351" s="25" t="s">
        <v>58</v>
      </c>
      <c r="B351" s="26" t="str">
        <f ca="1">IFERROR(INDEX(UNSPSCDes,MATCH(INDIRECT(ADDRESS(ROW(),COLUMN()-1,4)),UNSPSCCode,0)),IF(INDIRECT(ADDRESS(ROW(),COLUMN()-1,4))="46181504","Guantes de protección",""))</f>
        <v>Guantes de protección</v>
      </c>
      <c r="C351" s="58" t="str">
        <f>IFERROR(VLOOKUP("UD",'Informacion '!P:Q,2,FALSE),"")</f>
        <v>Unidad</v>
      </c>
      <c r="D351" s="25">
        <v>50</v>
      </c>
      <c r="E351" s="28">
        <v>106.2</v>
      </c>
      <c r="F351" s="27">
        <f t="shared" ca="1" si="11"/>
        <v>5310</v>
      </c>
    </row>
    <row r="352" spans="1:6" ht="14.25" customHeight="1" x14ac:dyDescent="0.25">
      <c r="A352" s="25" t="s">
        <v>753</v>
      </c>
      <c r="B352" s="26" t="str">
        <f ca="1">IFERROR(INDEX(UNSPSCDes,MATCH(INDIRECT(ADDRESS(ROW(),COLUMN()-1,4)),UNSPSCCode,0)),IF(INDIRECT(ADDRESS(ROW(),COLUMN()-1,4))="47131810","Productos para el lavaplatos",""))</f>
        <v>Productos para el lavaplatos</v>
      </c>
      <c r="C352" s="58" t="str">
        <f>IFERROR(VLOOKUP("GAL",'Informacion '!P:Q,2,FALSE),"")</f>
        <v>Galón</v>
      </c>
      <c r="D352" s="25">
        <v>150</v>
      </c>
      <c r="E352" s="28">
        <v>212.4</v>
      </c>
      <c r="F352" s="27">
        <f t="shared" ca="1" si="11"/>
        <v>31860</v>
      </c>
    </row>
    <row r="353" spans="1:6" ht="14.25" customHeight="1" x14ac:dyDescent="0.25">
      <c r="A353" s="25" t="s">
        <v>79</v>
      </c>
      <c r="B353" s="26" t="str">
        <f ca="1">IFERROR(INDEX(UNSPSCDes,MATCH(INDIRECT(ADDRESS(ROW(),COLUMN()-1,4)),UNSPSCCode,0)),IF(INDIRECT(ADDRESS(ROW(),COLUMN()-1,4))="53131608","Jabones",""))</f>
        <v>Jabones</v>
      </c>
      <c r="C353" s="58" t="str">
        <f>IFERROR(VLOOKUP("GAL",'Informacion '!P:Q,2,FALSE),"")</f>
        <v>Galón</v>
      </c>
      <c r="D353" s="25">
        <v>100</v>
      </c>
      <c r="E353" s="28">
        <v>112.4</v>
      </c>
      <c r="F353" s="27">
        <f t="shared" ca="1" si="11"/>
        <v>11240</v>
      </c>
    </row>
    <row r="354" spans="1:6" ht="14.25" customHeight="1" x14ac:dyDescent="0.25">
      <c r="A354" s="25" t="s">
        <v>425</v>
      </c>
      <c r="B354" s="26" t="str">
        <f ca="1">IFERROR(INDEX(UNSPSCDes,MATCH(INDIRECT(ADDRESS(ROW(),COLUMN()-1,4)),UNSPSCCode,0)),IF(INDIRECT(ADDRESS(ROW(),COLUMN()-1,4))="47131502","Pañitos o toallas para limpiar",""))</f>
        <v>Pañitos o toallas para limpiar</v>
      </c>
      <c r="C354" s="58" t="str">
        <f>IFERROR(VLOOKUP("PAQ",'Informacion '!P:Q,2,FALSE),"")</f>
        <v>Paquete</v>
      </c>
      <c r="D354" s="25">
        <v>50</v>
      </c>
      <c r="E354" s="28">
        <v>1132.8</v>
      </c>
      <c r="F354" s="27">
        <f t="shared" ca="1" si="11"/>
        <v>56640</v>
      </c>
    </row>
    <row r="355" spans="1:6" ht="14.25" customHeight="1" x14ac:dyDescent="0.25">
      <c r="A355" s="25" t="s">
        <v>367</v>
      </c>
      <c r="B355" s="26" t="str">
        <f ca="1">IFERROR(INDEX(UNSPSCDes,MATCH(INDIRECT(ADDRESS(ROW(),COLUMN()-1,4)),UNSPSCCode,0)),IF(INDIRECT(ADDRESS(ROW(),COLUMN()-1,4))="47131801","Limpiadores de pisos",""))</f>
        <v>Limpiadores de pisos</v>
      </c>
      <c r="C355" s="58" t="str">
        <f>IFERROR(VLOOKUP("GAL",'Informacion '!P:Q,2,FALSE),"")</f>
        <v>Galón</v>
      </c>
      <c r="D355" s="25">
        <v>50</v>
      </c>
      <c r="E355" s="28">
        <v>247.8</v>
      </c>
      <c r="F355" s="27">
        <f t="shared" ca="1" si="11"/>
        <v>12390</v>
      </c>
    </row>
    <row r="356" spans="1:6" ht="14.25" customHeight="1" x14ac:dyDescent="0.25">
      <c r="A356" s="25" t="s">
        <v>393</v>
      </c>
      <c r="B356" s="26" t="str">
        <f ca="1">IFERROR(INDEX(UNSPSCDes,MATCH(INDIRECT(ADDRESS(ROW(),COLUMN()-1,4)),UNSPSCCode,0)),IF(INDIRECT(ADDRESS(ROW(),COLUMN()-1,4))="47131806","Pulidores o ceras para muebles",""))</f>
        <v>Pulidores o ceras para muebles</v>
      </c>
      <c r="C356" s="58" t="str">
        <f>IFERROR(VLOOKUP("L",'Informacion '!P:Q,2,FALSE),"")</f>
        <v>Litro</v>
      </c>
      <c r="D356" s="25">
        <v>25</v>
      </c>
      <c r="E356" s="28">
        <v>354</v>
      </c>
      <c r="F356" s="27">
        <f t="shared" ca="1" si="11"/>
        <v>8850</v>
      </c>
    </row>
    <row r="357" spans="1:6" ht="14.25" customHeight="1" x14ac:dyDescent="0.25">
      <c r="A357" s="25" t="s">
        <v>939</v>
      </c>
      <c r="B357" s="26" t="str">
        <f ca="1">IFERROR(INDEX(UNSPSCDes,MATCH(INDIRECT(ADDRESS(ROW(),COLUMN()-1,4)),UNSPSCCode,0)),IF(INDIRECT(ADDRESS(ROW(),COLUMN()-1,4))="44102912","Soluciones limpiadoras para equipos de oficina",""))</f>
        <v>Soluciones limpiadoras para equipos de oficina</v>
      </c>
      <c r="C357" s="58" t="str">
        <f>IFERROR(VLOOKUP("UD",'Informacion '!P:Q,2,FALSE),"")</f>
        <v>Unidad</v>
      </c>
      <c r="D357" s="25">
        <v>25</v>
      </c>
      <c r="E357" s="28">
        <v>649</v>
      </c>
      <c r="F357" s="27">
        <f t="shared" ca="1" si="11"/>
        <v>16225</v>
      </c>
    </row>
    <row r="358" spans="1:6" ht="14.25" customHeight="1" x14ac:dyDescent="0.25">
      <c r="A358" s="25" t="s">
        <v>777</v>
      </c>
      <c r="B358" s="26" t="str">
        <f ca="1">IFERROR(INDEX(UNSPSCDes,MATCH(INDIRECT(ADDRESS(ROW(),COLUMN()-1,4)),UNSPSCCode,0)),IF(INDIRECT(ADDRESS(ROW(),COLUMN()-1,4))="47131618","Traperos húmedos",""))</f>
        <v>Traperos húmedos</v>
      </c>
      <c r="C358" s="58" t="str">
        <f>IFERROR(VLOOKUP("UD",'Informacion '!P:Q,2,FALSE),"")</f>
        <v>Unidad</v>
      </c>
      <c r="D358" s="25">
        <v>75</v>
      </c>
      <c r="E358" s="28">
        <v>194.7</v>
      </c>
      <c r="F358" s="27">
        <f t="shared" ca="1" si="11"/>
        <v>14602.5</v>
      </c>
    </row>
    <row r="359" spans="1:6" ht="14.25" customHeight="1" x14ac:dyDescent="0.25">
      <c r="A359" s="25" t="s">
        <v>982</v>
      </c>
      <c r="B359" s="26" t="str">
        <f ca="1">IFERROR(INDEX(UNSPSCDes,MATCH(INDIRECT(ADDRESS(ROW(),COLUMN()-1,4)),UNSPSCCode,0)),IF(INDIRECT(ADDRESS(ROW(),COLUMN()-1,4))="12352104","Alcoholes o sus sustitutos",""))</f>
        <v>Alcoholes o sus sustitutos</v>
      </c>
      <c r="C359" s="58" t="str">
        <f>IFERROR(VLOOKUP("GAL",'Informacion '!P:Q,2,FALSE),"")</f>
        <v>Galón</v>
      </c>
      <c r="D359" s="25">
        <v>50</v>
      </c>
      <c r="E359" s="28">
        <v>625.4</v>
      </c>
      <c r="F359" s="27">
        <f t="shared" ca="1" si="11"/>
        <v>31270</v>
      </c>
    </row>
    <row r="360" spans="1:6" ht="14.25" customHeight="1" x14ac:dyDescent="0.25">
      <c r="A360" s="25" t="s">
        <v>982</v>
      </c>
      <c r="B360" s="26" t="str">
        <f ca="1">IFERROR(INDEX(UNSPSCDes,MATCH(INDIRECT(ADDRESS(ROW(),COLUMN()-1,4)),UNSPSCCode,0)),IF(INDIRECT(ADDRESS(ROW(),COLUMN()-1,4))="12352104","Alcoholes o sus sustitutos",""))</f>
        <v>Alcoholes o sus sustitutos</v>
      </c>
      <c r="C360" s="58" t="str">
        <f>IFERROR(VLOOKUP("GAL",'Informacion '!P:Q,2,FALSE),"")</f>
        <v>Galón</v>
      </c>
      <c r="D360" s="25">
        <v>50</v>
      </c>
      <c r="E360" s="28">
        <v>767</v>
      </c>
      <c r="F360" s="27">
        <f t="shared" ca="1" si="11"/>
        <v>38350</v>
      </c>
    </row>
    <row r="361" spans="1:6" ht="14.25" customHeight="1" x14ac:dyDescent="0.25">
      <c r="A361" s="25" t="s">
        <v>167</v>
      </c>
      <c r="B361" s="26" t="str">
        <f ca="1">IFERROR(INDEX(UNSPSCDes,MATCH(INDIRECT(ADDRESS(ROW(),COLUMN()-1,4)),UNSPSCCode,0)),IF(INDIRECT(ADDRESS(ROW(),COLUMN()-1,4))="40141742","Atomizadores",""))</f>
        <v>Atomizadores</v>
      </c>
      <c r="C361" s="58" t="str">
        <f>IFERROR(VLOOKUP("UD",'Informacion '!P:Q,2,FALSE),"")</f>
        <v>Unidad</v>
      </c>
      <c r="D361" s="25">
        <v>50</v>
      </c>
      <c r="E361" s="28">
        <v>88.5</v>
      </c>
      <c r="F361" s="27">
        <f t="shared" ca="1" si="11"/>
        <v>4425</v>
      </c>
    </row>
    <row r="362" spans="1:6" ht="14.25" customHeight="1" x14ac:dyDescent="0.25">
      <c r="A362" s="25" t="s">
        <v>138</v>
      </c>
      <c r="B362" s="26" t="str">
        <f ca="1">IFERROR(INDEX(UNSPSCDes,MATCH(INDIRECT(ADDRESS(ROW(),COLUMN()-1,4)),UNSPSCCode,0)),IF(INDIRECT(ADDRESS(ROW(),COLUMN()-1,4))="47131605","Cepillos de limpieza",""))</f>
        <v>Cepillos de limpieza</v>
      </c>
      <c r="C362" s="58" t="str">
        <f>IFERROR(VLOOKUP("UD",'Informacion '!P:Q,2,FALSE),"")</f>
        <v>Unidad</v>
      </c>
      <c r="D362" s="25">
        <v>25</v>
      </c>
      <c r="E362" s="28">
        <v>70.8</v>
      </c>
      <c r="F362" s="27">
        <f t="shared" ca="1" si="11"/>
        <v>1770</v>
      </c>
    </row>
    <row r="363" spans="1:6" ht="14.25" customHeight="1" x14ac:dyDescent="0.25">
      <c r="A363" s="25" t="s">
        <v>275</v>
      </c>
      <c r="B363" s="26" t="str">
        <f ca="1">IFERROR(INDEX(UNSPSCDes,MATCH(INDIRECT(ADDRESS(ROW(),COLUMN()-1,4)),UNSPSCCode,0)),IF(INDIRECT(ADDRESS(ROW(),COLUMN()-1,4))="47131604","Escobas",""))</f>
        <v>Escobas</v>
      </c>
      <c r="C363" s="58" t="str">
        <f>IFERROR(VLOOKUP("UD",'Informacion '!P:Q,2,FALSE),"")</f>
        <v>Unidad</v>
      </c>
      <c r="D363" s="25">
        <v>75</v>
      </c>
      <c r="E363" s="28">
        <v>100.3</v>
      </c>
      <c r="F363" s="27">
        <f t="shared" ca="1" si="11"/>
        <v>7522.5</v>
      </c>
    </row>
    <row r="364" spans="1:6" ht="14.25" customHeight="1" x14ac:dyDescent="0.25">
      <c r="A364" s="25" t="s">
        <v>275</v>
      </c>
      <c r="B364" s="26" t="str">
        <f ca="1">IFERROR(INDEX(UNSPSCDes,MATCH(INDIRECT(ADDRESS(ROW(),COLUMN()-1,4)),UNSPSCCode,0)),IF(INDIRECT(ADDRESS(ROW(),COLUMN()-1,4))="47131604","Escobas",""))</f>
        <v>Escobas</v>
      </c>
      <c r="C364" s="58" t="str">
        <f>IFERROR(VLOOKUP("UD",'Informacion '!P:Q,2,FALSE),"")</f>
        <v>Unidad</v>
      </c>
      <c r="D364" s="25">
        <v>75</v>
      </c>
      <c r="E364" s="28">
        <v>265.5</v>
      </c>
      <c r="F364" s="27">
        <f t="shared" ca="1" si="11"/>
        <v>19912.5</v>
      </c>
    </row>
    <row r="365" spans="1:6" ht="14.25" customHeight="1" x14ac:dyDescent="0.25">
      <c r="A365" s="25" t="s">
        <v>693</v>
      </c>
      <c r="B365" s="26" t="str">
        <f ca="1">IFERROR(INDEX(UNSPSCDes,MATCH(INDIRECT(ADDRESS(ROW(),COLUMN()-1,4)),UNSPSCCode,0)),IF(INDIRECT(ADDRESS(ROW(),COLUMN()-1,4))="47131702","Dispensadores de productos sanitarios",""))</f>
        <v>Dispensadores de productos sanitarios</v>
      </c>
      <c r="C365" s="58" t="str">
        <f>IFERROR(VLOOKUP("UD",'Informacion '!P:Q,2,FALSE),"")</f>
        <v>Unidad</v>
      </c>
      <c r="D365" s="25">
        <v>100</v>
      </c>
      <c r="E365" s="28">
        <v>600</v>
      </c>
      <c r="F365" s="27">
        <f t="shared" ca="1" si="11"/>
        <v>60000</v>
      </c>
    </row>
    <row r="366" spans="1:6" ht="14.25" customHeight="1" x14ac:dyDescent="0.25">
      <c r="A366" s="25" t="s">
        <v>392</v>
      </c>
      <c r="B366" s="26" t="str">
        <f ca="1">IFERROR(INDEX(UNSPSCDes,MATCH(INDIRECT(ADDRESS(ROW(),COLUMN()-1,4)),UNSPSCCode,0)),IF(INDIRECT(ADDRESS(ROW(),COLUMN()-1,4))="47131603","Esponjas",""))</f>
        <v>Esponjas</v>
      </c>
      <c r="C366" s="58" t="str">
        <f>IFERROR(VLOOKUP("UD",'Informacion '!P:Q,2,FALSE),"")</f>
        <v>Unidad</v>
      </c>
      <c r="D366" s="25">
        <v>50</v>
      </c>
      <c r="E366" s="28">
        <v>59</v>
      </c>
      <c r="F366" s="27">
        <f t="shared" ca="1" si="11"/>
        <v>2950</v>
      </c>
    </row>
    <row r="367" spans="1:6" ht="14.25" customHeight="1" x14ac:dyDescent="0.25">
      <c r="A367" s="25" t="s">
        <v>58</v>
      </c>
      <c r="B367" s="26" t="str">
        <f ca="1">IFERROR(INDEX(UNSPSCDes,MATCH(INDIRECT(ADDRESS(ROW(),COLUMN()-1,4)),UNSPSCCode,0)),IF(INDIRECT(ADDRESS(ROW(),COLUMN()-1,4))="46181504","Guantes de protección",""))</f>
        <v>Guantes de protección</v>
      </c>
      <c r="C367" s="58" t="str">
        <f>IFERROR(VLOOKUP("CAJ",'Informacion '!P:Q,2,FALSE),"")</f>
        <v>Caja</v>
      </c>
      <c r="D367" s="25">
        <v>5</v>
      </c>
      <c r="E367" s="28">
        <v>885</v>
      </c>
      <c r="F367" s="27">
        <f t="shared" ca="1" si="11"/>
        <v>4425</v>
      </c>
    </row>
    <row r="368" spans="1:6" ht="14.25" customHeight="1" x14ac:dyDescent="0.25">
      <c r="A368" s="25" t="s">
        <v>58</v>
      </c>
      <c r="B368" s="26" t="str">
        <f ca="1">IFERROR(INDEX(UNSPSCDes,MATCH(INDIRECT(ADDRESS(ROW(),COLUMN()-1,4)),UNSPSCCode,0)),IF(INDIRECT(ADDRESS(ROW(),COLUMN()-1,4))="46181504","Guantes de protección",""))</f>
        <v>Guantes de protección</v>
      </c>
      <c r="C368" s="58" t="str">
        <f>IFERROR(VLOOKUP("CAJ",'Informacion '!P:Q,2,FALSE),"")</f>
        <v>Caja</v>
      </c>
      <c r="D368" s="25">
        <v>5</v>
      </c>
      <c r="E368" s="28">
        <v>885</v>
      </c>
      <c r="F368" s="27">
        <f t="shared" ca="1" si="11"/>
        <v>4425</v>
      </c>
    </row>
    <row r="369" spans="1:10" ht="14.25" customHeight="1" x14ac:dyDescent="0.25">
      <c r="A369" s="25" t="s">
        <v>668</v>
      </c>
      <c r="B369" s="26" t="str">
        <f ca="1">IFERROR(INDEX(UNSPSCDes,MATCH(INDIRECT(ADDRESS(ROW(),COLUMN()-1,4)),UNSPSCCode,0)),IF(INDIRECT(ADDRESS(ROW(),COLUMN()-1,4))="47121702","Contenedores de desperdicios o revestimientos rígidos",""))</f>
        <v>Contenedores de desperdicios o revestimientos rígidos</v>
      </c>
      <c r="C369" s="58" t="str">
        <f>IFERROR(VLOOKUP("UD",'Informacion '!P:Q,2,FALSE),"")</f>
        <v>Unidad</v>
      </c>
      <c r="D369" s="25">
        <v>12</v>
      </c>
      <c r="E369" s="28">
        <v>1995</v>
      </c>
      <c r="F369" s="27">
        <f t="shared" ca="1" si="11"/>
        <v>23940</v>
      </c>
    </row>
    <row r="370" spans="1:10" ht="14.25" customHeight="1" x14ac:dyDescent="0.25">
      <c r="A370" s="25" t="s">
        <v>717</v>
      </c>
      <c r="B370" s="26" t="str">
        <f ca="1">IFERROR(INDEX(UNSPSCDes,MATCH(INDIRECT(ADDRESS(ROW(),COLUMN()-1,4)),UNSPSCCode,0)),IF(INDIRECT(ADDRESS(ROW(),COLUMN()-1,4))="47131704","Dispensadores institucionales de jabón o loción",""))</f>
        <v>Dispensadores institucionales de jabón o loción</v>
      </c>
      <c r="C370" s="58" t="str">
        <f>IFERROR(VLOOKUP("UD",'Informacion '!P:Q,2,FALSE),"")</f>
        <v>Unidad</v>
      </c>
      <c r="D370" s="25">
        <v>100</v>
      </c>
      <c r="E370" s="28">
        <v>50</v>
      </c>
      <c r="F370" s="27">
        <f t="shared" ca="1" si="11"/>
        <v>5000</v>
      </c>
    </row>
    <row r="371" spans="1:10" ht="14.25" customHeight="1" x14ac:dyDescent="0.25">
      <c r="A371" s="25" t="s">
        <v>1049</v>
      </c>
      <c r="B371" s="26" t="str">
        <f ca="1">IFERROR(INDEX(UNSPSCDes,MATCH(INDIRECT(ADDRESS(ROW(),COLUMN()-1,4)),UNSPSCCode,0)),IF(INDIRECT(ADDRESS(ROW(),COLUMN()-1,4))="47131706","Dispensadores de ambientadores",""))</f>
        <v>Dispensadores de ambientadores</v>
      </c>
      <c r="C371" s="58" t="str">
        <f>IFERROR(VLOOKUP("UD",'Informacion '!P:Q,2,FALSE),"")</f>
        <v>Unidad</v>
      </c>
      <c r="D371" s="25">
        <v>150</v>
      </c>
      <c r="E371" s="28">
        <v>295</v>
      </c>
      <c r="F371" s="27">
        <f t="shared" ca="1" si="11"/>
        <v>44250</v>
      </c>
    </row>
    <row r="372" spans="1:10" ht="14.25" customHeight="1" x14ac:dyDescent="0.25">
      <c r="A372" s="25" t="s">
        <v>1088</v>
      </c>
      <c r="B372" s="26" t="str">
        <f ca="1">IFERROR(INDEX(UNSPSCDes,MATCH(INDIRECT(ADDRESS(ROW(),COLUMN()-1,4)),UNSPSCCode,0)),IF(INDIRECT(ADDRESS(ROW(),COLUMN()-1,4))="47131708","Dispensador de papel de seda del cuarto de baño",""))</f>
        <v>Dispensador de papel de seda del cuarto de baño</v>
      </c>
      <c r="C372" s="58" t="str">
        <f>IFERROR(VLOOKUP("UD",'Informacion '!P:Q,2,FALSE),"")</f>
        <v>Unidad</v>
      </c>
      <c r="D372" s="25">
        <v>100</v>
      </c>
      <c r="E372" s="28">
        <v>675</v>
      </c>
      <c r="F372" s="27">
        <f t="shared" ca="1" si="11"/>
        <v>67500</v>
      </c>
    </row>
    <row r="373" spans="1:10" ht="14.25" customHeight="1" x14ac:dyDescent="0.25">
      <c r="A373" s="25" t="s">
        <v>1088</v>
      </c>
      <c r="B373" s="26" t="str">
        <f ca="1">IFERROR(INDEX(UNSPSCDes,MATCH(INDIRECT(ADDRESS(ROW(),COLUMN()-1,4)),UNSPSCCode,0)),IF(INDIRECT(ADDRESS(ROW(),COLUMN()-1,4))="47131708","Dispensador de papel de seda del cuarto de baño",""))</f>
        <v>Dispensador de papel de seda del cuarto de baño</v>
      </c>
      <c r="C373" s="58" t="str">
        <f>IFERROR(VLOOKUP("UD",'Informacion '!P:Q,2,FALSE),"")</f>
        <v>Unidad</v>
      </c>
      <c r="D373" s="25">
        <v>50</v>
      </c>
      <c r="E373" s="28">
        <v>400</v>
      </c>
      <c r="F373" s="27">
        <f t="shared" ca="1" si="11"/>
        <v>20000</v>
      </c>
    </row>
    <row r="374" spans="1:10" ht="14.25" customHeight="1" x14ac:dyDescent="0.25">
      <c r="E374" s="30" t="s">
        <v>816</v>
      </c>
      <c r="F374" s="31">
        <f ca="1">SUM(Table20[MONTO TOTAL ESTIMADO])</f>
        <v>952193</v>
      </c>
      <c r="H374" s="21" t="str">
        <f>C322</f>
        <v>Bienes</v>
      </c>
      <c r="I374" s="21" t="str">
        <f>E322</f>
        <v>Sí</v>
      </c>
      <c r="J374" s="21" t="str">
        <f>D322</f>
        <v>Compras Menores</v>
      </c>
    </row>
    <row r="376" spans="1:10" ht="33.950000000000003" customHeight="1" x14ac:dyDescent="0.25">
      <c r="A376" s="22" t="s">
        <v>1051</v>
      </c>
      <c r="B376" s="22" t="s">
        <v>11</v>
      </c>
      <c r="C376" s="22" t="s">
        <v>751</v>
      </c>
      <c r="D376" s="22" t="s">
        <v>930</v>
      </c>
      <c r="E376" s="22" t="s">
        <v>699</v>
      </c>
      <c r="F376" s="22" t="s">
        <v>710</v>
      </c>
    </row>
    <row r="377" spans="1:10" ht="14.25" customHeight="1" x14ac:dyDescent="0.25">
      <c r="A377" s="23" t="s">
        <v>228</v>
      </c>
      <c r="B377" s="23" t="s">
        <v>228</v>
      </c>
      <c r="C377" s="23" t="s">
        <v>1155</v>
      </c>
      <c r="D377" s="23" t="s">
        <v>1128</v>
      </c>
      <c r="E377" s="23" t="s">
        <v>561</v>
      </c>
      <c r="F377" s="23" t="s">
        <v>436</v>
      </c>
    </row>
    <row r="378" spans="1:10" ht="14.25" customHeight="1" x14ac:dyDescent="0.25">
      <c r="A378" s="68" t="s">
        <v>965</v>
      </c>
      <c r="B378" s="24" t="s">
        <v>543</v>
      </c>
      <c r="C378" s="54">
        <v>46172</v>
      </c>
      <c r="D378" s="68" t="s">
        <v>598</v>
      </c>
      <c r="E378" s="56" t="s">
        <v>858</v>
      </c>
      <c r="F378" s="57" t="s">
        <v>184</v>
      </c>
    </row>
    <row r="379" spans="1:10" ht="14.25" customHeight="1" x14ac:dyDescent="0.25">
      <c r="A379" s="69"/>
      <c r="B379" s="24" t="s">
        <v>112</v>
      </c>
      <c r="C379" s="55">
        <f>IF(C378="","",IF(AND(MONTH(C378)&gt;=1,MONTH(C378)&lt;=3),1,IF(AND(MONTH(C378)&gt;=4,MONTH(C378)&lt;=6),2,IF(AND(MONTH(C378)&gt;=7,MONTH(C378)&lt;=9),3,4))))</f>
        <v>2</v>
      </c>
      <c r="D379" s="69"/>
      <c r="E379" s="56" t="s">
        <v>143</v>
      </c>
      <c r="F379" s="57"/>
    </row>
    <row r="380" spans="1:10" ht="14.25" customHeight="1" x14ac:dyDescent="0.25">
      <c r="A380" s="69"/>
      <c r="B380" s="24" t="s">
        <v>844</v>
      </c>
      <c r="C380" s="54">
        <v>46233</v>
      </c>
      <c r="D380" s="69"/>
      <c r="E380" s="56" t="s">
        <v>183</v>
      </c>
      <c r="F380" s="57"/>
    </row>
    <row r="381" spans="1:10" ht="14.25" customHeight="1" x14ac:dyDescent="0.25">
      <c r="A381" s="69"/>
      <c r="B381" s="24" t="s">
        <v>112</v>
      </c>
      <c r="C381" s="55">
        <f>IF(C380="","",IF(AND(MONTH(C380)&gt;=1,MONTH(C380)&lt;=3),1,IF(AND(MONTH(C380)&gt;=4,MONTH(C380)&lt;=6),2,IF(AND(MONTH(C380)&gt;=7,MONTH(C380)&lt;=9),3,4))))</f>
        <v>3</v>
      </c>
      <c r="D381" s="69"/>
      <c r="E381" s="56" t="s">
        <v>865</v>
      </c>
      <c r="F381" s="57"/>
    </row>
    <row r="383" spans="1:10" ht="14.25" customHeight="1" x14ac:dyDescent="0.25">
      <c r="A383" s="29" t="s">
        <v>1017</v>
      </c>
      <c r="B383" s="29" t="s">
        <v>1042</v>
      </c>
      <c r="C383" s="29" t="s">
        <v>1011</v>
      </c>
      <c r="D383" s="29" t="s">
        <v>985</v>
      </c>
      <c r="E383" s="29" t="s">
        <v>449</v>
      </c>
      <c r="F383" s="29" t="s">
        <v>989</v>
      </c>
    </row>
    <row r="384" spans="1:10" ht="14.25" customHeight="1" x14ac:dyDescent="0.25">
      <c r="A384" s="25" t="s">
        <v>872</v>
      </c>
      <c r="B384" s="26" t="str">
        <f ca="1">IFERROR(INDEX(UNSPSCDes,MATCH(INDIRECT(ADDRESS(ROW(),COLUMN()-1,4)),UNSPSCCode,0)),IF(INDIRECT(ADDRESS(ROW(),COLUMN()-1,4))="14111537","Etiquetas de papel",""))</f>
        <v>Etiquetas de papel</v>
      </c>
      <c r="C384" s="58" t="str">
        <f>IFERROR(VLOOKUP("CAJ",'Informacion '!P:Q,2,FALSE),"")</f>
        <v>Caja</v>
      </c>
      <c r="D384" s="25">
        <v>50</v>
      </c>
      <c r="E384" s="28">
        <v>64.900000000000006</v>
      </c>
      <c r="F384" s="27">
        <f t="shared" ref="F384:F393" ca="1" si="12">INDIRECT(ADDRESS(ROW(),COLUMN()-2,4))*INDIRECT(ADDRESS(ROW(),COLUMN()-1,4))</f>
        <v>3245.0000000000005</v>
      </c>
    </row>
    <row r="385" spans="1:10" ht="14.25" customHeight="1" x14ac:dyDescent="0.25">
      <c r="A385" s="25" t="s">
        <v>284</v>
      </c>
      <c r="B385" s="26" t="str">
        <f ca="1">IFERROR(INDEX(UNSPSCDes,MATCH(INDIRECT(ADDRESS(ROW(),COLUMN()-1,4)),UNSPSCCode,0)),IF(INDIRECT(ADDRESS(ROW(),COLUMN()-1,4))="14111514","Blocs o cuadernos de papel",""))</f>
        <v>Blocs o cuadernos de papel</v>
      </c>
      <c r="C385" s="58" t="str">
        <f>IFERROR(VLOOKUP("UD",'Informacion '!P:Q,2,FALSE),"")</f>
        <v>Unidad</v>
      </c>
      <c r="D385" s="25">
        <v>200</v>
      </c>
      <c r="E385" s="28">
        <v>53.1</v>
      </c>
      <c r="F385" s="27">
        <f t="shared" ca="1" si="12"/>
        <v>10620</v>
      </c>
    </row>
    <row r="386" spans="1:10" ht="14.25" customHeight="1" x14ac:dyDescent="0.25">
      <c r="A386" s="25" t="s">
        <v>284</v>
      </c>
      <c r="B386" s="26" t="str">
        <f ca="1">IFERROR(INDEX(UNSPSCDes,MATCH(INDIRECT(ADDRESS(ROW(),COLUMN()-1,4)),UNSPSCCode,0)),IF(INDIRECT(ADDRESS(ROW(),COLUMN()-1,4))="14111514","Blocs o cuadernos de papel",""))</f>
        <v>Blocs o cuadernos de papel</v>
      </c>
      <c r="C386" s="58" t="str">
        <f>IFERROR(VLOOKUP("UD",'Informacion '!P:Q,2,FALSE),"")</f>
        <v>Unidad</v>
      </c>
      <c r="D386" s="25">
        <v>200</v>
      </c>
      <c r="E386" s="28">
        <v>75.52</v>
      </c>
      <c r="F386" s="27">
        <f t="shared" ca="1" si="12"/>
        <v>15104</v>
      </c>
    </row>
    <row r="387" spans="1:10" ht="14.25" customHeight="1" x14ac:dyDescent="0.25">
      <c r="A387" s="25" t="s">
        <v>883</v>
      </c>
      <c r="B387" s="26" t="str">
        <f ca="1">IFERROR(INDEX(UNSPSCDes,MATCH(INDIRECT(ADDRESS(ROW(),COLUMN()-1,4)),UNSPSCCode,0)),IF(INDIRECT(ADDRESS(ROW(),COLUMN()-1,4))="14111530","Papel de notas autoadhesivas",""))</f>
        <v>Papel de notas autoadhesivas</v>
      </c>
      <c r="C387" s="58" t="str">
        <f>IFERROR(VLOOKUP("UD",'Informacion '!P:Q,2,FALSE),"")</f>
        <v>Unidad</v>
      </c>
      <c r="D387" s="25">
        <v>600</v>
      </c>
      <c r="E387" s="28">
        <v>41.3</v>
      </c>
      <c r="F387" s="27">
        <f t="shared" ca="1" si="12"/>
        <v>24780</v>
      </c>
    </row>
    <row r="388" spans="1:10" ht="14.25" customHeight="1" x14ac:dyDescent="0.25">
      <c r="A388" s="25" t="s">
        <v>883</v>
      </c>
      <c r="B388" s="26" t="str">
        <f ca="1">IFERROR(INDEX(UNSPSCDes,MATCH(INDIRECT(ADDRESS(ROW(),COLUMN()-1,4)),UNSPSCCode,0)),IF(INDIRECT(ADDRESS(ROW(),COLUMN()-1,4))="14111530","Papel de notas autoadhesivas",""))</f>
        <v>Papel de notas autoadhesivas</v>
      </c>
      <c r="C388" s="58" t="str">
        <f>IFERROR(VLOOKUP("UD",'Informacion '!P:Q,2,FALSE),"")</f>
        <v>Unidad</v>
      </c>
      <c r="D388" s="25">
        <v>600</v>
      </c>
      <c r="E388" s="28">
        <v>60.18</v>
      </c>
      <c r="F388" s="27">
        <f t="shared" ca="1" si="12"/>
        <v>36108</v>
      </c>
    </row>
    <row r="389" spans="1:10" ht="14.25" customHeight="1" x14ac:dyDescent="0.25">
      <c r="A389" s="25" t="s">
        <v>877</v>
      </c>
      <c r="B389" s="26" t="str">
        <f ca="1">IFERROR(INDEX(UNSPSCDes,MATCH(INDIRECT(ADDRESS(ROW(),COLUMN()-1,4)),UNSPSCCode,0)),IF(INDIRECT(ADDRESS(ROW(),COLUMN()-1,4))="14111507","Papel para impresora o fotocopiadora",""))</f>
        <v>Papel para impresora o fotocopiadora</v>
      </c>
      <c r="C389" s="58" t="str">
        <f>IFERROR(VLOOKUP("RESMA",'Informacion '!P:Q,2,FALSE),"")</f>
        <v>Resma</v>
      </c>
      <c r="D389" s="25">
        <v>2750</v>
      </c>
      <c r="E389" s="28">
        <v>341.02</v>
      </c>
      <c r="F389" s="27">
        <f t="shared" ca="1" si="12"/>
        <v>937805</v>
      </c>
    </row>
    <row r="390" spans="1:10" ht="14.25" customHeight="1" x14ac:dyDescent="0.25">
      <c r="A390" s="25" t="s">
        <v>771</v>
      </c>
      <c r="B390" s="26" t="str">
        <f ca="1">IFERROR(INDEX(UNSPSCDes,MATCH(INDIRECT(ADDRESS(ROW(),COLUMN()-1,4)),UNSPSCCode,0)),IF(INDIRECT(ADDRESS(ROW(),COLUMN()-1,4))="14111527","Papel autocopiante",""))</f>
        <v>Papel autocopiante</v>
      </c>
      <c r="C390" s="58" t="str">
        <f>IFERROR(VLOOKUP("CAJ",'Informacion '!P:Q,2,FALSE),"")</f>
        <v>Caja</v>
      </c>
      <c r="D390" s="25">
        <v>10</v>
      </c>
      <c r="E390" s="28">
        <v>233.64</v>
      </c>
      <c r="F390" s="27">
        <f t="shared" ca="1" si="12"/>
        <v>2336.3999999999996</v>
      </c>
    </row>
    <row r="391" spans="1:10" ht="14.25" customHeight="1" x14ac:dyDescent="0.25">
      <c r="A391" s="25" t="s">
        <v>883</v>
      </c>
      <c r="B391" s="26" t="str">
        <f ca="1">IFERROR(INDEX(UNSPSCDes,MATCH(INDIRECT(ADDRESS(ROW(),COLUMN()-1,4)),UNSPSCCode,0)),IF(INDIRECT(ADDRESS(ROW(),COLUMN()-1,4))="14111530","Papel de notas autoadhesivas",""))</f>
        <v>Papel de notas autoadhesivas</v>
      </c>
      <c r="C391" s="58" t="str">
        <f>IFERROR(VLOOKUP("UD",'Informacion '!P:Q,2,FALSE),"")</f>
        <v>Unidad</v>
      </c>
      <c r="D391" s="25">
        <v>100</v>
      </c>
      <c r="E391" s="28">
        <v>67.260000000000005</v>
      </c>
      <c r="F391" s="27">
        <f t="shared" ca="1" si="12"/>
        <v>6726.0000000000009</v>
      </c>
    </row>
    <row r="392" spans="1:10" ht="14.25" customHeight="1" x14ac:dyDescent="0.25">
      <c r="A392" s="25" t="s">
        <v>733</v>
      </c>
      <c r="B392" s="26" t="str">
        <f ca="1">IFERROR(INDEX(UNSPSCDes,MATCH(INDIRECT(ADDRESS(ROW(),COLUMN()-1,4)),UNSPSCCode,0)),IF(INDIRECT(ADDRESS(ROW(),COLUMN()-1,4))="14111515","Papel para sumadora o máquina registradora",""))</f>
        <v>Papel para sumadora o máquina registradora</v>
      </c>
      <c r="C392" s="58" t="str">
        <f>IFERROR(VLOOKUP("UD",'Informacion '!P:Q,2,FALSE),"")</f>
        <v>Unidad</v>
      </c>
      <c r="D392" s="25">
        <v>100</v>
      </c>
      <c r="E392" s="28">
        <v>29.5</v>
      </c>
      <c r="F392" s="27">
        <f t="shared" ca="1" si="12"/>
        <v>2950</v>
      </c>
    </row>
    <row r="393" spans="1:10" ht="14.25" customHeight="1" x14ac:dyDescent="0.25">
      <c r="A393" s="25" t="s">
        <v>76</v>
      </c>
      <c r="B393" s="26" t="str">
        <f ca="1">IFERROR(INDEX(UNSPSCDes,MATCH(INDIRECT(ADDRESS(ROW(),COLUMN()-1,4)),UNSPSCCode,0)),IF(INDIRECT(ADDRESS(ROW(),COLUMN()-1,4))="14111510","Papel para plotter",""))</f>
        <v>Papel para plotter</v>
      </c>
      <c r="C393" s="58" t="str">
        <f>IFERROR(VLOOKUP("UD",'Informacion '!P:Q,2,FALSE),"")</f>
        <v>Unidad</v>
      </c>
      <c r="D393" s="25">
        <v>75</v>
      </c>
      <c r="E393" s="28">
        <v>1121</v>
      </c>
      <c r="F393" s="27">
        <f t="shared" ca="1" si="12"/>
        <v>84075</v>
      </c>
    </row>
    <row r="394" spans="1:10" ht="14.25" customHeight="1" x14ac:dyDescent="0.25">
      <c r="E394" s="30" t="s">
        <v>816</v>
      </c>
      <c r="F394" s="31">
        <f ca="1">SUM(Table21[MONTO TOTAL ESTIMADO])</f>
        <v>1123749.3999999999</v>
      </c>
      <c r="H394" s="21" t="str">
        <f>C377</f>
        <v>Bienes</v>
      </c>
      <c r="I394" s="21" t="str">
        <f>E377</f>
        <v>Sí</v>
      </c>
      <c r="J394" s="21" t="str">
        <f>D377</f>
        <v>Compras Menores</v>
      </c>
    </row>
    <row r="396" spans="1:10" ht="33.950000000000003" customHeight="1" x14ac:dyDescent="0.25">
      <c r="A396" s="22" t="s">
        <v>1051</v>
      </c>
      <c r="B396" s="22" t="s">
        <v>11</v>
      </c>
      <c r="C396" s="22" t="s">
        <v>751</v>
      </c>
      <c r="D396" s="22" t="s">
        <v>930</v>
      </c>
      <c r="E396" s="22" t="s">
        <v>699</v>
      </c>
      <c r="F396" s="22" t="s">
        <v>710</v>
      </c>
    </row>
    <row r="397" spans="1:10" ht="14.25" customHeight="1" x14ac:dyDescent="0.25">
      <c r="A397" s="23" t="s">
        <v>748</v>
      </c>
      <c r="B397" s="23" t="s">
        <v>748</v>
      </c>
      <c r="C397" s="23" t="s">
        <v>1155</v>
      </c>
      <c r="D397" s="23" t="s">
        <v>116</v>
      </c>
      <c r="E397" s="23" t="s">
        <v>1156</v>
      </c>
      <c r="F397" s="23" t="s">
        <v>436</v>
      </c>
    </row>
    <row r="398" spans="1:10" ht="14.25" customHeight="1" x14ac:dyDescent="0.25">
      <c r="A398" s="68" t="s">
        <v>965</v>
      </c>
      <c r="B398" s="24" t="s">
        <v>543</v>
      </c>
      <c r="C398" s="54">
        <v>46055</v>
      </c>
      <c r="D398" s="68" t="s">
        <v>598</v>
      </c>
      <c r="E398" s="56" t="s">
        <v>858</v>
      </c>
      <c r="F398" s="57" t="s">
        <v>184</v>
      </c>
    </row>
    <row r="399" spans="1:10" ht="14.25" customHeight="1" x14ac:dyDescent="0.25">
      <c r="A399" s="69"/>
      <c r="B399" s="24" t="s">
        <v>112</v>
      </c>
      <c r="C399" s="55">
        <f>IF(C398="","",IF(AND(MONTH(C398)&gt;=1,MONTH(C398)&lt;=3),1,IF(AND(MONTH(C398)&gt;=4,MONTH(C398)&lt;=6),2,IF(AND(MONTH(C398)&gt;=7,MONTH(C398)&lt;=9),3,4))))</f>
        <v>1</v>
      </c>
      <c r="D399" s="69"/>
      <c r="E399" s="56" t="s">
        <v>143</v>
      </c>
      <c r="F399" s="57"/>
    </row>
    <row r="400" spans="1:10" ht="14.25" customHeight="1" x14ac:dyDescent="0.25">
      <c r="A400" s="69"/>
      <c r="B400" s="24" t="s">
        <v>844</v>
      </c>
      <c r="C400" s="54">
        <v>46109</v>
      </c>
      <c r="D400" s="69"/>
      <c r="E400" s="56" t="s">
        <v>183</v>
      </c>
      <c r="F400" s="57"/>
    </row>
    <row r="401" spans="1:6" ht="14.25" customHeight="1" x14ac:dyDescent="0.25">
      <c r="A401" s="69"/>
      <c r="B401" s="24" t="s">
        <v>112</v>
      </c>
      <c r="C401" s="55">
        <f>IF(C400="","",IF(AND(MONTH(C400)&gt;=1,MONTH(C400)&lt;=3),1,IF(AND(MONTH(C400)&gt;=4,MONTH(C400)&lt;=6),2,IF(AND(MONTH(C400)&gt;=7,MONTH(C400)&lt;=9),3,4))))</f>
        <v>1</v>
      </c>
      <c r="D401" s="69"/>
      <c r="E401" s="56" t="s">
        <v>865</v>
      </c>
      <c r="F401" s="57"/>
    </row>
    <row r="403" spans="1:6" ht="14.25" customHeight="1" x14ac:dyDescent="0.25">
      <c r="A403" s="29" t="s">
        <v>1017</v>
      </c>
      <c r="B403" s="29" t="s">
        <v>1042</v>
      </c>
      <c r="C403" s="29" t="s">
        <v>1011</v>
      </c>
      <c r="D403" s="29" t="s">
        <v>985</v>
      </c>
      <c r="E403" s="29" t="s">
        <v>449</v>
      </c>
      <c r="F403" s="29" t="s">
        <v>989</v>
      </c>
    </row>
    <row r="404" spans="1:6" ht="14.25" customHeight="1" x14ac:dyDescent="0.25">
      <c r="A404" s="25" t="s">
        <v>909</v>
      </c>
      <c r="B404" s="26" t="str">
        <f ca="1">IFERROR(INDEX(UNSPSCDes,MATCH(INDIRECT(ADDRESS(ROW(),COLUMN()-1,4)),UNSPSCCode,0)),IF(INDIRECT(ADDRESS(ROW(),COLUMN()-1,4))="39121434","Conectores de tubos metálicos eléctricos (emt)",""))</f>
        <v>Conectores de tubos metálicos eléctricos (emt)</v>
      </c>
      <c r="C404" s="58" t="str">
        <f>IFERROR(VLOOKUP("UD",'Informacion '!P:Q,2,FALSE),"")</f>
        <v>Unidad</v>
      </c>
      <c r="D404" s="25">
        <v>25</v>
      </c>
      <c r="E404" s="28">
        <v>8</v>
      </c>
      <c r="F404" s="27">
        <f t="shared" ref="F404:F434" ca="1" si="13">INDIRECT(ADDRESS(ROW(),COLUMN()-2,4))*INDIRECT(ADDRESS(ROW(),COLUMN()-1,4))</f>
        <v>200</v>
      </c>
    </row>
    <row r="405" spans="1:6" ht="14.25" customHeight="1" x14ac:dyDescent="0.25">
      <c r="A405" s="25" t="s">
        <v>1070</v>
      </c>
      <c r="B405" s="26" t="str">
        <f ca="1">IFERROR(INDEX(UNSPSCDes,MATCH(INDIRECT(ADDRESS(ROW(),COLUMN()-1,4)),UNSPSCCode,0)),IF(INDIRECT(ADDRESS(ROW(),COLUMN()-1,4))="39101628","Lámpara Led",""))</f>
        <v>Lámpara Led</v>
      </c>
      <c r="C405" s="58" t="str">
        <f>IFERROR(VLOOKUP("UD",'Informacion '!P:Q,2,FALSE),"")</f>
        <v>Unidad</v>
      </c>
      <c r="D405" s="25">
        <v>50</v>
      </c>
      <c r="E405" s="28">
        <v>105</v>
      </c>
      <c r="F405" s="27">
        <f t="shared" ca="1" si="13"/>
        <v>5250</v>
      </c>
    </row>
    <row r="406" spans="1:6" ht="14.25" customHeight="1" x14ac:dyDescent="0.25">
      <c r="A406" s="25" t="s">
        <v>1070</v>
      </c>
      <c r="B406" s="26" t="str">
        <f ca="1">IFERROR(INDEX(UNSPSCDes,MATCH(INDIRECT(ADDRESS(ROW(),COLUMN()-1,4)),UNSPSCCode,0)),IF(INDIRECT(ADDRESS(ROW(),COLUMN()-1,4))="39101628","Lámpara Led",""))</f>
        <v>Lámpara Led</v>
      </c>
      <c r="C406" s="58" t="str">
        <f>IFERROR(VLOOKUP("UD",'Informacion '!P:Q,2,FALSE),"")</f>
        <v>Unidad</v>
      </c>
      <c r="D406" s="25">
        <v>50</v>
      </c>
      <c r="E406" s="28">
        <v>110</v>
      </c>
      <c r="F406" s="27">
        <f t="shared" ca="1" si="13"/>
        <v>5500</v>
      </c>
    </row>
    <row r="407" spans="1:6" ht="14.25" customHeight="1" x14ac:dyDescent="0.25">
      <c r="A407" s="25" t="s">
        <v>1070</v>
      </c>
      <c r="B407" s="26" t="str">
        <f ca="1">IFERROR(INDEX(UNSPSCDes,MATCH(INDIRECT(ADDRESS(ROW(),COLUMN()-1,4)),UNSPSCCode,0)),IF(INDIRECT(ADDRESS(ROW(),COLUMN()-1,4))="39101628","Lámpara Led",""))</f>
        <v>Lámpara Led</v>
      </c>
      <c r="C407" s="58" t="str">
        <f>IFERROR(VLOOKUP("UD",'Informacion '!P:Q,2,FALSE),"")</f>
        <v>Unidad</v>
      </c>
      <c r="D407" s="25">
        <v>50</v>
      </c>
      <c r="E407" s="28">
        <v>110</v>
      </c>
      <c r="F407" s="27">
        <f t="shared" ca="1" si="13"/>
        <v>5500</v>
      </c>
    </row>
    <row r="408" spans="1:6" ht="14.25" customHeight="1" x14ac:dyDescent="0.25">
      <c r="A408" s="25" t="s">
        <v>786</v>
      </c>
      <c r="B408" s="26" t="str">
        <f ca="1">IFERROR(INDEX(UNSPSCDes,MATCH(INDIRECT(ADDRESS(ROW(),COLUMN()-1,4)),UNSPSCCode,0)),IF(INDIRECT(ADDRESS(ROW(),COLUMN()-1,4))="39101605","Lámparas fluorescentes",""))</f>
        <v>Lámparas fluorescentes</v>
      </c>
      <c r="C408" s="58" t="str">
        <f>IFERROR(VLOOKUP("UD",'Informacion '!P:Q,2,FALSE),"")</f>
        <v>Unidad</v>
      </c>
      <c r="D408" s="25">
        <v>50</v>
      </c>
      <c r="E408" s="28">
        <v>115.25</v>
      </c>
      <c r="F408" s="27">
        <f t="shared" ca="1" si="13"/>
        <v>5762.5</v>
      </c>
    </row>
    <row r="409" spans="1:6" ht="14.25" customHeight="1" x14ac:dyDescent="0.25">
      <c r="A409" s="25" t="s">
        <v>1070</v>
      </c>
      <c r="B409" s="26" t="str">
        <f ca="1">IFERROR(INDEX(UNSPSCDes,MATCH(INDIRECT(ADDRESS(ROW(),COLUMN()-1,4)),UNSPSCCode,0)),IF(INDIRECT(ADDRESS(ROW(),COLUMN()-1,4))="39101628","Lámpara Led",""))</f>
        <v>Lámpara Led</v>
      </c>
      <c r="C409" s="58" t="str">
        <f>IFERROR(VLOOKUP("UD",'Informacion '!P:Q,2,FALSE),"")</f>
        <v>Unidad</v>
      </c>
      <c r="D409" s="25">
        <v>100</v>
      </c>
      <c r="E409" s="28">
        <v>325</v>
      </c>
      <c r="F409" s="27">
        <f t="shared" ca="1" si="13"/>
        <v>32500</v>
      </c>
    </row>
    <row r="410" spans="1:6" ht="14.25" customHeight="1" x14ac:dyDescent="0.25">
      <c r="A410" s="25" t="s">
        <v>786</v>
      </c>
      <c r="B410" s="26" t="str">
        <f ca="1">IFERROR(INDEX(UNSPSCDes,MATCH(INDIRECT(ADDRESS(ROW(),COLUMN()-1,4)),UNSPSCCode,0)),IF(INDIRECT(ADDRESS(ROW(),COLUMN()-1,4))="39101605","Lámparas fluorescentes",""))</f>
        <v>Lámparas fluorescentes</v>
      </c>
      <c r="C410" s="58" t="str">
        <f>IFERROR(VLOOKUP("UD",'Informacion '!P:Q,2,FALSE),"")</f>
        <v>Unidad</v>
      </c>
      <c r="D410" s="25">
        <v>100</v>
      </c>
      <c r="E410" s="28">
        <v>616</v>
      </c>
      <c r="F410" s="27">
        <f t="shared" ca="1" si="13"/>
        <v>61600</v>
      </c>
    </row>
    <row r="411" spans="1:6" ht="14.25" customHeight="1" x14ac:dyDescent="0.25">
      <c r="A411" s="25" t="s">
        <v>355</v>
      </c>
      <c r="B411" s="26" t="str">
        <f ca="1">IFERROR(INDEX(UNSPSCDes,MATCH(INDIRECT(ADDRESS(ROW(),COLUMN()-1,4)),UNSPSCCode,0)),IF(INDIRECT(ADDRESS(ROW(),COLUMN()-1,4))="43201410","Tarjetas o puertos de interruptor",""))</f>
        <v>Tarjetas o puertos de interruptor</v>
      </c>
      <c r="C411" s="58" t="str">
        <f>IFERROR(VLOOKUP("UD",'Informacion '!P:Q,2,FALSE),"")</f>
        <v>Unidad</v>
      </c>
      <c r="D411" s="25">
        <v>30</v>
      </c>
      <c r="E411" s="28">
        <v>950</v>
      </c>
      <c r="F411" s="27">
        <f t="shared" ca="1" si="13"/>
        <v>28500</v>
      </c>
    </row>
    <row r="412" spans="1:6" ht="14.25" customHeight="1" x14ac:dyDescent="0.25">
      <c r="A412" s="25" t="s">
        <v>609</v>
      </c>
      <c r="B412" s="26" t="str">
        <f ca="1">IFERROR(INDEX(UNSPSCDes,MATCH(INDIRECT(ADDRESS(ROW(),COLUMN()-1,4)),UNSPSCCode,0)),IF(INDIRECT(ADDRESS(ROW(),COLUMN()-1,4))="39121205","Canaletas para cables",""))</f>
        <v>Canaletas para cables</v>
      </c>
      <c r="C412" s="58" t="str">
        <f>IFERROR(VLOOKUP("UD",'Informacion '!P:Q,2,FALSE),"")</f>
        <v>Unidad</v>
      </c>
      <c r="D412" s="25">
        <v>50</v>
      </c>
      <c r="E412" s="28">
        <v>161.75</v>
      </c>
      <c r="F412" s="27">
        <f t="shared" ca="1" si="13"/>
        <v>8087.5</v>
      </c>
    </row>
    <row r="413" spans="1:6" ht="14.25" customHeight="1" x14ac:dyDescent="0.25">
      <c r="A413" s="25" t="s">
        <v>609</v>
      </c>
      <c r="B413" s="26" t="str">
        <f ca="1">IFERROR(INDEX(UNSPSCDes,MATCH(INDIRECT(ADDRESS(ROW(),COLUMN()-1,4)),UNSPSCCode,0)),IF(INDIRECT(ADDRESS(ROW(),COLUMN()-1,4))="39121205","Canaletas para cables",""))</f>
        <v>Canaletas para cables</v>
      </c>
      <c r="C413" s="58" t="str">
        <f>IFERROR(VLOOKUP("UD",'Informacion '!P:Q,2,FALSE),"")</f>
        <v>Unidad</v>
      </c>
      <c r="D413" s="25">
        <v>50</v>
      </c>
      <c r="E413" s="28">
        <v>161.75</v>
      </c>
      <c r="F413" s="27">
        <f t="shared" ca="1" si="13"/>
        <v>8087.5</v>
      </c>
    </row>
    <row r="414" spans="1:6" ht="14.25" customHeight="1" x14ac:dyDescent="0.25">
      <c r="A414" s="25" t="s">
        <v>1070</v>
      </c>
      <c r="B414" s="26" t="str">
        <f ca="1">IFERROR(INDEX(UNSPSCDes,MATCH(INDIRECT(ADDRESS(ROW(),COLUMN()-1,4)),UNSPSCCode,0)),IF(INDIRECT(ADDRESS(ROW(),COLUMN()-1,4))="39101628","Lámpara Led",""))</f>
        <v>Lámpara Led</v>
      </c>
      <c r="C414" s="58" t="str">
        <f>IFERROR(VLOOKUP("UD",'Informacion '!P:Q,2,FALSE),"")</f>
        <v>Unidad</v>
      </c>
      <c r="D414" s="25">
        <v>40</v>
      </c>
      <c r="E414" s="28">
        <v>3000</v>
      </c>
      <c r="F414" s="27">
        <f t="shared" ca="1" si="13"/>
        <v>120000</v>
      </c>
    </row>
    <row r="415" spans="1:6" ht="14.25" customHeight="1" x14ac:dyDescent="0.25">
      <c r="A415" s="25" t="s">
        <v>1070</v>
      </c>
      <c r="B415" s="26" t="str">
        <f ca="1">IFERROR(INDEX(UNSPSCDes,MATCH(INDIRECT(ADDRESS(ROW(),COLUMN()-1,4)),UNSPSCCode,0)),IF(INDIRECT(ADDRESS(ROW(),COLUMN()-1,4))="39101628","Lámpara Led",""))</f>
        <v>Lámpara Led</v>
      </c>
      <c r="C415" s="58" t="str">
        <f>IFERROR(VLOOKUP("UD",'Informacion '!P:Q,2,FALSE),"")</f>
        <v>Unidad</v>
      </c>
      <c r="D415" s="25">
        <v>20</v>
      </c>
      <c r="E415" s="28">
        <v>3000</v>
      </c>
      <c r="F415" s="27">
        <f t="shared" ca="1" si="13"/>
        <v>60000</v>
      </c>
    </row>
    <row r="416" spans="1:6" ht="14.25" customHeight="1" x14ac:dyDescent="0.25">
      <c r="A416" s="25" t="s">
        <v>786</v>
      </c>
      <c r="B416" s="26" t="str">
        <f ca="1">IFERROR(INDEX(UNSPSCDes,MATCH(INDIRECT(ADDRESS(ROW(),COLUMN()-1,4)),UNSPSCCode,0)),IF(INDIRECT(ADDRESS(ROW(),COLUMN()-1,4))="39101605","Lámparas fluorescentes",""))</f>
        <v>Lámparas fluorescentes</v>
      </c>
      <c r="C416" s="58" t="str">
        <f>IFERROR(VLOOKUP("UD",'Informacion '!P:Q,2,FALSE),"")</f>
        <v>Unidad</v>
      </c>
      <c r="D416" s="25">
        <v>60</v>
      </c>
      <c r="E416" s="28">
        <v>2132.77</v>
      </c>
      <c r="F416" s="27">
        <f t="shared" ca="1" si="13"/>
        <v>127966.2</v>
      </c>
    </row>
    <row r="417" spans="1:6" ht="14.25" customHeight="1" x14ac:dyDescent="0.25">
      <c r="A417" s="25" t="s">
        <v>786</v>
      </c>
      <c r="B417" s="26" t="str">
        <f ca="1">IFERROR(INDEX(UNSPSCDes,MATCH(INDIRECT(ADDRESS(ROW(),COLUMN()-1,4)),UNSPSCCode,0)),IF(INDIRECT(ADDRESS(ROW(),COLUMN()-1,4))="39101605","Lámparas fluorescentes",""))</f>
        <v>Lámparas fluorescentes</v>
      </c>
      <c r="C417" s="58" t="str">
        <f>IFERROR(VLOOKUP("UD",'Informacion '!P:Q,2,FALSE),"")</f>
        <v>Unidad</v>
      </c>
      <c r="D417" s="25">
        <v>30</v>
      </c>
      <c r="E417" s="28">
        <v>4000</v>
      </c>
      <c r="F417" s="27">
        <f t="shared" ca="1" si="13"/>
        <v>120000</v>
      </c>
    </row>
    <row r="418" spans="1:6" ht="14.25" customHeight="1" x14ac:dyDescent="0.25">
      <c r="A418" s="25" t="s">
        <v>695</v>
      </c>
      <c r="B418" s="26" t="str">
        <f ca="1">IFERROR(INDEX(UNSPSCDes,MATCH(INDIRECT(ADDRESS(ROW(),COLUMN()-1,4)),UNSPSCCode,0)),IF(INDIRECT(ADDRESS(ROW(),COLUMN()-1,4))="39121407","Strips de conexiones",""))</f>
        <v>Strips de conexiones</v>
      </c>
      <c r="C418" s="58" t="str">
        <f>IFERROR(VLOOKUP("UD",'Informacion '!P:Q,2,FALSE),"")</f>
        <v>Unidad</v>
      </c>
      <c r="D418" s="25">
        <v>20</v>
      </c>
      <c r="E418" s="28">
        <v>1300</v>
      </c>
      <c r="F418" s="27">
        <f t="shared" ca="1" si="13"/>
        <v>26000</v>
      </c>
    </row>
    <row r="419" spans="1:6" ht="14.25" customHeight="1" x14ac:dyDescent="0.25">
      <c r="A419" s="25" t="s">
        <v>1026</v>
      </c>
      <c r="B419" s="26" t="str">
        <f ca="1">IFERROR(INDEX(UNSPSCDes,MATCH(INDIRECT(ADDRESS(ROW(),COLUMN()-1,4)),UNSPSCCode,0)),IF(INDIRECT(ADDRESS(ROW(),COLUMN()-1,4))="27111704","Enchufes",""))</f>
        <v>Enchufes</v>
      </c>
      <c r="C419" s="58" t="str">
        <f>IFERROR(VLOOKUP("UD",'Informacion '!P:Q,2,FALSE),"")</f>
        <v>Unidad</v>
      </c>
      <c r="D419" s="25">
        <v>100</v>
      </c>
      <c r="E419" s="28">
        <v>185</v>
      </c>
      <c r="F419" s="27">
        <f t="shared" ca="1" si="13"/>
        <v>18500</v>
      </c>
    </row>
    <row r="420" spans="1:6" ht="14.25" customHeight="1" x14ac:dyDescent="0.25">
      <c r="A420" s="25" t="s">
        <v>626</v>
      </c>
      <c r="B420" s="26" t="str">
        <f ca="1">IFERROR(INDEX(UNSPSCDes,MATCH(INDIRECT(ADDRESS(ROW(),COLUMN()-1,4)),UNSPSCCode,0)),IF(INDIRECT(ADDRESS(ROW(),COLUMN()-1,4))="39121308","Cajas de toma de corriente",""))</f>
        <v>Cajas de toma de corriente</v>
      </c>
      <c r="C420" s="58" t="str">
        <f>IFERROR(VLOOKUP("UD",'Informacion '!P:Q,2,FALSE),"")</f>
        <v>Unidad</v>
      </c>
      <c r="D420" s="25">
        <v>20</v>
      </c>
      <c r="E420" s="28">
        <v>45.35</v>
      </c>
      <c r="F420" s="27">
        <f t="shared" ca="1" si="13"/>
        <v>907</v>
      </c>
    </row>
    <row r="421" spans="1:6" ht="14.25" customHeight="1" x14ac:dyDescent="0.25">
      <c r="A421" s="25" t="s">
        <v>1070</v>
      </c>
      <c r="B421" s="26" t="str">
        <f ca="1">IFERROR(INDEX(UNSPSCDes,MATCH(INDIRECT(ADDRESS(ROW(),COLUMN()-1,4)),UNSPSCCode,0)),IF(INDIRECT(ADDRESS(ROW(),COLUMN()-1,4))="39101628","Lámpara Led",""))</f>
        <v>Lámpara Led</v>
      </c>
      <c r="C421" s="58" t="str">
        <f>IFERROR(VLOOKUP("UD",'Informacion '!P:Q,2,FALSE),"")</f>
        <v>Unidad</v>
      </c>
      <c r="D421" s="25">
        <v>100</v>
      </c>
      <c r="E421" s="28">
        <v>450</v>
      </c>
      <c r="F421" s="27">
        <f t="shared" ca="1" si="13"/>
        <v>45000</v>
      </c>
    </row>
    <row r="422" spans="1:6" ht="14.25" customHeight="1" x14ac:dyDescent="0.25">
      <c r="A422" s="25" t="s">
        <v>1072</v>
      </c>
      <c r="B422" s="26" t="str">
        <f ca="1">IFERROR(INDEX(UNSPSCDes,MATCH(INDIRECT(ADDRESS(ROW(),COLUMN()-1,4)),UNSPSCCode,0)),IF(INDIRECT(ADDRESS(ROW(),COLUMN()-1,4))="39121402","Enchufes eléctricos",""))</f>
        <v>Enchufes eléctricos</v>
      </c>
      <c r="C422" s="58" t="str">
        <f>IFERROR(VLOOKUP("UD",'Informacion '!P:Q,2,FALSE),"")</f>
        <v>Unidad</v>
      </c>
      <c r="D422" s="25">
        <v>40</v>
      </c>
      <c r="E422" s="28">
        <v>922.15</v>
      </c>
      <c r="F422" s="27">
        <f t="shared" ca="1" si="13"/>
        <v>36886</v>
      </c>
    </row>
    <row r="423" spans="1:6" ht="14.25" customHeight="1" x14ac:dyDescent="0.25">
      <c r="A423" s="25" t="s">
        <v>579</v>
      </c>
      <c r="B423" s="26" t="str">
        <f ca="1">IFERROR(INDEX(UNSPSCDes,MATCH(INDIRECT(ADDRESS(ROW(),COLUMN()-1,4)),UNSPSCCode,0)),IF(INDIRECT(ADDRESS(ROW(),COLUMN()-1,4))="39121406","Receptáculos eléctricos",""))</f>
        <v>Receptáculos eléctricos</v>
      </c>
      <c r="C423" s="58" t="str">
        <f>IFERROR(VLOOKUP("UD",'Informacion '!P:Q,2,FALSE),"")</f>
        <v>Unidad</v>
      </c>
      <c r="D423" s="25">
        <v>40</v>
      </c>
      <c r="E423" s="28">
        <v>815.84</v>
      </c>
      <c r="F423" s="27">
        <f t="shared" ca="1" si="13"/>
        <v>32633.600000000002</v>
      </c>
    </row>
    <row r="424" spans="1:6" ht="14.25" customHeight="1" x14ac:dyDescent="0.25">
      <c r="A424" s="25" t="s">
        <v>428</v>
      </c>
      <c r="B424" s="26" t="str">
        <f ca="1">IFERROR(INDEX(UNSPSCDes,MATCH(INDIRECT(ADDRESS(ROW(),COLUMN()-1,4)),UNSPSCCode,0)),IF(INDIRECT(ADDRESS(ROW(),COLUMN()-1,4))="39101603","Lámparas solares",""))</f>
        <v>Lámparas solares</v>
      </c>
      <c r="C424" s="58" t="str">
        <f>IFERROR(VLOOKUP("UD",'Informacion '!P:Q,2,FALSE),"")</f>
        <v>Unidad</v>
      </c>
      <c r="D424" s="25">
        <v>50</v>
      </c>
      <c r="E424" s="28">
        <v>1300</v>
      </c>
      <c r="F424" s="27">
        <f t="shared" ca="1" si="13"/>
        <v>65000</v>
      </c>
    </row>
    <row r="425" spans="1:6" ht="14.25" customHeight="1" x14ac:dyDescent="0.25">
      <c r="A425" s="25" t="s">
        <v>428</v>
      </c>
      <c r="B425" s="26" t="str">
        <f ca="1">IFERROR(INDEX(UNSPSCDes,MATCH(INDIRECT(ADDRESS(ROW(),COLUMN()-1,4)),UNSPSCCode,0)),IF(INDIRECT(ADDRESS(ROW(),COLUMN()-1,4))="39101603","Lámparas solares",""))</f>
        <v>Lámparas solares</v>
      </c>
      <c r="C425" s="58" t="str">
        <f>IFERROR(VLOOKUP("UD",'Informacion '!P:Q,2,FALSE),"")</f>
        <v>Unidad</v>
      </c>
      <c r="D425" s="25">
        <v>50</v>
      </c>
      <c r="E425" s="28">
        <v>1250.1199999999999</v>
      </c>
      <c r="F425" s="27">
        <f t="shared" ca="1" si="13"/>
        <v>62505.999999999993</v>
      </c>
    </row>
    <row r="426" spans="1:6" ht="14.25" customHeight="1" x14ac:dyDescent="0.25">
      <c r="A426" s="25" t="s">
        <v>428</v>
      </c>
      <c r="B426" s="26" t="str">
        <f ca="1">IFERROR(INDEX(UNSPSCDes,MATCH(INDIRECT(ADDRESS(ROW(),COLUMN()-1,4)),UNSPSCCode,0)),IF(INDIRECT(ADDRESS(ROW(),COLUMN()-1,4))="39101603","Lámparas solares",""))</f>
        <v>Lámparas solares</v>
      </c>
      <c r="C426" s="58" t="str">
        <f>IFERROR(VLOOKUP("UD",'Informacion '!P:Q,2,FALSE),"")</f>
        <v>Unidad</v>
      </c>
      <c r="D426" s="25">
        <v>50</v>
      </c>
      <c r="E426" s="28">
        <v>1059.97</v>
      </c>
      <c r="F426" s="27">
        <f t="shared" ca="1" si="13"/>
        <v>52998.5</v>
      </c>
    </row>
    <row r="427" spans="1:6" ht="14.25" customHeight="1" x14ac:dyDescent="0.25">
      <c r="A427" s="25" t="s">
        <v>428</v>
      </c>
      <c r="B427" s="26" t="str">
        <f ca="1">IFERROR(INDEX(UNSPSCDes,MATCH(INDIRECT(ADDRESS(ROW(),COLUMN()-1,4)),UNSPSCCode,0)),IF(INDIRECT(ADDRESS(ROW(),COLUMN()-1,4))="39101603","Lámparas solares",""))</f>
        <v>Lámparas solares</v>
      </c>
      <c r="C427" s="58" t="str">
        <f>IFERROR(VLOOKUP("UD",'Informacion '!P:Q,2,FALSE),"")</f>
        <v>Unidad</v>
      </c>
      <c r="D427" s="25">
        <v>50</v>
      </c>
      <c r="E427" s="28">
        <v>1059.97</v>
      </c>
      <c r="F427" s="27">
        <f t="shared" ca="1" si="13"/>
        <v>52998.5</v>
      </c>
    </row>
    <row r="428" spans="1:6" ht="14.25" customHeight="1" x14ac:dyDescent="0.25">
      <c r="A428" s="25" t="s">
        <v>909</v>
      </c>
      <c r="B428" s="26" t="str">
        <f ca="1">IFERROR(INDEX(UNSPSCDes,MATCH(INDIRECT(ADDRESS(ROW(),COLUMN()-1,4)),UNSPSCCode,0)),IF(INDIRECT(ADDRESS(ROW(),COLUMN()-1,4))="39121434","Conectores de tubos metálicos eléctricos (emt)",""))</f>
        <v>Conectores de tubos metálicos eléctricos (emt)</v>
      </c>
      <c r="C428" s="58" t="str">
        <f>IFERROR(VLOOKUP("UD",'Informacion '!P:Q,2,FALSE),"")</f>
        <v>Unidad</v>
      </c>
      <c r="D428" s="25">
        <v>30</v>
      </c>
      <c r="E428" s="28">
        <v>116.95</v>
      </c>
      <c r="F428" s="27">
        <f t="shared" ca="1" si="13"/>
        <v>3508.5</v>
      </c>
    </row>
    <row r="429" spans="1:6" ht="14.25" customHeight="1" x14ac:dyDescent="0.25">
      <c r="A429" s="25" t="s">
        <v>909</v>
      </c>
      <c r="B429" s="26" t="str">
        <f ca="1">IFERROR(INDEX(UNSPSCDes,MATCH(INDIRECT(ADDRESS(ROW(),COLUMN()-1,4)),UNSPSCCode,0)),IF(INDIRECT(ADDRESS(ROW(),COLUMN()-1,4))="39121434","Conectores de tubos metálicos eléctricos (emt)",""))</f>
        <v>Conectores de tubos metálicos eléctricos (emt)</v>
      </c>
      <c r="C429" s="58" t="str">
        <f>IFERROR(VLOOKUP("UD",'Informacion '!P:Q,2,FALSE),"")</f>
        <v>Unidad</v>
      </c>
      <c r="D429" s="25">
        <v>30</v>
      </c>
      <c r="E429" s="28">
        <v>166.89</v>
      </c>
      <c r="F429" s="27">
        <f t="shared" ca="1" si="13"/>
        <v>5006.7</v>
      </c>
    </row>
    <row r="430" spans="1:6" ht="14.25" customHeight="1" x14ac:dyDescent="0.25">
      <c r="A430" s="25" t="s">
        <v>1070</v>
      </c>
      <c r="B430" s="26" t="str">
        <f ca="1">IFERROR(INDEX(UNSPSCDes,MATCH(INDIRECT(ADDRESS(ROW(),COLUMN()-1,4)),UNSPSCCode,0)),IF(INDIRECT(ADDRESS(ROW(),COLUMN()-1,4))="39101628","Lámpara Led",""))</f>
        <v>Lámpara Led</v>
      </c>
      <c r="C430" s="58" t="str">
        <f>IFERROR(VLOOKUP("UD",'Informacion '!P:Q,2,FALSE),"")</f>
        <v>Unidad</v>
      </c>
      <c r="D430" s="25">
        <v>40</v>
      </c>
      <c r="E430" s="28">
        <v>3000</v>
      </c>
      <c r="F430" s="27">
        <f t="shared" ca="1" si="13"/>
        <v>120000</v>
      </c>
    </row>
    <row r="431" spans="1:6" ht="14.25" customHeight="1" x14ac:dyDescent="0.25">
      <c r="A431" s="25" t="s">
        <v>1070</v>
      </c>
      <c r="B431" s="26" t="str">
        <f ca="1">IFERROR(INDEX(UNSPSCDes,MATCH(INDIRECT(ADDRESS(ROW(),COLUMN()-1,4)),UNSPSCCode,0)),IF(INDIRECT(ADDRESS(ROW(),COLUMN()-1,4))="39101628","Lámpara Led",""))</f>
        <v>Lámpara Led</v>
      </c>
      <c r="C431" s="58" t="str">
        <f>IFERROR(VLOOKUP("UD",'Informacion '!P:Q,2,FALSE),"")</f>
        <v>Unidad</v>
      </c>
      <c r="D431" s="25">
        <v>50</v>
      </c>
      <c r="E431" s="28">
        <v>3000</v>
      </c>
      <c r="F431" s="27">
        <f t="shared" ca="1" si="13"/>
        <v>150000</v>
      </c>
    </row>
    <row r="432" spans="1:6" ht="14.25" customHeight="1" x14ac:dyDescent="0.25">
      <c r="A432" s="25" t="s">
        <v>1073</v>
      </c>
      <c r="B432" s="26" t="str">
        <f ca="1">IFERROR(INDEX(UNSPSCDes,MATCH(INDIRECT(ADDRESS(ROW(),COLUMN()-1,4)),UNSPSCCode,0)),IF(INDIRECT(ADDRESS(ROW(),COLUMN()-1,4))="39121432","Terminales eléctricos",""))</f>
        <v>Terminales eléctricos</v>
      </c>
      <c r="C432" s="58" t="str">
        <f>IFERROR(VLOOKUP("UD",'Informacion '!P:Q,2,FALSE),"")</f>
        <v>Unidad</v>
      </c>
      <c r="D432" s="25">
        <v>200</v>
      </c>
      <c r="E432" s="28">
        <v>5</v>
      </c>
      <c r="F432" s="27">
        <f t="shared" ca="1" si="13"/>
        <v>1000</v>
      </c>
    </row>
    <row r="433" spans="1:10" ht="14.25" customHeight="1" x14ac:dyDescent="0.25">
      <c r="A433" s="25" t="s">
        <v>1073</v>
      </c>
      <c r="B433" s="26" t="str">
        <f ca="1">IFERROR(INDEX(UNSPSCDes,MATCH(INDIRECT(ADDRESS(ROW(),COLUMN()-1,4)),UNSPSCCode,0)),IF(INDIRECT(ADDRESS(ROW(),COLUMN()-1,4))="39121432","Terminales eléctricos",""))</f>
        <v>Terminales eléctricos</v>
      </c>
      <c r="C433" s="58" t="str">
        <f>IFERROR(VLOOKUP("UD",'Informacion '!P:Q,2,FALSE),"")</f>
        <v>Unidad</v>
      </c>
      <c r="D433" s="25">
        <v>200</v>
      </c>
      <c r="E433" s="28">
        <v>5</v>
      </c>
      <c r="F433" s="27">
        <f t="shared" ca="1" si="13"/>
        <v>1000</v>
      </c>
    </row>
    <row r="434" spans="1:10" ht="14.25" customHeight="1" x14ac:dyDescent="0.25">
      <c r="A434" s="25" t="s">
        <v>1073</v>
      </c>
      <c r="B434" s="26" t="str">
        <f ca="1">IFERROR(INDEX(UNSPSCDes,MATCH(INDIRECT(ADDRESS(ROW(),COLUMN()-1,4)),UNSPSCCode,0)),IF(INDIRECT(ADDRESS(ROW(),COLUMN()-1,4))="39121432","Terminales eléctricos",""))</f>
        <v>Terminales eléctricos</v>
      </c>
      <c r="C434" s="58" t="str">
        <f>IFERROR(VLOOKUP("UD",'Informacion '!P:Q,2,FALSE),"")</f>
        <v>Unidad</v>
      </c>
      <c r="D434" s="25">
        <v>200</v>
      </c>
      <c r="E434" s="28">
        <v>5</v>
      </c>
      <c r="F434" s="27">
        <f t="shared" ca="1" si="13"/>
        <v>1000</v>
      </c>
    </row>
    <row r="435" spans="1:10" ht="14.25" customHeight="1" x14ac:dyDescent="0.25">
      <c r="E435" s="30" t="s">
        <v>816</v>
      </c>
      <c r="F435" s="31">
        <f ca="1">SUM(Table22[MONTO TOTAL ESTIMADO])</f>
        <v>1263898.5</v>
      </c>
      <c r="H435" s="21" t="str">
        <f>C397</f>
        <v>Bienes</v>
      </c>
      <c r="I435" s="21" t="str">
        <f>E397</f>
        <v>No</v>
      </c>
      <c r="J435" s="21" t="str">
        <f>D397</f>
        <v>Comparacion de Precios</v>
      </c>
    </row>
    <row r="437" spans="1:10" ht="33.950000000000003" customHeight="1" x14ac:dyDescent="0.25">
      <c r="A437" s="22" t="s">
        <v>1051</v>
      </c>
      <c r="B437" s="22" t="s">
        <v>11</v>
      </c>
      <c r="C437" s="22" t="s">
        <v>751</v>
      </c>
      <c r="D437" s="22" t="s">
        <v>930</v>
      </c>
      <c r="E437" s="22" t="s">
        <v>699</v>
      </c>
      <c r="F437" s="22" t="s">
        <v>710</v>
      </c>
    </row>
    <row r="438" spans="1:10" ht="14.25" customHeight="1" x14ac:dyDescent="0.25">
      <c r="A438" s="23" t="s">
        <v>565</v>
      </c>
      <c r="B438" s="23" t="s">
        <v>565</v>
      </c>
      <c r="C438" s="23" t="s">
        <v>1155</v>
      </c>
      <c r="D438" s="23" t="s">
        <v>1128</v>
      </c>
      <c r="E438" s="23" t="s">
        <v>1156</v>
      </c>
      <c r="F438" s="23" t="s">
        <v>436</v>
      </c>
    </row>
    <row r="439" spans="1:10" ht="14.25" customHeight="1" x14ac:dyDescent="0.25">
      <c r="A439" s="68" t="s">
        <v>965</v>
      </c>
      <c r="B439" s="24" t="s">
        <v>543</v>
      </c>
      <c r="C439" s="54">
        <v>46296</v>
      </c>
      <c r="D439" s="68" t="s">
        <v>598</v>
      </c>
      <c r="E439" s="56" t="s">
        <v>858</v>
      </c>
      <c r="F439" s="57"/>
    </row>
    <row r="440" spans="1:10" ht="14.25" customHeight="1" x14ac:dyDescent="0.25">
      <c r="A440" s="69"/>
      <c r="B440" s="24" t="s">
        <v>112</v>
      </c>
      <c r="C440" s="55">
        <f>IF(C439="","",IF(AND(MONTH(C439)&gt;=1,MONTH(C439)&lt;=3),1,IF(AND(MONTH(C439)&gt;=4,MONTH(C439)&lt;=6),2,IF(AND(MONTH(C439)&gt;=7,MONTH(C439)&lt;=9),3,4))))</f>
        <v>4</v>
      </c>
      <c r="D440" s="69"/>
      <c r="E440" s="56" t="s">
        <v>143</v>
      </c>
      <c r="F440" s="57"/>
    </row>
    <row r="441" spans="1:10" ht="14.25" customHeight="1" x14ac:dyDescent="0.25">
      <c r="A441" s="69"/>
      <c r="B441" s="24" t="s">
        <v>844</v>
      </c>
      <c r="C441" s="54">
        <v>46356</v>
      </c>
      <c r="D441" s="69"/>
      <c r="E441" s="56" t="s">
        <v>183</v>
      </c>
      <c r="F441" s="57"/>
    </row>
    <row r="442" spans="1:10" ht="14.25" customHeight="1" x14ac:dyDescent="0.25">
      <c r="A442" s="69"/>
      <c r="B442" s="24" t="s">
        <v>112</v>
      </c>
      <c r="C442" s="55">
        <f>IF(C441="","",IF(AND(MONTH(C441)&gt;=1,MONTH(C441)&lt;=3),1,IF(AND(MONTH(C441)&gt;=4,MONTH(C441)&lt;=6),2,IF(AND(MONTH(C441)&gt;=7,MONTH(C441)&lt;=9),3,4))))</f>
        <v>4</v>
      </c>
      <c r="D442" s="69"/>
      <c r="E442" s="56" t="s">
        <v>865</v>
      </c>
      <c r="F442" s="57"/>
    </row>
    <row r="444" spans="1:10" ht="14.25" customHeight="1" x14ac:dyDescent="0.25">
      <c r="A444" s="29" t="s">
        <v>1017</v>
      </c>
      <c r="B444" s="29" t="s">
        <v>1042</v>
      </c>
      <c r="C444" s="29" t="s">
        <v>1011</v>
      </c>
      <c r="D444" s="29" t="s">
        <v>985</v>
      </c>
      <c r="E444" s="29" t="s">
        <v>449</v>
      </c>
      <c r="F444" s="29" t="s">
        <v>989</v>
      </c>
    </row>
    <row r="445" spans="1:10" ht="14.25" customHeight="1" x14ac:dyDescent="0.25">
      <c r="A445" s="25" t="s">
        <v>609</v>
      </c>
      <c r="B445" s="26" t="str">
        <f ca="1">IFERROR(INDEX(UNSPSCDes,MATCH(INDIRECT(ADDRESS(ROW(),COLUMN()-1,4)),UNSPSCCode,0)),IF(INDIRECT(ADDRESS(ROW(),COLUMN()-1,4))="39121205","Canaletas para cables",""))</f>
        <v>Canaletas para cables</v>
      </c>
      <c r="C445" s="58" t="str">
        <f>IFERROR(VLOOKUP("CAJ",'Informacion '!P:Q,2,FALSE),"")</f>
        <v>Caja</v>
      </c>
      <c r="D445" s="25">
        <v>5</v>
      </c>
      <c r="E445" s="28">
        <v>161.75</v>
      </c>
      <c r="F445" s="27">
        <f t="shared" ref="F445:F476" ca="1" si="14">INDIRECT(ADDRESS(ROW(),COLUMN()-2,4))*INDIRECT(ADDRESS(ROW(),COLUMN()-1,4))</f>
        <v>808.75</v>
      </c>
    </row>
    <row r="446" spans="1:10" ht="14.25" customHeight="1" x14ac:dyDescent="0.25">
      <c r="A446" s="25" t="s">
        <v>609</v>
      </c>
      <c r="B446" s="26" t="str">
        <f ca="1">IFERROR(INDEX(UNSPSCDes,MATCH(INDIRECT(ADDRESS(ROW(),COLUMN()-1,4)),UNSPSCCode,0)),IF(INDIRECT(ADDRESS(ROW(),COLUMN()-1,4))="39121205","Canaletas para cables",""))</f>
        <v>Canaletas para cables</v>
      </c>
      <c r="C446" s="58" t="str">
        <f>IFERROR(VLOOKUP("CAJ",'Informacion '!P:Q,2,FALSE),"")</f>
        <v>Caja</v>
      </c>
      <c r="D446" s="25">
        <v>5</v>
      </c>
      <c r="E446" s="28">
        <v>161.75</v>
      </c>
      <c r="F446" s="27">
        <f t="shared" ca="1" si="14"/>
        <v>808.75</v>
      </c>
    </row>
    <row r="447" spans="1:10" ht="14.25" customHeight="1" x14ac:dyDescent="0.25">
      <c r="A447" s="25" t="s">
        <v>211</v>
      </c>
      <c r="B447" s="26" t="str">
        <f ca="1">IFERROR(INDEX(UNSPSCDes,MATCH(INDIRECT(ADDRESS(ROW(),COLUMN()-1,4)),UNSPSCCode,0)),IF(INDIRECT(ADDRESS(ROW(),COLUMN()-1,4))="53121603","Morrales",""))</f>
        <v>Morrales</v>
      </c>
      <c r="C447" s="58" t="str">
        <f>IFERROR(VLOOKUP("UD",'Informacion '!P:Q,2,FALSE),"")</f>
        <v>Unidad</v>
      </c>
      <c r="D447" s="25">
        <v>10</v>
      </c>
      <c r="E447" s="28">
        <v>2500</v>
      </c>
      <c r="F447" s="27">
        <f t="shared" ca="1" si="14"/>
        <v>25000</v>
      </c>
    </row>
    <row r="448" spans="1:10" ht="14.25" customHeight="1" x14ac:dyDescent="0.25">
      <c r="A448" s="25" t="s">
        <v>754</v>
      </c>
      <c r="B448" s="26" t="str">
        <f ca="1">IFERROR(INDEX(UNSPSCDes,MATCH(INDIRECT(ADDRESS(ROW(),COLUMN()-1,4)),UNSPSCCode,0)),IF(INDIRECT(ADDRESS(ROW(),COLUMN()-1,4))="46171501","Candados",""))</f>
        <v>Candados</v>
      </c>
      <c r="C448" s="58" t="str">
        <f>IFERROR(VLOOKUP("UD",'Informacion '!P:Q,2,FALSE),"")</f>
        <v>Unidad</v>
      </c>
      <c r="D448" s="25">
        <v>20</v>
      </c>
      <c r="E448" s="28">
        <v>927.46</v>
      </c>
      <c r="F448" s="27">
        <f t="shared" ca="1" si="14"/>
        <v>18549.2</v>
      </c>
    </row>
    <row r="449" spans="1:6" ht="14.25" customHeight="1" x14ac:dyDescent="0.25">
      <c r="A449" s="25" t="s">
        <v>754</v>
      </c>
      <c r="B449" s="26" t="str">
        <f ca="1">IFERROR(INDEX(UNSPSCDes,MATCH(INDIRECT(ADDRESS(ROW(),COLUMN()-1,4)),UNSPSCCode,0)),IF(INDIRECT(ADDRESS(ROW(),COLUMN()-1,4))="46171501","Candados",""))</f>
        <v>Candados</v>
      </c>
      <c r="C449" s="58" t="str">
        <f>IFERROR(VLOOKUP("UD",'Informacion '!P:Q,2,FALSE),"")</f>
        <v>Unidad</v>
      </c>
      <c r="D449" s="25">
        <v>20</v>
      </c>
      <c r="E449" s="28">
        <v>712.28</v>
      </c>
      <c r="F449" s="27">
        <f t="shared" ca="1" si="14"/>
        <v>14245.599999999999</v>
      </c>
    </row>
    <row r="450" spans="1:6" ht="14.25" customHeight="1" x14ac:dyDescent="0.25">
      <c r="A450" s="25" t="s">
        <v>1138</v>
      </c>
      <c r="B450" s="26" t="str">
        <f ca="1">IFERROR(INDEX(UNSPSCDes,MATCH(INDIRECT(ADDRESS(ROW(),COLUMN()-1,4)),UNSPSCCode,0)),IF(INDIRECT(ADDRESS(ROW(),COLUMN()-1,4))="31162402","Cerraduras",""))</f>
        <v>Cerraduras</v>
      </c>
      <c r="C450" s="58" t="str">
        <f>IFERROR(VLOOKUP("UD",'Informacion '!P:Q,2,FALSE),"")</f>
        <v>Unidad</v>
      </c>
      <c r="D450" s="25">
        <v>20</v>
      </c>
      <c r="E450" s="28">
        <v>200.33</v>
      </c>
      <c r="F450" s="27">
        <f t="shared" ca="1" si="14"/>
        <v>4006.6000000000004</v>
      </c>
    </row>
    <row r="451" spans="1:6" ht="14.25" customHeight="1" x14ac:dyDescent="0.25">
      <c r="A451" s="25" t="s">
        <v>4</v>
      </c>
      <c r="B451" s="26" t="str">
        <f ca="1">IFERROR(INDEX(UNSPSCDes,MATCH(INDIRECT(ADDRESS(ROW(),COLUMN()-1,4)),UNSPSCCode,0)),IF(INDIRECT(ADDRESS(ROW(),COLUMN()-1,4))="31162801","Chapas o pomos",""))</f>
        <v>Chapas o pomos</v>
      </c>
      <c r="C451" s="58" t="str">
        <f>IFERROR(VLOOKUP("UD",'Informacion '!P:Q,2,FALSE),"")</f>
        <v>Unidad</v>
      </c>
      <c r="D451" s="25">
        <v>15</v>
      </c>
      <c r="E451" s="28">
        <v>3340.79</v>
      </c>
      <c r="F451" s="27">
        <f t="shared" ca="1" si="14"/>
        <v>50111.85</v>
      </c>
    </row>
    <row r="452" spans="1:6" ht="14.25" customHeight="1" x14ac:dyDescent="0.25">
      <c r="A452" s="25" t="s">
        <v>4</v>
      </c>
      <c r="B452" s="26" t="str">
        <f ca="1">IFERROR(INDEX(UNSPSCDes,MATCH(INDIRECT(ADDRESS(ROW(),COLUMN()-1,4)),UNSPSCCode,0)),IF(INDIRECT(ADDRESS(ROW(),COLUMN()-1,4))="31162801","Chapas o pomos",""))</f>
        <v>Chapas o pomos</v>
      </c>
      <c r="C452" s="58" t="str">
        <f>IFERROR(VLOOKUP("UD",'Informacion '!P:Q,2,FALSE),"")</f>
        <v>Unidad</v>
      </c>
      <c r="D452" s="25">
        <v>15</v>
      </c>
      <c r="E452" s="28">
        <v>1800</v>
      </c>
      <c r="F452" s="27">
        <f t="shared" ca="1" si="14"/>
        <v>27000</v>
      </c>
    </row>
    <row r="453" spans="1:6" ht="14.25" customHeight="1" x14ac:dyDescent="0.25">
      <c r="A453" s="25" t="s">
        <v>4</v>
      </c>
      <c r="B453" s="26" t="str">
        <f ca="1">IFERROR(INDEX(UNSPSCDes,MATCH(INDIRECT(ADDRESS(ROW(),COLUMN()-1,4)),UNSPSCCode,0)),IF(INDIRECT(ADDRESS(ROW(),COLUMN()-1,4))="31162801","Chapas o pomos",""))</f>
        <v>Chapas o pomos</v>
      </c>
      <c r="C453" s="58" t="str">
        <f>IFERROR(VLOOKUP("UD",'Informacion '!P:Q,2,FALSE),"")</f>
        <v>Unidad</v>
      </c>
      <c r="D453" s="25">
        <v>15</v>
      </c>
      <c r="E453" s="28">
        <v>433.69</v>
      </c>
      <c r="F453" s="27">
        <f t="shared" ca="1" si="14"/>
        <v>6505.35</v>
      </c>
    </row>
    <row r="454" spans="1:6" ht="14.25" customHeight="1" x14ac:dyDescent="0.25">
      <c r="A454" s="25" t="s">
        <v>785</v>
      </c>
      <c r="B454" s="26" t="str">
        <f ca="1">IFERROR(INDEX(UNSPSCDes,MATCH(INDIRECT(ADDRESS(ROW(),COLUMN()-1,4)),UNSPSCCode,0)),IF(INDIRECT(ADDRESS(ROW(),COLUMN()-1,4))="30191501","Escaleras",""))</f>
        <v>Escaleras</v>
      </c>
      <c r="C454" s="58" t="str">
        <f>IFERROR(VLOOKUP("UD",'Informacion '!P:Q,2,FALSE),"")</f>
        <v>Unidad</v>
      </c>
      <c r="D454" s="25">
        <v>2</v>
      </c>
      <c r="E454" s="28">
        <v>15000</v>
      </c>
      <c r="F454" s="27">
        <f t="shared" ca="1" si="14"/>
        <v>30000</v>
      </c>
    </row>
    <row r="455" spans="1:6" ht="14.25" customHeight="1" x14ac:dyDescent="0.25">
      <c r="A455" s="25" t="s">
        <v>785</v>
      </c>
      <c r="B455" s="26" t="str">
        <f ca="1">IFERROR(INDEX(UNSPSCDes,MATCH(INDIRECT(ADDRESS(ROW(),COLUMN()-1,4)),UNSPSCCode,0)),IF(INDIRECT(ADDRESS(ROW(),COLUMN()-1,4))="30191501","Escaleras",""))</f>
        <v>Escaleras</v>
      </c>
      <c r="C455" s="58" t="str">
        <f>IFERROR(VLOOKUP("UD",'Informacion '!P:Q,2,FALSE),"")</f>
        <v>Unidad</v>
      </c>
      <c r="D455" s="25">
        <v>5</v>
      </c>
      <c r="E455" s="28">
        <v>6500</v>
      </c>
      <c r="F455" s="27">
        <f t="shared" ca="1" si="14"/>
        <v>32500</v>
      </c>
    </row>
    <row r="456" spans="1:6" ht="14.25" customHeight="1" x14ac:dyDescent="0.25">
      <c r="A456" s="25" t="s">
        <v>785</v>
      </c>
      <c r="B456" s="26" t="str">
        <f ca="1">IFERROR(INDEX(UNSPSCDes,MATCH(INDIRECT(ADDRESS(ROW(),COLUMN()-1,4)),UNSPSCCode,0)),IF(INDIRECT(ADDRESS(ROW(),COLUMN()-1,4))="30191501","Escaleras",""))</f>
        <v>Escaleras</v>
      </c>
      <c r="C456" s="58" t="str">
        <f>IFERROR(VLOOKUP("UD",'Informacion '!P:Q,2,FALSE),"")</f>
        <v>Unidad</v>
      </c>
      <c r="D456" s="25">
        <v>1</v>
      </c>
      <c r="E456" s="28">
        <v>20500</v>
      </c>
      <c r="F456" s="27">
        <f t="shared" ca="1" si="14"/>
        <v>20500</v>
      </c>
    </row>
    <row r="457" spans="1:6" ht="14.25" customHeight="1" x14ac:dyDescent="0.25">
      <c r="A457" s="25" t="s">
        <v>919</v>
      </c>
      <c r="B457" s="26" t="str">
        <f ca="1">IFERROR(INDEX(UNSPSCDes,MATCH(INDIRECT(ADDRESS(ROW(),COLUMN()-1,4)),UNSPSCCode,0)),IF(INDIRECT(ADDRESS(ROW(),COLUMN()-1,4))="31162506","Soporte de pared",""))</f>
        <v>Soporte de pared</v>
      </c>
      <c r="C457" s="58" t="str">
        <f>IFERROR(VLOOKUP("UD",'Informacion '!P:Q,2,FALSE),"")</f>
        <v>Unidad</v>
      </c>
      <c r="D457" s="25">
        <v>15</v>
      </c>
      <c r="E457" s="28">
        <v>52.84</v>
      </c>
      <c r="F457" s="27">
        <f t="shared" ca="1" si="14"/>
        <v>792.6</v>
      </c>
    </row>
    <row r="458" spans="1:6" ht="14.25" customHeight="1" x14ac:dyDescent="0.25">
      <c r="A458" s="25" t="s">
        <v>231</v>
      </c>
      <c r="B458" s="26" t="str">
        <f ca="1">IFERROR(INDEX(UNSPSCDes,MATCH(INDIRECT(ADDRESS(ROW(),COLUMN()-1,4)),UNSPSCCode,0)),IF(INDIRECT(ADDRESS(ROW(),COLUMN()-1,4))="39111521","Plafones",""))</f>
        <v>Plafones</v>
      </c>
      <c r="C458" s="58" t="str">
        <f>IFERROR(VLOOKUP("UD",'Informacion '!P:Q,2,FALSE),"")</f>
        <v>Unidad</v>
      </c>
      <c r="D458" s="25">
        <v>50</v>
      </c>
      <c r="E458" s="28">
        <v>604.67999999999995</v>
      </c>
      <c r="F458" s="27">
        <f t="shared" ca="1" si="14"/>
        <v>30233.999999999996</v>
      </c>
    </row>
    <row r="459" spans="1:6" ht="14.25" customHeight="1" x14ac:dyDescent="0.25">
      <c r="A459" s="25" t="s">
        <v>1110</v>
      </c>
      <c r="B459" s="26" t="str">
        <f ca="1">IFERROR(INDEX(UNSPSCDes,MATCH(INDIRECT(ADDRESS(ROW(),COLUMN()-1,4)),UNSPSCCode,0)),IF(INDIRECT(ADDRESS(ROW(),COLUMN()-1,4))="30161706","Pisos de baldosa o piedra",""))</f>
        <v>Pisos de baldosa o piedra</v>
      </c>
      <c r="C459" s="58" t="str">
        <f>IFERROR(VLOOKUP("M2",'Informacion '!P:Q,2,FALSE),"")</f>
        <v>Metro cuadrado</v>
      </c>
      <c r="D459" s="25">
        <v>30</v>
      </c>
      <c r="E459" s="28">
        <v>202.36</v>
      </c>
      <c r="F459" s="27">
        <f t="shared" ca="1" si="14"/>
        <v>6070.8</v>
      </c>
    </row>
    <row r="460" spans="1:6" ht="14.25" customHeight="1" x14ac:dyDescent="0.25">
      <c r="A460" s="25" t="s">
        <v>531</v>
      </c>
      <c r="B460" s="26" t="str">
        <f ca="1">IFERROR(INDEX(UNSPSCDes,MATCH(INDIRECT(ADDRESS(ROW(),COLUMN()-1,4)),UNSPSCCode,0)),IF(INDIRECT(ADDRESS(ROW(),COLUMN()-1,4))="31201610","Pegamentos",""))</f>
        <v>Pegamentos</v>
      </c>
      <c r="C460" s="58" t="str">
        <f>IFERROR(VLOOKUP("UD",'Informacion '!P:Q,2,FALSE),"")</f>
        <v>Unidad</v>
      </c>
      <c r="D460" s="25">
        <v>30</v>
      </c>
      <c r="E460" s="28">
        <v>431.67</v>
      </c>
      <c r="F460" s="27">
        <f t="shared" ca="1" si="14"/>
        <v>12950.1</v>
      </c>
    </row>
    <row r="461" spans="1:6" ht="14.25" customHeight="1" x14ac:dyDescent="0.25">
      <c r="A461" s="25" t="s">
        <v>774</v>
      </c>
      <c r="B461" s="26" t="str">
        <f ca="1">IFERROR(INDEX(UNSPSCDes,MATCH(INDIRECT(ADDRESS(ROW(),COLUMN()-1,4)),UNSPSCCode,0)),IF(INDIRECT(ADDRESS(ROW(),COLUMN()-1,4))="31162104","Anclajes de tornillo",""))</f>
        <v>Anclajes de tornillo</v>
      </c>
      <c r="C461" s="58" t="str">
        <f>IFERROR(VLOOKUP("UD",'Informacion '!P:Q,2,FALSE),"")</f>
        <v>Unidad</v>
      </c>
      <c r="D461" s="25">
        <v>300</v>
      </c>
      <c r="E461" s="28">
        <v>0.5</v>
      </c>
      <c r="F461" s="27">
        <f t="shared" ca="1" si="14"/>
        <v>150</v>
      </c>
    </row>
    <row r="462" spans="1:6" ht="14.25" customHeight="1" x14ac:dyDescent="0.25">
      <c r="A462" s="25" t="s">
        <v>774</v>
      </c>
      <c r="B462" s="26" t="str">
        <f ca="1">IFERROR(INDEX(UNSPSCDes,MATCH(INDIRECT(ADDRESS(ROW(),COLUMN()-1,4)),UNSPSCCode,0)),IF(INDIRECT(ADDRESS(ROW(),COLUMN()-1,4))="31162104","Anclajes de tornillo",""))</f>
        <v>Anclajes de tornillo</v>
      </c>
      <c r="C462" s="58" t="str">
        <f>IFERROR(VLOOKUP("UD",'Informacion '!P:Q,2,FALSE),"")</f>
        <v>Unidad</v>
      </c>
      <c r="D462" s="25">
        <v>500</v>
      </c>
      <c r="E462" s="28">
        <v>1.5</v>
      </c>
      <c r="F462" s="27">
        <f t="shared" ca="1" si="14"/>
        <v>750</v>
      </c>
    </row>
    <row r="463" spans="1:6" ht="14.25" customHeight="1" x14ac:dyDescent="0.25">
      <c r="A463" s="25" t="s">
        <v>774</v>
      </c>
      <c r="B463" s="26" t="str">
        <f ca="1">IFERROR(INDEX(UNSPSCDes,MATCH(INDIRECT(ADDRESS(ROW(),COLUMN()-1,4)),UNSPSCCode,0)),IF(INDIRECT(ADDRESS(ROW(),COLUMN()-1,4))="31162104","Anclajes de tornillo",""))</f>
        <v>Anclajes de tornillo</v>
      </c>
      <c r="C463" s="58" t="str">
        <f>IFERROR(VLOOKUP("UD",'Informacion '!P:Q,2,FALSE),"")</f>
        <v>Unidad</v>
      </c>
      <c r="D463" s="25">
        <v>200</v>
      </c>
      <c r="E463" s="28">
        <v>1.8</v>
      </c>
      <c r="F463" s="27">
        <f t="shared" ca="1" si="14"/>
        <v>360</v>
      </c>
    </row>
    <row r="464" spans="1:6" ht="14.25" customHeight="1" x14ac:dyDescent="0.25">
      <c r="A464" s="25" t="s">
        <v>774</v>
      </c>
      <c r="B464" s="26" t="str">
        <f ca="1">IFERROR(INDEX(UNSPSCDes,MATCH(INDIRECT(ADDRESS(ROW(),COLUMN()-1,4)),UNSPSCCode,0)),IF(INDIRECT(ADDRESS(ROW(),COLUMN()-1,4))="31162104","Anclajes de tornillo",""))</f>
        <v>Anclajes de tornillo</v>
      </c>
      <c r="C464" s="58" t="str">
        <f>IFERROR(VLOOKUP("UD",'Informacion '!P:Q,2,FALSE),"")</f>
        <v>Unidad</v>
      </c>
      <c r="D464" s="25">
        <v>300</v>
      </c>
      <c r="E464" s="28">
        <v>11.68</v>
      </c>
      <c r="F464" s="27">
        <f t="shared" ca="1" si="14"/>
        <v>3504</v>
      </c>
    </row>
    <row r="465" spans="1:6" ht="14.25" customHeight="1" x14ac:dyDescent="0.25">
      <c r="A465" s="25" t="s">
        <v>774</v>
      </c>
      <c r="B465" s="26" t="str">
        <f ca="1">IFERROR(INDEX(UNSPSCDes,MATCH(INDIRECT(ADDRESS(ROW(),COLUMN()-1,4)),UNSPSCCode,0)),IF(INDIRECT(ADDRESS(ROW(),COLUMN()-1,4))="31162104","Anclajes de tornillo",""))</f>
        <v>Anclajes de tornillo</v>
      </c>
      <c r="C465" s="58" t="str">
        <f>IFERROR(VLOOKUP("UD",'Informacion '!P:Q,2,FALSE),"")</f>
        <v>Unidad</v>
      </c>
      <c r="D465" s="25">
        <v>100</v>
      </c>
      <c r="E465" s="28">
        <v>10</v>
      </c>
      <c r="F465" s="27">
        <f t="shared" ca="1" si="14"/>
        <v>1000</v>
      </c>
    </row>
    <row r="466" spans="1:6" ht="14.25" customHeight="1" x14ac:dyDescent="0.25">
      <c r="A466" s="25" t="s">
        <v>624</v>
      </c>
      <c r="B466" s="26" t="str">
        <f ca="1">IFERROR(INDEX(UNSPSCDes,MATCH(INDIRECT(ADDRESS(ROW(),COLUMN()-1,4)),UNSPSCCode,0)),IF(INDIRECT(ADDRESS(ROW(),COLUMN()-1,4))="31161503","Clavo-tornillo",""))</f>
        <v>Clavo-tornillo</v>
      </c>
      <c r="C466" s="58" t="str">
        <f>IFERROR(VLOOKUP("UD",'Informacion '!P:Q,2,FALSE),"")</f>
        <v>Unidad</v>
      </c>
      <c r="D466" s="25">
        <v>100</v>
      </c>
      <c r="E466" s="28">
        <v>42.99</v>
      </c>
      <c r="F466" s="27">
        <f t="shared" ca="1" si="14"/>
        <v>4299</v>
      </c>
    </row>
    <row r="467" spans="1:6" ht="14.25" customHeight="1" x14ac:dyDescent="0.25">
      <c r="A467" s="25" t="s">
        <v>774</v>
      </c>
      <c r="B467" s="26" t="str">
        <f ca="1">IFERROR(INDEX(UNSPSCDes,MATCH(INDIRECT(ADDRESS(ROW(),COLUMN()-1,4)),UNSPSCCode,0)),IF(INDIRECT(ADDRESS(ROW(),COLUMN()-1,4))="31162104","Anclajes de tornillo",""))</f>
        <v>Anclajes de tornillo</v>
      </c>
      <c r="C467" s="58" t="str">
        <f>IFERROR(VLOOKUP("UD",'Informacion '!P:Q,2,FALSE),"")</f>
        <v>Unidad</v>
      </c>
      <c r="D467" s="25">
        <v>200</v>
      </c>
      <c r="E467" s="28">
        <v>11.23</v>
      </c>
      <c r="F467" s="27">
        <f t="shared" ca="1" si="14"/>
        <v>2246</v>
      </c>
    </row>
    <row r="468" spans="1:6" ht="14.25" customHeight="1" x14ac:dyDescent="0.25">
      <c r="A468" s="25" t="s">
        <v>774</v>
      </c>
      <c r="B468" s="26" t="str">
        <f ca="1">IFERROR(INDEX(UNSPSCDes,MATCH(INDIRECT(ADDRESS(ROW(),COLUMN()-1,4)),UNSPSCCode,0)),IF(INDIRECT(ADDRESS(ROW(),COLUMN()-1,4))="31162104","Anclajes de tornillo",""))</f>
        <v>Anclajes de tornillo</v>
      </c>
      <c r="C468" s="58" t="str">
        <f>IFERROR(VLOOKUP("UD",'Informacion '!P:Q,2,FALSE),"")</f>
        <v>Unidad</v>
      </c>
      <c r="D468" s="25">
        <v>200</v>
      </c>
      <c r="E468" s="28">
        <v>116.74</v>
      </c>
      <c r="F468" s="27">
        <f t="shared" ca="1" si="14"/>
        <v>23348</v>
      </c>
    </row>
    <row r="469" spans="1:6" ht="14.25" customHeight="1" x14ac:dyDescent="0.25">
      <c r="A469" s="25" t="s">
        <v>624</v>
      </c>
      <c r="B469" s="26" t="str">
        <f ca="1">IFERROR(INDEX(UNSPSCDes,MATCH(INDIRECT(ADDRESS(ROW(),COLUMN()-1,4)),UNSPSCCode,0)),IF(INDIRECT(ADDRESS(ROW(),COLUMN()-1,4))="31161503","Clavo-tornillo",""))</f>
        <v>Clavo-tornillo</v>
      </c>
      <c r="C469" s="58" t="str">
        <f>IFERROR(VLOOKUP("UD",'Informacion '!P:Q,2,FALSE),"")</f>
        <v>Unidad</v>
      </c>
      <c r="D469" s="25">
        <v>200</v>
      </c>
      <c r="E469" s="28">
        <v>2.99</v>
      </c>
      <c r="F469" s="27">
        <f t="shared" ca="1" si="14"/>
        <v>598</v>
      </c>
    </row>
    <row r="470" spans="1:6" ht="14.25" customHeight="1" x14ac:dyDescent="0.25">
      <c r="A470" s="25" t="s">
        <v>415</v>
      </c>
      <c r="B470" s="26" t="str">
        <f ca="1">IFERROR(INDEX(UNSPSCDes,MATCH(INDIRECT(ADDRESS(ROW(),COLUMN()-1,4)),UNSPSCCode,0)),IF(INDIRECT(ADDRESS(ROW(),COLUMN()-1,4))="31161807","Arandelas planas",""))</f>
        <v>Arandelas planas</v>
      </c>
      <c r="C470" s="58" t="str">
        <f>IFERROR(VLOOKUP("LB",'Informacion '!P:Q,2,FALSE),"")</f>
        <v>Libra </v>
      </c>
      <c r="D470" s="25">
        <v>2</v>
      </c>
      <c r="E470" s="28">
        <v>73.67</v>
      </c>
      <c r="F470" s="27">
        <f t="shared" ca="1" si="14"/>
        <v>147.34</v>
      </c>
    </row>
    <row r="471" spans="1:6" ht="14.25" customHeight="1" x14ac:dyDescent="0.25">
      <c r="A471" s="25" t="s">
        <v>624</v>
      </c>
      <c r="B471" s="26" t="str">
        <f t="shared" ref="B471:B482" ca="1" si="15">IFERROR(INDEX(UNSPSCDes,MATCH(INDIRECT(ADDRESS(ROW(),COLUMN()-1,4)),UNSPSCCode,0)),IF(INDIRECT(ADDRESS(ROW(),COLUMN()-1,4))="31161503","Clavo-tornillo",""))</f>
        <v>Clavo-tornillo</v>
      </c>
      <c r="C471" s="58" t="str">
        <f>IFERROR(VLOOKUP("UD",'Informacion '!P:Q,2,FALSE),"")</f>
        <v>Unidad</v>
      </c>
      <c r="D471" s="25">
        <v>200</v>
      </c>
      <c r="E471" s="28">
        <v>135.5</v>
      </c>
      <c r="F471" s="27">
        <f t="shared" ca="1" si="14"/>
        <v>27100</v>
      </c>
    </row>
    <row r="472" spans="1:6" ht="14.25" customHeight="1" x14ac:dyDescent="0.25">
      <c r="A472" s="25" t="s">
        <v>624</v>
      </c>
      <c r="B472" s="26" t="str">
        <f t="shared" ca="1" si="15"/>
        <v>Clavo-tornillo</v>
      </c>
      <c r="C472" s="58" t="str">
        <f>IFERROR(VLOOKUP("UD",'Informacion '!P:Q,2,FALSE),"")</f>
        <v>Unidad</v>
      </c>
      <c r="D472" s="25">
        <v>200</v>
      </c>
      <c r="E472" s="28">
        <v>135.5</v>
      </c>
      <c r="F472" s="27">
        <f t="shared" ca="1" si="14"/>
        <v>27100</v>
      </c>
    </row>
    <row r="473" spans="1:6" ht="14.25" customHeight="1" x14ac:dyDescent="0.25">
      <c r="A473" s="25" t="s">
        <v>624</v>
      </c>
      <c r="B473" s="26" t="str">
        <f t="shared" ca="1" si="15"/>
        <v>Clavo-tornillo</v>
      </c>
      <c r="C473" s="58" t="str">
        <f>IFERROR(VLOOKUP("UD",'Informacion '!P:Q,2,FALSE),"")</f>
        <v>Unidad</v>
      </c>
      <c r="D473" s="25">
        <v>200</v>
      </c>
      <c r="E473" s="28">
        <v>140</v>
      </c>
      <c r="F473" s="27">
        <f t="shared" ca="1" si="14"/>
        <v>28000</v>
      </c>
    </row>
    <row r="474" spans="1:6" ht="14.25" customHeight="1" x14ac:dyDescent="0.25">
      <c r="A474" s="25" t="s">
        <v>624</v>
      </c>
      <c r="B474" s="26" t="str">
        <f t="shared" ca="1" si="15"/>
        <v>Clavo-tornillo</v>
      </c>
      <c r="C474" s="58" t="str">
        <f>IFERROR(VLOOKUP("UD",'Informacion '!P:Q,2,FALSE),"")</f>
        <v>Unidad</v>
      </c>
      <c r="D474" s="25">
        <v>200</v>
      </c>
      <c r="E474" s="28">
        <v>0.9</v>
      </c>
      <c r="F474" s="27">
        <f t="shared" ca="1" si="14"/>
        <v>180</v>
      </c>
    </row>
    <row r="475" spans="1:6" ht="14.25" customHeight="1" x14ac:dyDescent="0.25">
      <c r="A475" s="25" t="s">
        <v>624</v>
      </c>
      <c r="B475" s="26" t="str">
        <f t="shared" ca="1" si="15"/>
        <v>Clavo-tornillo</v>
      </c>
      <c r="C475" s="58" t="str">
        <f>IFERROR(VLOOKUP("UD",'Informacion '!P:Q,2,FALSE),"")</f>
        <v>Unidad</v>
      </c>
      <c r="D475" s="25">
        <v>200</v>
      </c>
      <c r="E475" s="28">
        <v>0.9</v>
      </c>
      <c r="F475" s="27">
        <f t="shared" ca="1" si="14"/>
        <v>180</v>
      </c>
    </row>
    <row r="476" spans="1:6" ht="14.25" customHeight="1" x14ac:dyDescent="0.25">
      <c r="A476" s="25" t="s">
        <v>624</v>
      </c>
      <c r="B476" s="26" t="str">
        <f t="shared" ca="1" si="15"/>
        <v>Clavo-tornillo</v>
      </c>
      <c r="C476" s="58" t="str">
        <f>IFERROR(VLOOKUP("UD",'Informacion '!P:Q,2,FALSE),"")</f>
        <v>Unidad</v>
      </c>
      <c r="D476" s="25">
        <v>200</v>
      </c>
      <c r="E476" s="28">
        <v>0.61</v>
      </c>
      <c r="F476" s="27">
        <f t="shared" ca="1" si="14"/>
        <v>122</v>
      </c>
    </row>
    <row r="477" spans="1:6" ht="14.25" customHeight="1" x14ac:dyDescent="0.25">
      <c r="A477" s="25" t="s">
        <v>624</v>
      </c>
      <c r="B477" s="26" t="str">
        <f t="shared" ca="1" si="15"/>
        <v>Clavo-tornillo</v>
      </c>
      <c r="C477" s="58" t="str">
        <f>IFERROR(VLOOKUP("UD",'Informacion '!P:Q,2,FALSE),"")</f>
        <v>Unidad</v>
      </c>
      <c r="D477" s="25">
        <v>500</v>
      </c>
      <c r="E477" s="28">
        <v>0.27</v>
      </c>
      <c r="F477" s="27">
        <f t="shared" ref="F477:F508" ca="1" si="16">INDIRECT(ADDRESS(ROW(),COLUMN()-2,4))*INDIRECT(ADDRESS(ROW(),COLUMN()-1,4))</f>
        <v>135</v>
      </c>
    </row>
    <row r="478" spans="1:6" ht="14.25" customHeight="1" x14ac:dyDescent="0.25">
      <c r="A478" s="25" t="s">
        <v>624</v>
      </c>
      <c r="B478" s="26" t="str">
        <f t="shared" ca="1" si="15"/>
        <v>Clavo-tornillo</v>
      </c>
      <c r="C478" s="58" t="str">
        <f>IFERROR(VLOOKUP("UD",'Informacion '!P:Q,2,FALSE),"")</f>
        <v>Unidad</v>
      </c>
      <c r="D478" s="25">
        <v>500</v>
      </c>
      <c r="E478" s="28">
        <v>0.9</v>
      </c>
      <c r="F478" s="27">
        <f t="shared" ca="1" si="16"/>
        <v>450</v>
      </c>
    </row>
    <row r="479" spans="1:6" ht="14.25" customHeight="1" x14ac:dyDescent="0.25">
      <c r="A479" s="25" t="s">
        <v>624</v>
      </c>
      <c r="B479" s="26" t="str">
        <f t="shared" ca="1" si="15"/>
        <v>Clavo-tornillo</v>
      </c>
      <c r="C479" s="58" t="str">
        <f>IFERROR(VLOOKUP("UD",'Informacion '!P:Q,2,FALSE),"")</f>
        <v>Unidad</v>
      </c>
      <c r="D479" s="25">
        <v>10</v>
      </c>
      <c r="E479" s="28">
        <v>850</v>
      </c>
      <c r="F479" s="27">
        <f t="shared" ca="1" si="16"/>
        <v>8500</v>
      </c>
    </row>
    <row r="480" spans="1:6" ht="14.25" customHeight="1" x14ac:dyDescent="0.25">
      <c r="A480" s="25" t="s">
        <v>624</v>
      </c>
      <c r="B480" s="26" t="str">
        <f t="shared" ca="1" si="15"/>
        <v>Clavo-tornillo</v>
      </c>
      <c r="C480" s="58" t="str">
        <f>IFERROR(VLOOKUP("UD",'Informacion '!P:Q,2,FALSE),"")</f>
        <v>Unidad</v>
      </c>
      <c r="D480" s="25">
        <v>10</v>
      </c>
      <c r="E480" s="28">
        <v>900</v>
      </c>
      <c r="F480" s="27">
        <f t="shared" ca="1" si="16"/>
        <v>9000</v>
      </c>
    </row>
    <row r="481" spans="1:6" ht="14.25" customHeight="1" x14ac:dyDescent="0.25">
      <c r="A481" s="25" t="s">
        <v>624</v>
      </c>
      <c r="B481" s="26" t="str">
        <f t="shared" ca="1" si="15"/>
        <v>Clavo-tornillo</v>
      </c>
      <c r="C481" s="58" t="str">
        <f>IFERROR(VLOOKUP("UD",'Informacion '!P:Q,2,FALSE),"")</f>
        <v>Unidad</v>
      </c>
      <c r="D481" s="25">
        <v>10</v>
      </c>
      <c r="E481" s="28">
        <v>900</v>
      </c>
      <c r="F481" s="27">
        <f t="shared" ca="1" si="16"/>
        <v>9000</v>
      </c>
    </row>
    <row r="482" spans="1:6" ht="14.25" customHeight="1" x14ac:dyDescent="0.25">
      <c r="A482" s="25" t="s">
        <v>624</v>
      </c>
      <c r="B482" s="26" t="str">
        <f t="shared" ca="1" si="15"/>
        <v>Clavo-tornillo</v>
      </c>
      <c r="C482" s="58" t="str">
        <f>IFERROR(VLOOKUP("UD",'Informacion '!P:Q,2,FALSE),"")</f>
        <v>Unidad</v>
      </c>
      <c r="D482" s="25">
        <v>200</v>
      </c>
      <c r="E482" s="28">
        <v>150</v>
      </c>
      <c r="F482" s="27">
        <f t="shared" ca="1" si="16"/>
        <v>30000</v>
      </c>
    </row>
    <row r="483" spans="1:6" ht="14.25" customHeight="1" x14ac:dyDescent="0.25">
      <c r="A483" s="25" t="s">
        <v>966</v>
      </c>
      <c r="B483" s="26" t="str">
        <f ca="1">IFERROR(INDEX(UNSPSCDes,MATCH(INDIRECT(ADDRESS(ROW(),COLUMN()-1,4)),UNSPSCCode,0)),IF(INDIRECT(ADDRESS(ROW(),COLUMN()-1,4))="60105705","Cinta pegante libre de ácido",""))</f>
        <v>Cinta pegante libre de ácido</v>
      </c>
      <c r="C483" s="58" t="str">
        <f>IFERROR(VLOOKUP("UD",'Informacion '!P:Q,2,FALSE),"")</f>
        <v>Unidad</v>
      </c>
      <c r="D483" s="25">
        <v>50</v>
      </c>
      <c r="E483" s="28">
        <v>151.87</v>
      </c>
      <c r="F483" s="27">
        <f t="shared" ca="1" si="16"/>
        <v>7593.5</v>
      </c>
    </row>
    <row r="484" spans="1:6" ht="14.25" customHeight="1" x14ac:dyDescent="0.25">
      <c r="A484" s="25" t="s">
        <v>185</v>
      </c>
      <c r="B484" s="26" t="str">
        <f ca="1">IFERROR(INDEX(UNSPSCDes,MATCH(INDIRECT(ADDRESS(ROW(),COLUMN()-1,4)),UNSPSCCode,0)),IF(INDIRECT(ADDRESS(ROW(),COLUMN()-1,4))="31162403","Goznes o bisagras",""))</f>
        <v>Goznes o bisagras</v>
      </c>
      <c r="C484" s="58" t="str">
        <f>IFERROR(VLOOKUP("UD",'Informacion '!P:Q,2,FALSE),"")</f>
        <v>Unidad</v>
      </c>
      <c r="D484" s="25">
        <v>100</v>
      </c>
      <c r="E484" s="28">
        <v>160.80000000000001</v>
      </c>
      <c r="F484" s="27">
        <f t="shared" ca="1" si="16"/>
        <v>16080.000000000002</v>
      </c>
    </row>
    <row r="485" spans="1:6" ht="14.25" customHeight="1" x14ac:dyDescent="0.25">
      <c r="A485" s="25" t="s">
        <v>465</v>
      </c>
      <c r="B485" s="26" t="str">
        <f ca="1">IFERROR(INDEX(UNSPSCDes,MATCH(INDIRECT(ADDRESS(ROW(),COLUMN()-1,4)),UNSPSCCode,0)),IF(INDIRECT(ADDRESS(ROW(),COLUMN()-1,4))="14121504","Papel de empaque",""))</f>
        <v>Papel de empaque</v>
      </c>
      <c r="C485" s="58" t="str">
        <f>IFERROR(VLOOKUP("UD",'Informacion '!P:Q,2,FALSE),"")</f>
        <v>Unidad</v>
      </c>
      <c r="D485" s="25">
        <v>5</v>
      </c>
      <c r="E485" s="28">
        <v>900</v>
      </c>
      <c r="F485" s="27">
        <f t="shared" ca="1" si="16"/>
        <v>4500</v>
      </c>
    </row>
    <row r="486" spans="1:6" ht="14.25" customHeight="1" x14ac:dyDescent="0.25">
      <c r="A486" s="25" t="s">
        <v>48</v>
      </c>
      <c r="B486" s="26" t="str">
        <f ca="1">IFERROR(INDEX(UNSPSCDes,MATCH(INDIRECT(ADDRESS(ROW(),COLUMN()-1,4)),UNSPSCCode,0)),IF(INDIRECT(ADDRESS(ROW(),COLUMN()-1,4))="39121306","Cajas de conmutadores",""))</f>
        <v>Cajas de conmutadores</v>
      </c>
      <c r="C486" s="58" t="str">
        <f>IFERROR(VLOOKUP("UD",'Informacion '!P:Q,2,FALSE),"")</f>
        <v>Unidad</v>
      </c>
      <c r="D486" s="25">
        <v>15</v>
      </c>
      <c r="E486" s="28">
        <v>128.77000000000001</v>
      </c>
      <c r="F486" s="27">
        <f t="shared" ca="1" si="16"/>
        <v>1931.5500000000002</v>
      </c>
    </row>
    <row r="487" spans="1:6" ht="14.25" customHeight="1" x14ac:dyDescent="0.25">
      <c r="A487" s="25" t="s">
        <v>46</v>
      </c>
      <c r="B487" s="26" t="str">
        <f ca="1">IFERROR(INDEX(UNSPSCDes,MATCH(INDIRECT(ADDRESS(ROW(),COLUMN()-1,4)),UNSPSCCode,0)),IF(INDIRECT(ADDRESS(ROW(),COLUMN()-1,4))="27111509","Barrenas",""))</f>
        <v>Barrenas</v>
      </c>
      <c r="C487" s="58" t="str">
        <f>IFERROR(VLOOKUP("UD",'Informacion '!P:Q,2,FALSE),"")</f>
        <v>Unidad</v>
      </c>
      <c r="D487" s="25">
        <v>5</v>
      </c>
      <c r="E487" s="28">
        <v>1048.3900000000001</v>
      </c>
      <c r="F487" s="27">
        <f t="shared" ca="1" si="16"/>
        <v>5241.9500000000007</v>
      </c>
    </row>
    <row r="488" spans="1:6" ht="14.25" customHeight="1" x14ac:dyDescent="0.25">
      <c r="A488" s="25" t="s">
        <v>46</v>
      </c>
      <c r="B488" s="26" t="str">
        <f ca="1">IFERROR(INDEX(UNSPSCDes,MATCH(INDIRECT(ADDRESS(ROW(),COLUMN()-1,4)),UNSPSCCode,0)),IF(INDIRECT(ADDRESS(ROW(),COLUMN()-1,4))="27111509","Barrenas",""))</f>
        <v>Barrenas</v>
      </c>
      <c r="C488" s="58" t="str">
        <f>IFERROR(VLOOKUP("UD",'Informacion '!P:Q,2,FALSE),"")</f>
        <v>Unidad</v>
      </c>
      <c r="D488" s="25">
        <v>5</v>
      </c>
      <c r="E488" s="28">
        <v>259.31</v>
      </c>
      <c r="F488" s="27">
        <f t="shared" ca="1" si="16"/>
        <v>1296.55</v>
      </c>
    </row>
    <row r="489" spans="1:6" ht="14.25" customHeight="1" x14ac:dyDescent="0.25">
      <c r="A489" s="25" t="s">
        <v>46</v>
      </c>
      <c r="B489" s="26" t="str">
        <f ca="1">IFERROR(INDEX(UNSPSCDes,MATCH(INDIRECT(ADDRESS(ROW(),COLUMN()-1,4)),UNSPSCCode,0)),IF(INDIRECT(ADDRESS(ROW(),COLUMN()-1,4))="27111509","Barrenas",""))</f>
        <v>Barrenas</v>
      </c>
      <c r="C489" s="58" t="str">
        <f>IFERROR(VLOOKUP("UD",'Informacion '!P:Q,2,FALSE),"")</f>
        <v>Unidad</v>
      </c>
      <c r="D489" s="25">
        <v>5</v>
      </c>
      <c r="E489" s="28">
        <v>203.4</v>
      </c>
      <c r="F489" s="27">
        <f t="shared" ca="1" si="16"/>
        <v>1017</v>
      </c>
    </row>
    <row r="490" spans="1:6" ht="14.25" customHeight="1" x14ac:dyDescent="0.25">
      <c r="A490" s="25" t="s">
        <v>46</v>
      </c>
      <c r="B490" s="26" t="str">
        <f ca="1">IFERROR(INDEX(UNSPSCDes,MATCH(INDIRECT(ADDRESS(ROW(),COLUMN()-1,4)),UNSPSCCode,0)),IF(INDIRECT(ADDRESS(ROW(),COLUMN()-1,4))="27111509","Barrenas",""))</f>
        <v>Barrenas</v>
      </c>
      <c r="C490" s="58" t="str">
        <f>IFERROR(VLOOKUP("UD",'Informacion '!P:Q,2,FALSE),"")</f>
        <v>Unidad</v>
      </c>
      <c r="D490" s="25">
        <v>5</v>
      </c>
      <c r="E490" s="28">
        <v>266.23</v>
      </c>
      <c r="F490" s="27">
        <f t="shared" ca="1" si="16"/>
        <v>1331.15</v>
      </c>
    </row>
    <row r="491" spans="1:6" ht="14.25" customHeight="1" x14ac:dyDescent="0.25">
      <c r="A491" s="25" t="s">
        <v>46</v>
      </c>
      <c r="B491" s="26" t="str">
        <f ca="1">IFERROR(INDEX(UNSPSCDes,MATCH(INDIRECT(ADDRESS(ROW(),COLUMN()-1,4)),UNSPSCCode,0)),IF(INDIRECT(ADDRESS(ROW(),COLUMN()-1,4))="27111509","Barrenas",""))</f>
        <v>Barrenas</v>
      </c>
      <c r="C491" s="58" t="str">
        <f>IFERROR(VLOOKUP("UD",'Informacion '!P:Q,2,FALSE),"")</f>
        <v>Unidad</v>
      </c>
      <c r="D491" s="25">
        <v>2</v>
      </c>
      <c r="E491" s="28">
        <v>750.17</v>
      </c>
      <c r="F491" s="27">
        <f t="shared" ca="1" si="16"/>
        <v>1500.34</v>
      </c>
    </row>
    <row r="492" spans="1:6" ht="14.25" customHeight="1" x14ac:dyDescent="0.25">
      <c r="A492" s="25" t="s">
        <v>677</v>
      </c>
      <c r="B492" s="26" t="str">
        <f ca="1">IFERROR(INDEX(UNSPSCDes,MATCH(INDIRECT(ADDRESS(ROW(),COLUMN()-1,4)),UNSPSCCode,0)),IF(INDIRECT(ADDRESS(ROW(),COLUMN()-1,4))="23153303","Brocas o herramientas de moldeado",""))</f>
        <v>Brocas o herramientas de moldeado</v>
      </c>
      <c r="C492" s="58" t="str">
        <f>IFERROR(VLOOKUP("UD",'Informacion '!P:Q,2,FALSE),"")</f>
        <v>Unidad</v>
      </c>
      <c r="D492" s="25">
        <v>2</v>
      </c>
      <c r="E492" s="28">
        <v>4923.41</v>
      </c>
      <c r="F492" s="27">
        <f t="shared" ca="1" si="16"/>
        <v>9846.82</v>
      </c>
    </row>
    <row r="493" spans="1:6" ht="14.25" customHeight="1" x14ac:dyDescent="0.25">
      <c r="A493" s="25" t="s">
        <v>261</v>
      </c>
      <c r="B493" s="26" t="str">
        <f ca="1">IFERROR(INDEX(UNSPSCDes,MATCH(INDIRECT(ADDRESS(ROW(),COLUMN()-1,4)),UNSPSCCode,0)),IF(INDIRECT(ADDRESS(ROW(),COLUMN()-1,4))="27111507","Cortadores de metal",""))</f>
        <v>Cortadores de metal</v>
      </c>
      <c r="C493" s="58" t="str">
        <f>IFERROR(VLOOKUP("UD",'Informacion '!P:Q,2,FALSE),"")</f>
        <v>Unidad</v>
      </c>
      <c r="D493" s="25">
        <v>10</v>
      </c>
      <c r="E493" s="28">
        <v>386.94</v>
      </c>
      <c r="F493" s="27">
        <f t="shared" ca="1" si="16"/>
        <v>3869.4</v>
      </c>
    </row>
    <row r="494" spans="1:6" ht="14.25" customHeight="1" x14ac:dyDescent="0.25">
      <c r="A494" s="25" t="s">
        <v>261</v>
      </c>
      <c r="B494" s="26" t="str">
        <f ca="1">IFERROR(INDEX(UNSPSCDes,MATCH(INDIRECT(ADDRESS(ROW(),COLUMN()-1,4)),UNSPSCCode,0)),IF(INDIRECT(ADDRESS(ROW(),COLUMN()-1,4))="27111507","Cortadores de metal",""))</f>
        <v>Cortadores de metal</v>
      </c>
      <c r="C494" s="58" t="str">
        <f>IFERROR(VLOOKUP("UD",'Informacion '!P:Q,2,FALSE),"")</f>
        <v>Unidad</v>
      </c>
      <c r="D494" s="25">
        <v>30</v>
      </c>
      <c r="E494" s="28">
        <v>45</v>
      </c>
      <c r="F494" s="27">
        <f t="shared" ca="1" si="16"/>
        <v>1350</v>
      </c>
    </row>
    <row r="495" spans="1:6" ht="14.25" customHeight="1" x14ac:dyDescent="0.25">
      <c r="A495" s="25" t="s">
        <v>110</v>
      </c>
      <c r="B495" s="26" t="str">
        <f ca="1">IFERROR(INDEX(UNSPSCDes,MATCH(INDIRECT(ADDRESS(ROW(),COLUMN()-1,4)),UNSPSCCode,0)),IF(INDIRECT(ADDRESS(ROW(),COLUMN()-1,4))="27111709","Extractor de tornillos",""))</f>
        <v>Extractor de tornillos</v>
      </c>
      <c r="C495" s="58" t="str">
        <f>IFERROR(VLOOKUP("UD",'Informacion '!P:Q,2,FALSE),"")</f>
        <v>Unidad</v>
      </c>
      <c r="D495" s="25">
        <v>3</v>
      </c>
      <c r="E495" s="28">
        <v>245.73</v>
      </c>
      <c r="F495" s="27">
        <f t="shared" ca="1" si="16"/>
        <v>737.18999999999994</v>
      </c>
    </row>
    <row r="496" spans="1:6" ht="14.25" customHeight="1" x14ac:dyDescent="0.25">
      <c r="A496" s="25" t="s">
        <v>224</v>
      </c>
      <c r="B496" s="26" t="str">
        <f ca="1">IFERROR(INDEX(UNSPSCDes,MATCH(INDIRECT(ADDRESS(ROW(),COLUMN()-1,4)),UNSPSCCode,0)),IF(INDIRECT(ADDRESS(ROW(),COLUMN()-1,4))="31162808","Barras de pánico",""))</f>
        <v>Barras de pánico</v>
      </c>
      <c r="C496" s="58" t="str">
        <f>IFERROR(VLOOKUP("UD",'Informacion '!P:Q,2,FALSE),"")</f>
        <v>Unidad</v>
      </c>
      <c r="D496" s="25">
        <v>4</v>
      </c>
      <c r="E496" s="28">
        <v>8000</v>
      </c>
      <c r="F496" s="27">
        <f t="shared" ca="1" si="16"/>
        <v>32000</v>
      </c>
    </row>
    <row r="497" spans="1:6" ht="14.25" customHeight="1" x14ac:dyDescent="0.25">
      <c r="A497" s="25" t="s">
        <v>1190</v>
      </c>
      <c r="B497" s="26" t="str">
        <f ca="1">IFERROR(INDEX(UNSPSCDes,MATCH(INDIRECT(ADDRESS(ROW(),COLUMN()-1,4)),UNSPSCCode,0)),IF(INDIRECT(ADDRESS(ROW(),COLUMN()-1,4))="27121602","Cilindros hidráulicos",""))</f>
        <v>Cilindros hidráulicos</v>
      </c>
      <c r="C497" s="58" t="str">
        <f>IFERROR(VLOOKUP("UD",'Informacion '!P:Q,2,FALSE),"")</f>
        <v>Unidad</v>
      </c>
      <c r="D497" s="25">
        <v>10</v>
      </c>
      <c r="E497" s="28">
        <v>1600</v>
      </c>
      <c r="F497" s="27">
        <f t="shared" ca="1" si="16"/>
        <v>16000</v>
      </c>
    </row>
    <row r="498" spans="1:6" ht="14.25" customHeight="1" x14ac:dyDescent="0.25">
      <c r="A498" s="25" t="s">
        <v>1190</v>
      </c>
      <c r="B498" s="26" t="str">
        <f ca="1">IFERROR(INDEX(UNSPSCDes,MATCH(INDIRECT(ADDRESS(ROW(),COLUMN()-1,4)),UNSPSCCode,0)),IF(INDIRECT(ADDRESS(ROW(),COLUMN()-1,4))="27121602","Cilindros hidráulicos",""))</f>
        <v>Cilindros hidráulicos</v>
      </c>
      <c r="C498" s="58" t="str">
        <f>IFERROR(VLOOKUP("UD",'Informacion '!P:Q,2,FALSE),"")</f>
        <v>Unidad</v>
      </c>
      <c r="D498" s="25">
        <v>15</v>
      </c>
      <c r="E498" s="28">
        <v>1200</v>
      </c>
      <c r="F498" s="27">
        <f t="shared" ca="1" si="16"/>
        <v>18000</v>
      </c>
    </row>
    <row r="499" spans="1:6" ht="14.25" customHeight="1" x14ac:dyDescent="0.25">
      <c r="A499" s="25" t="s">
        <v>1138</v>
      </c>
      <c r="B499" s="26" t="str">
        <f ca="1">IFERROR(INDEX(UNSPSCDes,MATCH(INDIRECT(ADDRESS(ROW(),COLUMN()-1,4)),UNSPSCCode,0)),IF(INDIRECT(ADDRESS(ROW(),COLUMN()-1,4))="31162402","Cerraduras",""))</f>
        <v>Cerraduras</v>
      </c>
      <c r="C499" s="58" t="str">
        <f>IFERROR(VLOOKUP("UD",'Informacion '!P:Q,2,FALSE),"")</f>
        <v>Unidad</v>
      </c>
      <c r="D499" s="25">
        <v>40</v>
      </c>
      <c r="E499" s="28">
        <v>2100</v>
      </c>
      <c r="F499" s="27">
        <f t="shared" ca="1" si="16"/>
        <v>84000</v>
      </c>
    </row>
    <row r="500" spans="1:6" ht="14.25" customHeight="1" x14ac:dyDescent="0.25">
      <c r="A500" s="25" t="s">
        <v>1138</v>
      </c>
      <c r="B500" s="26" t="str">
        <f ca="1">IFERROR(INDEX(UNSPSCDes,MATCH(INDIRECT(ADDRESS(ROW(),COLUMN()-1,4)),UNSPSCCode,0)),IF(INDIRECT(ADDRESS(ROW(),COLUMN()-1,4))="31162402","Cerraduras",""))</f>
        <v>Cerraduras</v>
      </c>
      <c r="C500" s="58" t="str">
        <f>IFERROR(VLOOKUP("UD",'Informacion '!P:Q,2,FALSE),"")</f>
        <v>Unidad</v>
      </c>
      <c r="D500" s="25">
        <v>40</v>
      </c>
      <c r="E500" s="28">
        <v>2400</v>
      </c>
      <c r="F500" s="27">
        <f t="shared" ca="1" si="16"/>
        <v>96000</v>
      </c>
    </row>
    <row r="501" spans="1:6" ht="14.25" customHeight="1" x14ac:dyDescent="0.25">
      <c r="A501" s="25" t="s">
        <v>425</v>
      </c>
      <c r="B501" s="26" t="str">
        <f ca="1">IFERROR(INDEX(UNSPSCDes,MATCH(INDIRECT(ADDRESS(ROW(),COLUMN()-1,4)),UNSPSCCode,0)),IF(INDIRECT(ADDRESS(ROW(),COLUMN()-1,4))="47131502","Pañitos o toallas para limpiar",""))</f>
        <v>Pañitos o toallas para limpiar</v>
      </c>
      <c r="C501" s="58" t="str">
        <f>IFERROR(VLOOKUP("UD",'Informacion '!P:Q,2,FALSE),"")</f>
        <v>Unidad</v>
      </c>
      <c r="D501" s="25">
        <v>15</v>
      </c>
      <c r="E501" s="28">
        <v>550</v>
      </c>
      <c r="F501" s="27">
        <f t="shared" ca="1" si="16"/>
        <v>8250</v>
      </c>
    </row>
    <row r="502" spans="1:6" ht="14.25" customHeight="1" x14ac:dyDescent="0.25">
      <c r="A502" s="25" t="s">
        <v>2</v>
      </c>
      <c r="B502" s="26" t="str">
        <f ca="1">IFERROR(INDEX(UNSPSCDes,MATCH(INDIRECT(ADDRESS(ROW(),COLUMN()-1,4)),UNSPSCCode,0)),IF(INDIRECT(ADDRESS(ROW(),COLUMN()-1,4))="15121524","Aceites de templado",""))</f>
        <v>Aceites de templado</v>
      </c>
      <c r="C502" s="58" t="str">
        <f>IFERROR(VLOOKUP("UD",'Informacion '!P:Q,2,FALSE),"")</f>
        <v>Unidad</v>
      </c>
      <c r="D502" s="25">
        <v>15</v>
      </c>
      <c r="E502" s="28">
        <v>700</v>
      </c>
      <c r="F502" s="27">
        <f t="shared" ca="1" si="16"/>
        <v>10500</v>
      </c>
    </row>
    <row r="503" spans="1:6" ht="14.25" customHeight="1" x14ac:dyDescent="0.25">
      <c r="A503" s="25" t="s">
        <v>57</v>
      </c>
      <c r="B503" s="26" t="str">
        <f ca="1">IFERROR(INDEX(UNSPSCDes,MATCH(INDIRECT(ADDRESS(ROW(),COLUMN()-1,4)),UNSPSCCode,0)),IF(INDIRECT(ADDRESS(ROW(),COLUMN()-1,4))="31162201","Remaches ciegos",""))</f>
        <v>Remaches ciegos</v>
      </c>
      <c r="C503" s="58" t="str">
        <f>IFERROR(VLOOKUP("UD",'Informacion '!P:Q,2,FALSE),"")</f>
        <v>Unidad</v>
      </c>
      <c r="D503" s="25">
        <v>300</v>
      </c>
      <c r="E503" s="28">
        <v>0.5</v>
      </c>
      <c r="F503" s="27">
        <f t="shared" ca="1" si="16"/>
        <v>150</v>
      </c>
    </row>
    <row r="504" spans="1:6" ht="14.25" customHeight="1" x14ac:dyDescent="0.25">
      <c r="A504" s="25" t="s">
        <v>57</v>
      </c>
      <c r="B504" s="26" t="str">
        <f ca="1">IFERROR(INDEX(UNSPSCDes,MATCH(INDIRECT(ADDRESS(ROW(),COLUMN()-1,4)),UNSPSCCode,0)),IF(INDIRECT(ADDRESS(ROW(),COLUMN()-1,4))="31162201","Remaches ciegos",""))</f>
        <v>Remaches ciegos</v>
      </c>
      <c r="C504" s="58" t="str">
        <f>IFERROR(VLOOKUP("UD",'Informacion '!P:Q,2,FALSE),"")</f>
        <v>Unidad</v>
      </c>
      <c r="D504" s="25">
        <v>300</v>
      </c>
      <c r="E504" s="28">
        <v>0.5</v>
      </c>
      <c r="F504" s="27">
        <f t="shared" ca="1" si="16"/>
        <v>150</v>
      </c>
    </row>
    <row r="505" spans="1:6" ht="14.25" customHeight="1" x14ac:dyDescent="0.25">
      <c r="A505" s="25" t="s">
        <v>108</v>
      </c>
      <c r="B505" s="26" t="str">
        <f ca="1">IFERROR(INDEX(UNSPSCDes,MATCH(INDIRECT(ADDRESS(ROW(),COLUMN()-1,4)),UNSPSCCode,0)),IF(INDIRECT(ADDRESS(ROW(),COLUMN()-1,4))="47121808","Equipo de limpieza de drenajes o tubos",""))</f>
        <v>Equipo de limpieza de drenajes o tubos</v>
      </c>
      <c r="C505" s="58" t="str">
        <f>IFERROR(VLOOKUP("UD",'Informacion '!P:Q,2,FALSE),"")</f>
        <v>Unidad</v>
      </c>
      <c r="D505" s="25">
        <v>10</v>
      </c>
      <c r="E505" s="28">
        <v>10000</v>
      </c>
      <c r="F505" s="27">
        <f t="shared" ca="1" si="16"/>
        <v>100000</v>
      </c>
    </row>
    <row r="506" spans="1:6" ht="14.25" customHeight="1" x14ac:dyDescent="0.25">
      <c r="A506" s="25" t="s">
        <v>806</v>
      </c>
      <c r="B506" s="26" t="str">
        <f ca="1">IFERROR(INDEX(UNSPSCDes,MATCH(INDIRECT(ADDRESS(ROW(),COLUMN()-1,4)),UNSPSCCode,0)),IF(INDIRECT(ADDRESS(ROW(),COLUMN()-1,4))="30171514","Cerradores de puertas",""))</f>
        <v>Cerradores de puertas</v>
      </c>
      <c r="C506" s="58" t="str">
        <f>IFERROR(VLOOKUP("UD",'Informacion '!P:Q,2,FALSE),"")</f>
        <v>Unidad</v>
      </c>
      <c r="D506" s="25">
        <v>30</v>
      </c>
      <c r="E506" s="28">
        <v>3200</v>
      </c>
      <c r="F506" s="27">
        <f t="shared" ca="1" si="16"/>
        <v>96000</v>
      </c>
    </row>
    <row r="507" spans="1:6" ht="14.25" customHeight="1" x14ac:dyDescent="0.25">
      <c r="A507" s="25" t="s">
        <v>806</v>
      </c>
      <c r="B507" s="26" t="str">
        <f ca="1">IFERROR(INDEX(UNSPSCDes,MATCH(INDIRECT(ADDRESS(ROW(),COLUMN()-1,4)),UNSPSCCode,0)),IF(INDIRECT(ADDRESS(ROW(),COLUMN()-1,4))="30171514","Cerradores de puertas",""))</f>
        <v>Cerradores de puertas</v>
      </c>
      <c r="C507" s="58" t="str">
        <f>IFERROR(VLOOKUP("UD",'Informacion '!P:Q,2,FALSE),"")</f>
        <v>Unidad</v>
      </c>
      <c r="D507" s="25">
        <v>30</v>
      </c>
      <c r="E507" s="28">
        <v>3200</v>
      </c>
      <c r="F507" s="27">
        <f t="shared" ca="1" si="16"/>
        <v>96000</v>
      </c>
    </row>
    <row r="508" spans="1:6" ht="14.25" customHeight="1" x14ac:dyDescent="0.25">
      <c r="A508" s="25" t="s">
        <v>806</v>
      </c>
      <c r="B508" s="26" t="str">
        <f ca="1">IFERROR(INDEX(UNSPSCDes,MATCH(INDIRECT(ADDRESS(ROW(),COLUMN()-1,4)),UNSPSCCode,0)),IF(INDIRECT(ADDRESS(ROW(),COLUMN()-1,4))="30171514","Cerradores de puertas",""))</f>
        <v>Cerradores de puertas</v>
      </c>
      <c r="C508" s="58" t="str">
        <f>IFERROR(VLOOKUP("UD",'Informacion '!P:Q,2,FALSE),"")</f>
        <v>Unidad</v>
      </c>
      <c r="D508" s="25">
        <v>10</v>
      </c>
      <c r="E508" s="28">
        <v>3500</v>
      </c>
      <c r="F508" s="27">
        <f t="shared" ca="1" si="16"/>
        <v>35000</v>
      </c>
    </row>
    <row r="509" spans="1:6" ht="14.25" customHeight="1" x14ac:dyDescent="0.25">
      <c r="A509" s="25" t="s">
        <v>525</v>
      </c>
      <c r="B509" s="26" t="str">
        <f ca="1">IFERROR(INDEX(UNSPSCDes,MATCH(INDIRECT(ADDRESS(ROW(),COLUMN()-1,4)),UNSPSCCode,0)),IF(INDIRECT(ADDRESS(ROW(),COLUMN()-1,4))="31162804","Topes de puerta",""))</f>
        <v>Topes de puerta</v>
      </c>
      <c r="C509" s="58" t="str">
        <f>IFERROR(VLOOKUP("UD",'Informacion '!P:Q,2,FALSE),"")</f>
        <v>Unidad</v>
      </c>
      <c r="D509" s="25">
        <v>30</v>
      </c>
      <c r="E509" s="28">
        <v>350</v>
      </c>
      <c r="F509" s="27">
        <f t="shared" ref="F509:F521" ca="1" si="17">INDIRECT(ADDRESS(ROW(),COLUMN()-2,4))*INDIRECT(ADDRESS(ROW(),COLUMN()-1,4))</f>
        <v>10500</v>
      </c>
    </row>
    <row r="510" spans="1:6" ht="14.25" customHeight="1" x14ac:dyDescent="0.25">
      <c r="A510" s="25" t="s">
        <v>2</v>
      </c>
      <c r="B510" s="26" t="str">
        <f ca="1">IFERROR(INDEX(UNSPSCDes,MATCH(INDIRECT(ADDRESS(ROW(),COLUMN()-1,4)),UNSPSCCode,0)),IF(INDIRECT(ADDRESS(ROW(),COLUMN()-1,4))="15121524","Aceites de templado",""))</f>
        <v>Aceites de templado</v>
      </c>
      <c r="C510" s="58" t="str">
        <f>IFERROR(VLOOKUP("UD",'Informacion '!P:Q,2,FALSE),"")</f>
        <v>Unidad</v>
      </c>
      <c r="D510" s="25">
        <v>10</v>
      </c>
      <c r="E510" s="28">
        <v>240</v>
      </c>
      <c r="F510" s="27">
        <f t="shared" ca="1" si="17"/>
        <v>2400</v>
      </c>
    </row>
    <row r="511" spans="1:6" ht="14.25" customHeight="1" x14ac:dyDescent="0.25">
      <c r="A511" s="25" t="s">
        <v>537</v>
      </c>
      <c r="B511" s="26" t="str">
        <f ca="1">IFERROR(INDEX(UNSPSCDes,MATCH(INDIRECT(ADDRESS(ROW(),COLUMN()-1,4)),UNSPSCCode,0)),IF(INDIRECT(ADDRESS(ROW(),COLUMN()-1,4))="47131707","Secadores de manos institucionales",""))</f>
        <v>Secadores de manos institucionales</v>
      </c>
      <c r="C511" s="58" t="str">
        <f>IFERROR(VLOOKUP("UD",'Informacion '!P:Q,2,FALSE),"")</f>
        <v>Unidad</v>
      </c>
      <c r="D511" s="25">
        <v>25</v>
      </c>
      <c r="E511" s="28">
        <v>18000</v>
      </c>
      <c r="F511" s="27">
        <f t="shared" ca="1" si="17"/>
        <v>450000</v>
      </c>
    </row>
    <row r="512" spans="1:6" ht="14.25" customHeight="1" x14ac:dyDescent="0.25">
      <c r="A512" s="25" t="s">
        <v>422</v>
      </c>
      <c r="B512" s="26" t="str">
        <f ca="1">IFERROR(INDEX(UNSPSCDes,MATCH(INDIRECT(ADDRESS(ROW(),COLUMN()-1,4)),UNSPSCCode,0)),IF(INDIRECT(ADDRESS(ROW(),COLUMN()-1,4))="24121802","Latas de pintura o barniz",""))</f>
        <v>Latas de pintura o barniz</v>
      </c>
      <c r="C512" s="58" t="str">
        <f>IFERROR(VLOOKUP("UD",'Informacion '!P:Q,2,FALSE),"")</f>
        <v>Unidad</v>
      </c>
      <c r="D512" s="25">
        <v>10</v>
      </c>
      <c r="E512" s="28">
        <v>740</v>
      </c>
      <c r="F512" s="27">
        <f t="shared" ca="1" si="17"/>
        <v>7400</v>
      </c>
    </row>
    <row r="513" spans="1:10" ht="14.25" customHeight="1" x14ac:dyDescent="0.25">
      <c r="A513" s="25" t="s">
        <v>422</v>
      </c>
      <c r="B513" s="26" t="str">
        <f ca="1">IFERROR(INDEX(UNSPSCDes,MATCH(INDIRECT(ADDRESS(ROW(),COLUMN()-1,4)),UNSPSCCode,0)),IF(INDIRECT(ADDRESS(ROW(),COLUMN()-1,4))="24121802","Latas de pintura o barniz",""))</f>
        <v>Latas de pintura o barniz</v>
      </c>
      <c r="C513" s="58" t="str">
        <f>IFERROR(VLOOKUP("UD",'Informacion '!P:Q,2,FALSE),"")</f>
        <v>Unidad</v>
      </c>
      <c r="D513" s="25">
        <v>10</v>
      </c>
      <c r="E513" s="28">
        <v>740</v>
      </c>
      <c r="F513" s="27">
        <f t="shared" ca="1" si="17"/>
        <v>7400</v>
      </c>
    </row>
    <row r="514" spans="1:10" ht="14.25" customHeight="1" x14ac:dyDescent="0.25">
      <c r="A514" s="25" t="s">
        <v>422</v>
      </c>
      <c r="B514" s="26" t="str">
        <f ca="1">IFERROR(INDEX(UNSPSCDes,MATCH(INDIRECT(ADDRESS(ROW(),COLUMN()-1,4)),UNSPSCCode,0)),IF(INDIRECT(ADDRESS(ROW(),COLUMN()-1,4))="24121802","Latas de pintura o barniz",""))</f>
        <v>Latas de pintura o barniz</v>
      </c>
      <c r="C514" s="58" t="str">
        <f>IFERROR(VLOOKUP("UD",'Informacion '!P:Q,2,FALSE),"")</f>
        <v>Unidad</v>
      </c>
      <c r="D514" s="25">
        <v>10</v>
      </c>
      <c r="E514" s="28">
        <v>740</v>
      </c>
      <c r="F514" s="27">
        <f t="shared" ca="1" si="17"/>
        <v>7400</v>
      </c>
    </row>
    <row r="515" spans="1:10" ht="14.25" customHeight="1" x14ac:dyDescent="0.25">
      <c r="A515" s="25" t="s">
        <v>274</v>
      </c>
      <c r="B515" s="26" t="str">
        <f ca="1">IFERROR(INDEX(UNSPSCDes,MATCH(INDIRECT(ADDRESS(ROW(),COLUMN()-1,4)),UNSPSCCode,0)),IF(INDIRECT(ADDRESS(ROW(),COLUMN()-1,4))="23131507","Tela para lijar",""))</f>
        <v>Tela para lijar</v>
      </c>
      <c r="C515" s="58" t="str">
        <f>IFERROR(VLOOKUP("UD",'Informacion '!P:Q,2,FALSE),"")</f>
        <v>Unidad</v>
      </c>
      <c r="D515" s="25">
        <v>100</v>
      </c>
      <c r="E515" s="28">
        <v>90</v>
      </c>
      <c r="F515" s="27">
        <f t="shared" ca="1" si="17"/>
        <v>9000</v>
      </c>
    </row>
    <row r="516" spans="1:10" ht="14.25" customHeight="1" x14ac:dyDescent="0.25">
      <c r="A516" s="25" t="s">
        <v>274</v>
      </c>
      <c r="B516" s="26" t="str">
        <f ca="1">IFERROR(INDEX(UNSPSCDes,MATCH(INDIRECT(ADDRESS(ROW(),COLUMN()-1,4)),UNSPSCCode,0)),IF(INDIRECT(ADDRESS(ROW(),COLUMN()-1,4))="23131507","Tela para lijar",""))</f>
        <v>Tela para lijar</v>
      </c>
      <c r="C516" s="58" t="str">
        <f>IFERROR(VLOOKUP("UD",'Informacion '!P:Q,2,FALSE),"")</f>
        <v>Unidad</v>
      </c>
      <c r="D516" s="25">
        <v>100</v>
      </c>
      <c r="E516" s="28">
        <v>93</v>
      </c>
      <c r="F516" s="27">
        <f t="shared" ca="1" si="17"/>
        <v>9300</v>
      </c>
    </row>
    <row r="517" spans="1:10" ht="14.25" customHeight="1" x14ac:dyDescent="0.25">
      <c r="A517" s="25" t="s">
        <v>274</v>
      </c>
      <c r="B517" s="26" t="str">
        <f ca="1">IFERROR(INDEX(UNSPSCDes,MATCH(INDIRECT(ADDRESS(ROW(),COLUMN()-1,4)),UNSPSCCode,0)),IF(INDIRECT(ADDRESS(ROW(),COLUMN()-1,4))="23131507","Tela para lijar",""))</f>
        <v>Tela para lijar</v>
      </c>
      <c r="C517" s="58" t="str">
        <f>IFERROR(VLOOKUP("UD",'Informacion '!P:Q,2,FALSE),"")</f>
        <v>Unidad</v>
      </c>
      <c r="D517" s="25">
        <v>100</v>
      </c>
      <c r="E517" s="28">
        <v>25</v>
      </c>
      <c r="F517" s="27">
        <f t="shared" ca="1" si="17"/>
        <v>2500</v>
      </c>
    </row>
    <row r="518" spans="1:10" ht="14.25" customHeight="1" x14ac:dyDescent="0.25">
      <c r="A518" s="25" t="s">
        <v>274</v>
      </c>
      <c r="B518" s="26" t="str">
        <f ca="1">IFERROR(INDEX(UNSPSCDes,MATCH(INDIRECT(ADDRESS(ROW(),COLUMN()-1,4)),UNSPSCCode,0)),IF(INDIRECT(ADDRESS(ROW(),COLUMN()-1,4))="23131507","Tela para lijar",""))</f>
        <v>Tela para lijar</v>
      </c>
      <c r="C518" s="58" t="str">
        <f>IFERROR(VLOOKUP("UD",'Informacion '!P:Q,2,FALSE),"")</f>
        <v>Unidad</v>
      </c>
      <c r="D518" s="25">
        <v>100</v>
      </c>
      <c r="E518" s="28">
        <v>80</v>
      </c>
      <c r="F518" s="27">
        <f t="shared" ca="1" si="17"/>
        <v>8000</v>
      </c>
    </row>
    <row r="519" spans="1:10" ht="14.25" customHeight="1" x14ac:dyDescent="0.25">
      <c r="A519" s="25" t="s">
        <v>959</v>
      </c>
      <c r="B519" s="26" t="str">
        <f ca="1">IFERROR(INDEX(UNSPSCDes,MATCH(INDIRECT(ADDRESS(ROW(),COLUMN()-1,4)),UNSPSCCode,0)),IF(INDIRECT(ADDRESS(ROW(),COLUMN()-1,4))="40141610","Válvulas de flotación",""))</f>
        <v>Válvulas de flotación</v>
      </c>
      <c r="C519" s="58" t="str">
        <f>IFERROR(VLOOKUP("UD",'Informacion '!P:Q,2,FALSE),"")</f>
        <v>Unidad</v>
      </c>
      <c r="D519" s="25">
        <v>3</v>
      </c>
      <c r="E519" s="28">
        <v>331</v>
      </c>
      <c r="F519" s="27">
        <f t="shared" ca="1" si="17"/>
        <v>993</v>
      </c>
    </row>
    <row r="520" spans="1:10" ht="14.25" customHeight="1" x14ac:dyDescent="0.25">
      <c r="A520" s="25" t="s">
        <v>574</v>
      </c>
      <c r="B520" s="26" t="str">
        <f ca="1">IFERROR(INDEX(UNSPSCDes,MATCH(INDIRECT(ADDRESS(ROW(),COLUMN()-1,4)),UNSPSCCode,0)),IF(INDIRECT(ADDRESS(ROW(),COLUMN()-1,4))="21101801","Rociadores",""))</f>
        <v>Rociadores</v>
      </c>
      <c r="C520" s="58" t="str">
        <f>IFERROR(VLOOKUP("UD",'Informacion '!P:Q,2,FALSE),"")</f>
        <v>Unidad</v>
      </c>
      <c r="D520" s="25">
        <v>4</v>
      </c>
      <c r="E520" s="28">
        <v>12600</v>
      </c>
      <c r="F520" s="27">
        <f t="shared" ca="1" si="17"/>
        <v>50400</v>
      </c>
    </row>
    <row r="521" spans="1:10" ht="14.25" customHeight="1" x14ac:dyDescent="0.25">
      <c r="A521" s="25" t="s">
        <v>830</v>
      </c>
      <c r="B521" s="26" t="str">
        <f ca="1">IFERROR(INDEX(UNSPSCDes,MATCH(INDIRECT(ADDRESS(ROW(),COLUMN()-1,4)),UNSPSCCode,0)),IF(INDIRECT(ADDRESS(ROW(),COLUMN()-1,4))="27113204","Kits de electricista",""))</f>
        <v>Kits de electricista</v>
      </c>
      <c r="C521" s="58" t="str">
        <f>IFERROR(VLOOKUP("UD",'Informacion '!P:Q,2,FALSE),"")</f>
        <v>Unidad</v>
      </c>
      <c r="D521" s="25">
        <v>1</v>
      </c>
      <c r="E521" s="28">
        <v>2396.1999999999998</v>
      </c>
      <c r="F521" s="27">
        <f t="shared" ca="1" si="17"/>
        <v>2396.1999999999998</v>
      </c>
    </row>
    <row r="522" spans="1:10" ht="14.25" customHeight="1" x14ac:dyDescent="0.25">
      <c r="E522" s="30" t="s">
        <v>816</v>
      </c>
      <c r="F522" s="31">
        <f ca="1">SUM(Table23[MONTO TOTAL ESTIMADO])</f>
        <v>1672287.59</v>
      </c>
      <c r="H522" s="21" t="str">
        <f>C438</f>
        <v>Bienes</v>
      </c>
      <c r="I522" s="21" t="str">
        <f>E438</f>
        <v>No</v>
      </c>
      <c r="J522" s="21" t="str">
        <f>D438</f>
        <v>Compras Menores</v>
      </c>
    </row>
    <row r="524" spans="1:10" ht="33.950000000000003" customHeight="1" x14ac:dyDescent="0.25">
      <c r="A524" s="22" t="s">
        <v>1051</v>
      </c>
      <c r="B524" s="22" t="s">
        <v>11</v>
      </c>
      <c r="C524" s="22" t="s">
        <v>751</v>
      </c>
      <c r="D524" s="22" t="s">
        <v>930</v>
      </c>
      <c r="E524" s="22" t="s">
        <v>699</v>
      </c>
      <c r="F524" s="22" t="s">
        <v>710</v>
      </c>
    </row>
    <row r="525" spans="1:10" ht="14.25" customHeight="1" x14ac:dyDescent="0.25">
      <c r="A525" s="23" t="s">
        <v>1075</v>
      </c>
      <c r="B525" s="23" t="s">
        <v>1075</v>
      </c>
      <c r="C525" s="23" t="s">
        <v>1155</v>
      </c>
      <c r="D525" s="23" t="s">
        <v>146</v>
      </c>
      <c r="E525" s="23" t="s">
        <v>561</v>
      </c>
      <c r="F525" s="23" t="s">
        <v>436</v>
      </c>
    </row>
    <row r="526" spans="1:10" ht="14.25" customHeight="1" x14ac:dyDescent="0.25">
      <c r="A526" s="68" t="s">
        <v>965</v>
      </c>
      <c r="B526" s="24" t="s">
        <v>543</v>
      </c>
      <c r="C526" s="54">
        <v>46117</v>
      </c>
      <c r="D526" s="68" t="s">
        <v>598</v>
      </c>
      <c r="E526" s="56" t="s">
        <v>858</v>
      </c>
      <c r="F526" s="57"/>
    </row>
    <row r="527" spans="1:10" ht="14.25" customHeight="1" x14ac:dyDescent="0.25">
      <c r="A527" s="69"/>
      <c r="B527" s="24" t="s">
        <v>112</v>
      </c>
      <c r="C527" s="55">
        <f>IF(C526="","",IF(AND(MONTH(C526)&gt;=1,MONTH(C526)&lt;=3),1,IF(AND(MONTH(C526)&gt;=4,MONTH(C526)&lt;=6),2,IF(AND(MONTH(C526)&gt;=7,MONTH(C526)&lt;=9),3,4))))</f>
        <v>2</v>
      </c>
      <c r="D527" s="69"/>
      <c r="E527" s="56" t="s">
        <v>143</v>
      </c>
      <c r="F527" s="57"/>
    </row>
    <row r="528" spans="1:10" ht="14.25" customHeight="1" x14ac:dyDescent="0.25">
      <c r="A528" s="69"/>
      <c r="B528" s="24" t="s">
        <v>844</v>
      </c>
      <c r="C528" s="54">
        <v>46203</v>
      </c>
      <c r="D528" s="69"/>
      <c r="E528" s="56" t="s">
        <v>183</v>
      </c>
      <c r="F528" s="57"/>
    </row>
    <row r="529" spans="1:6" ht="14.25" customHeight="1" x14ac:dyDescent="0.25">
      <c r="A529" s="69"/>
      <c r="B529" s="24" t="s">
        <v>112</v>
      </c>
      <c r="C529" s="55">
        <f>IF(C528="","",IF(AND(MONTH(C528)&gt;=1,MONTH(C528)&lt;=3),1,IF(AND(MONTH(C528)&gt;=4,MONTH(C528)&lt;=6),2,IF(AND(MONTH(C528)&gt;=7,MONTH(C528)&lt;=9),3,4))))</f>
        <v>2</v>
      </c>
      <c r="D529" s="69"/>
      <c r="E529" s="56" t="s">
        <v>865</v>
      </c>
      <c r="F529" s="57"/>
    </row>
    <row r="531" spans="1:6" ht="14.25" customHeight="1" x14ac:dyDescent="0.25">
      <c r="A531" s="29" t="s">
        <v>1017</v>
      </c>
      <c r="B531" s="29" t="s">
        <v>1042</v>
      </c>
      <c r="C531" s="29" t="s">
        <v>1011</v>
      </c>
      <c r="D531" s="29" t="s">
        <v>985</v>
      </c>
      <c r="E531" s="29" t="s">
        <v>449</v>
      </c>
      <c r="F531" s="29" t="s">
        <v>989</v>
      </c>
    </row>
    <row r="532" spans="1:6" ht="14.25" customHeight="1" x14ac:dyDescent="0.25">
      <c r="A532" s="25" t="s">
        <v>766</v>
      </c>
      <c r="B532" s="26" t="str">
        <f t="shared" ref="B532:B574" ca="1" si="18">IFERROR(INDEX(UNSPSCDes,MATCH(INDIRECT(ADDRESS(ROW(),COLUMN()-1,4)),UNSPSCCode,0)),IF(INDIRECT(ADDRESS(ROW(),COLUMN()-1,4))="81112501","Servicio de licencias de programas informáticos",""))</f>
        <v>Servicio de licencias de programas informáticos</v>
      </c>
      <c r="C532" s="58" t="str">
        <f>IFERROR(VLOOKUP("UD",'Informacion '!P:Q,2,FALSE),"")</f>
        <v>Unidad</v>
      </c>
      <c r="D532" s="25">
        <v>1</v>
      </c>
      <c r="E532" s="28">
        <v>15000000</v>
      </c>
      <c r="F532" s="27">
        <f t="shared" ref="F532:F574" ca="1" si="19">INDIRECT(ADDRESS(ROW(),COLUMN()-2,4))*INDIRECT(ADDRESS(ROW(),COLUMN()-1,4))</f>
        <v>15000000</v>
      </c>
    </row>
    <row r="533" spans="1:6" ht="14.25" customHeight="1" x14ac:dyDescent="0.25">
      <c r="A533" s="25" t="s">
        <v>766</v>
      </c>
      <c r="B533" s="26" t="str">
        <f t="shared" ca="1" si="18"/>
        <v>Servicio de licencias de programas informáticos</v>
      </c>
      <c r="C533" s="58" t="str">
        <f>IFERROR(VLOOKUP("UD",'Informacion '!P:Q,2,FALSE),"")</f>
        <v>Unidad</v>
      </c>
      <c r="D533" s="25">
        <v>76</v>
      </c>
      <c r="E533" s="28">
        <v>190000</v>
      </c>
      <c r="F533" s="27">
        <f t="shared" ca="1" si="19"/>
        <v>14440000</v>
      </c>
    </row>
    <row r="534" spans="1:6" ht="14.25" customHeight="1" x14ac:dyDescent="0.25">
      <c r="A534" s="25" t="s">
        <v>766</v>
      </c>
      <c r="B534" s="26" t="str">
        <f t="shared" ca="1" si="18"/>
        <v>Servicio de licencias de programas informáticos</v>
      </c>
      <c r="C534" s="58" t="str">
        <f>IFERROR(VLOOKUP("UD",'Informacion '!P:Q,2,FALSE),"")</f>
        <v>Unidad</v>
      </c>
      <c r="D534" s="25">
        <v>1</v>
      </c>
      <c r="E534" s="28">
        <v>10000000</v>
      </c>
      <c r="F534" s="27">
        <f t="shared" ca="1" si="19"/>
        <v>10000000</v>
      </c>
    </row>
    <row r="535" spans="1:6" ht="14.25" customHeight="1" x14ac:dyDescent="0.25">
      <c r="A535" s="25" t="s">
        <v>766</v>
      </c>
      <c r="B535" s="26" t="str">
        <f t="shared" ca="1" si="18"/>
        <v>Servicio de licencias de programas informáticos</v>
      </c>
      <c r="C535" s="58" t="str">
        <f>IFERROR(VLOOKUP("UD",'Informacion '!P:Q,2,FALSE),"")</f>
        <v>Unidad</v>
      </c>
      <c r="D535" s="25">
        <v>1</v>
      </c>
      <c r="E535" s="28">
        <v>6500000</v>
      </c>
      <c r="F535" s="27">
        <f t="shared" ca="1" si="19"/>
        <v>6500000</v>
      </c>
    </row>
    <row r="536" spans="1:6" ht="14.25" customHeight="1" x14ac:dyDescent="0.25">
      <c r="A536" s="25" t="s">
        <v>766</v>
      </c>
      <c r="B536" s="26" t="str">
        <f t="shared" ca="1" si="18"/>
        <v>Servicio de licencias de programas informáticos</v>
      </c>
      <c r="C536" s="58" t="str">
        <f>IFERROR(VLOOKUP("UD",'Informacion '!P:Q,2,FALSE),"")</f>
        <v>Unidad</v>
      </c>
      <c r="D536" s="25">
        <v>1</v>
      </c>
      <c r="E536" s="28">
        <v>6500000</v>
      </c>
      <c r="F536" s="27">
        <f t="shared" ca="1" si="19"/>
        <v>6500000</v>
      </c>
    </row>
    <row r="537" spans="1:6" ht="14.25" customHeight="1" x14ac:dyDescent="0.25">
      <c r="A537" s="25" t="s">
        <v>766</v>
      </c>
      <c r="B537" s="26" t="str">
        <f t="shared" ca="1" si="18"/>
        <v>Servicio de licencias de programas informáticos</v>
      </c>
      <c r="C537" s="58" t="str">
        <f>IFERROR(VLOOKUP("UD",'Informacion '!P:Q,2,FALSE),"")</f>
        <v>Unidad</v>
      </c>
      <c r="D537" s="25">
        <v>20</v>
      </c>
      <c r="E537" s="28">
        <v>200000</v>
      </c>
      <c r="F537" s="27">
        <f t="shared" ca="1" si="19"/>
        <v>4000000</v>
      </c>
    </row>
    <row r="538" spans="1:6" ht="14.25" customHeight="1" x14ac:dyDescent="0.25">
      <c r="A538" s="25" t="s">
        <v>766</v>
      </c>
      <c r="B538" s="26" t="str">
        <f t="shared" ca="1" si="18"/>
        <v>Servicio de licencias de programas informáticos</v>
      </c>
      <c r="C538" s="58" t="str">
        <f>IFERROR(VLOOKUP("UD",'Informacion '!P:Q,2,FALSE),"")</f>
        <v>Unidad</v>
      </c>
      <c r="D538" s="25">
        <v>1</v>
      </c>
      <c r="E538" s="28">
        <v>3500000</v>
      </c>
      <c r="F538" s="27">
        <f t="shared" ca="1" si="19"/>
        <v>3500000</v>
      </c>
    </row>
    <row r="539" spans="1:6" ht="14.25" customHeight="1" x14ac:dyDescent="0.25">
      <c r="A539" s="25" t="s">
        <v>766</v>
      </c>
      <c r="B539" s="26" t="str">
        <f t="shared" ca="1" si="18"/>
        <v>Servicio de licencias de programas informáticos</v>
      </c>
      <c r="C539" s="58" t="str">
        <f>IFERROR(VLOOKUP("UD",'Informacion '!P:Q,2,FALSE),"")</f>
        <v>Unidad</v>
      </c>
      <c r="D539" s="25">
        <v>1</v>
      </c>
      <c r="E539" s="28">
        <v>2500000</v>
      </c>
      <c r="F539" s="27">
        <f t="shared" ca="1" si="19"/>
        <v>2500000</v>
      </c>
    </row>
    <row r="540" spans="1:6" ht="14.25" customHeight="1" x14ac:dyDescent="0.25">
      <c r="A540" s="25" t="s">
        <v>766</v>
      </c>
      <c r="B540" s="26" t="str">
        <f t="shared" ca="1" si="18"/>
        <v>Servicio de licencias de programas informáticos</v>
      </c>
      <c r="C540" s="58" t="str">
        <f>IFERROR(VLOOKUP("UD",'Informacion '!P:Q,2,FALSE),"")</f>
        <v>Unidad</v>
      </c>
      <c r="D540" s="25">
        <v>1</v>
      </c>
      <c r="E540" s="28">
        <v>3000000</v>
      </c>
      <c r="F540" s="27">
        <f t="shared" ca="1" si="19"/>
        <v>3000000</v>
      </c>
    </row>
    <row r="541" spans="1:6" ht="14.25" customHeight="1" x14ac:dyDescent="0.25">
      <c r="A541" s="25" t="s">
        <v>766</v>
      </c>
      <c r="B541" s="26" t="str">
        <f t="shared" ca="1" si="18"/>
        <v>Servicio de licencias de programas informáticos</v>
      </c>
      <c r="C541" s="58" t="str">
        <f>IFERROR(VLOOKUP("UD",'Informacion '!P:Q,2,FALSE),"")</f>
        <v>Unidad</v>
      </c>
      <c r="D541" s="25">
        <v>1</v>
      </c>
      <c r="E541" s="28">
        <v>1000000</v>
      </c>
      <c r="F541" s="27">
        <f t="shared" ca="1" si="19"/>
        <v>1000000</v>
      </c>
    </row>
    <row r="542" spans="1:6" ht="14.25" customHeight="1" x14ac:dyDescent="0.25">
      <c r="A542" s="25" t="s">
        <v>766</v>
      </c>
      <c r="B542" s="26" t="str">
        <f t="shared" ca="1" si="18"/>
        <v>Servicio de licencias de programas informáticos</v>
      </c>
      <c r="C542" s="58" t="str">
        <f>IFERROR(VLOOKUP("UD",'Informacion '!P:Q,2,FALSE),"")</f>
        <v>Unidad</v>
      </c>
      <c r="D542" s="25">
        <v>1</v>
      </c>
      <c r="E542" s="28">
        <v>1800000</v>
      </c>
      <c r="F542" s="27">
        <f t="shared" ca="1" si="19"/>
        <v>1800000</v>
      </c>
    </row>
    <row r="543" spans="1:6" ht="14.25" customHeight="1" x14ac:dyDescent="0.25">
      <c r="A543" s="25" t="s">
        <v>766</v>
      </c>
      <c r="B543" s="26" t="str">
        <f t="shared" ca="1" si="18"/>
        <v>Servicio de licencias de programas informáticos</v>
      </c>
      <c r="C543" s="58" t="str">
        <f>IFERROR(VLOOKUP("UD",'Informacion '!P:Q,2,FALSE),"")</f>
        <v>Unidad</v>
      </c>
      <c r="D543" s="25">
        <v>12</v>
      </c>
      <c r="E543" s="28">
        <v>150000</v>
      </c>
      <c r="F543" s="27">
        <f t="shared" ca="1" si="19"/>
        <v>1800000</v>
      </c>
    </row>
    <row r="544" spans="1:6" ht="14.25" customHeight="1" x14ac:dyDescent="0.25">
      <c r="A544" s="25" t="s">
        <v>766</v>
      </c>
      <c r="B544" s="26" t="str">
        <f t="shared" ca="1" si="18"/>
        <v>Servicio de licencias de programas informáticos</v>
      </c>
      <c r="C544" s="58" t="str">
        <f>IFERROR(VLOOKUP("UD",'Informacion '!P:Q,2,FALSE),"")</f>
        <v>Unidad</v>
      </c>
      <c r="D544" s="25">
        <v>12</v>
      </c>
      <c r="E544" s="28">
        <v>110000</v>
      </c>
      <c r="F544" s="27">
        <f t="shared" ca="1" si="19"/>
        <v>1320000</v>
      </c>
    </row>
    <row r="545" spans="1:6" ht="14.25" customHeight="1" x14ac:dyDescent="0.25">
      <c r="A545" s="25" t="s">
        <v>766</v>
      </c>
      <c r="B545" s="26" t="str">
        <f t="shared" ca="1" si="18"/>
        <v>Servicio de licencias de programas informáticos</v>
      </c>
      <c r="C545" s="58" t="str">
        <f>IFERROR(VLOOKUP("UD",'Informacion '!P:Q,2,FALSE),"")</f>
        <v>Unidad</v>
      </c>
      <c r="D545" s="25">
        <v>1</v>
      </c>
      <c r="E545" s="28">
        <v>1000000</v>
      </c>
      <c r="F545" s="27">
        <f t="shared" ca="1" si="19"/>
        <v>1000000</v>
      </c>
    </row>
    <row r="546" spans="1:6" ht="14.25" customHeight="1" x14ac:dyDescent="0.25">
      <c r="A546" s="25" t="s">
        <v>766</v>
      </c>
      <c r="B546" s="26" t="str">
        <f t="shared" ca="1" si="18"/>
        <v>Servicio de licencias de programas informáticos</v>
      </c>
      <c r="C546" s="58" t="str">
        <f>IFERROR(VLOOKUP("UD",'Informacion '!P:Q,2,FALSE),"")</f>
        <v>Unidad</v>
      </c>
      <c r="D546" s="25">
        <v>1</v>
      </c>
      <c r="E546" s="28">
        <v>1000000</v>
      </c>
      <c r="F546" s="27">
        <f t="shared" ca="1" si="19"/>
        <v>1000000</v>
      </c>
    </row>
    <row r="547" spans="1:6" ht="14.25" customHeight="1" x14ac:dyDescent="0.25">
      <c r="A547" s="25" t="s">
        <v>766</v>
      </c>
      <c r="B547" s="26" t="str">
        <f t="shared" ca="1" si="18"/>
        <v>Servicio de licencias de programas informáticos</v>
      </c>
      <c r="C547" s="58" t="str">
        <f>IFERROR(VLOOKUP("UD",'Informacion '!P:Q,2,FALSE),"")</f>
        <v>Unidad</v>
      </c>
      <c r="D547" s="25">
        <v>1</v>
      </c>
      <c r="E547" s="28">
        <v>1000000</v>
      </c>
      <c r="F547" s="27">
        <f t="shared" ca="1" si="19"/>
        <v>1000000</v>
      </c>
    </row>
    <row r="548" spans="1:6" ht="14.25" customHeight="1" x14ac:dyDescent="0.25">
      <c r="A548" s="25" t="s">
        <v>766</v>
      </c>
      <c r="B548" s="26" t="str">
        <f t="shared" ca="1" si="18"/>
        <v>Servicio de licencias de programas informáticos</v>
      </c>
      <c r="C548" s="58" t="str">
        <f>IFERROR(VLOOKUP("UD",'Informacion '!P:Q,2,FALSE),"")</f>
        <v>Unidad</v>
      </c>
      <c r="D548" s="25">
        <v>1</v>
      </c>
      <c r="E548" s="28">
        <v>1000000</v>
      </c>
      <c r="F548" s="27">
        <f t="shared" ca="1" si="19"/>
        <v>1000000</v>
      </c>
    </row>
    <row r="549" spans="1:6" ht="14.25" customHeight="1" x14ac:dyDescent="0.25">
      <c r="A549" s="25" t="s">
        <v>766</v>
      </c>
      <c r="B549" s="26" t="str">
        <f t="shared" ca="1" si="18"/>
        <v>Servicio de licencias de programas informáticos</v>
      </c>
      <c r="C549" s="58" t="str">
        <f>IFERROR(VLOOKUP("UD",'Informacion '!P:Q,2,FALSE),"")</f>
        <v>Unidad</v>
      </c>
      <c r="D549" s="25">
        <v>1</v>
      </c>
      <c r="E549" s="28">
        <v>950000</v>
      </c>
      <c r="F549" s="27">
        <f t="shared" ca="1" si="19"/>
        <v>950000</v>
      </c>
    </row>
    <row r="550" spans="1:6" ht="14.25" customHeight="1" x14ac:dyDescent="0.25">
      <c r="A550" s="25" t="s">
        <v>766</v>
      </c>
      <c r="B550" s="26" t="str">
        <f t="shared" ca="1" si="18"/>
        <v>Servicio de licencias de programas informáticos</v>
      </c>
      <c r="C550" s="58" t="str">
        <f>IFERROR(VLOOKUP("UD",'Informacion '!P:Q,2,FALSE),"")</f>
        <v>Unidad</v>
      </c>
      <c r="D550" s="25">
        <v>1</v>
      </c>
      <c r="E550" s="28">
        <v>800000</v>
      </c>
      <c r="F550" s="27">
        <f t="shared" ca="1" si="19"/>
        <v>800000</v>
      </c>
    </row>
    <row r="551" spans="1:6" ht="14.25" customHeight="1" x14ac:dyDescent="0.25">
      <c r="A551" s="25" t="s">
        <v>766</v>
      </c>
      <c r="B551" s="26" t="str">
        <f t="shared" ca="1" si="18"/>
        <v>Servicio de licencias de programas informáticos</v>
      </c>
      <c r="C551" s="58" t="str">
        <f>IFERROR(VLOOKUP("UD",'Informacion '!P:Q,2,FALSE),"")</f>
        <v>Unidad</v>
      </c>
      <c r="D551" s="25">
        <v>1</v>
      </c>
      <c r="E551" s="28">
        <v>750000</v>
      </c>
      <c r="F551" s="27">
        <f t="shared" ca="1" si="19"/>
        <v>750000</v>
      </c>
    </row>
    <row r="552" spans="1:6" ht="14.25" customHeight="1" x14ac:dyDescent="0.25">
      <c r="A552" s="25" t="s">
        <v>766</v>
      </c>
      <c r="B552" s="26" t="str">
        <f t="shared" ca="1" si="18"/>
        <v>Servicio de licencias de programas informáticos</v>
      </c>
      <c r="C552" s="58" t="str">
        <f>IFERROR(VLOOKUP("UD",'Informacion '!P:Q,2,FALSE),"")</f>
        <v>Unidad</v>
      </c>
      <c r="D552" s="25">
        <v>1</v>
      </c>
      <c r="E552" s="28">
        <v>750000</v>
      </c>
      <c r="F552" s="27">
        <f t="shared" ca="1" si="19"/>
        <v>750000</v>
      </c>
    </row>
    <row r="553" spans="1:6" ht="14.25" customHeight="1" x14ac:dyDescent="0.25">
      <c r="A553" s="25" t="s">
        <v>766</v>
      </c>
      <c r="B553" s="26" t="str">
        <f t="shared" ca="1" si="18"/>
        <v>Servicio de licencias de programas informáticos</v>
      </c>
      <c r="C553" s="58" t="str">
        <f>IFERROR(VLOOKUP("UD",'Informacion '!P:Q,2,FALSE),"")</f>
        <v>Unidad</v>
      </c>
      <c r="D553" s="25">
        <v>1</v>
      </c>
      <c r="E553" s="28">
        <v>750000</v>
      </c>
      <c r="F553" s="27">
        <f t="shared" ca="1" si="19"/>
        <v>750000</v>
      </c>
    </row>
    <row r="554" spans="1:6" ht="14.25" customHeight="1" x14ac:dyDescent="0.25">
      <c r="A554" s="25" t="s">
        <v>766</v>
      </c>
      <c r="B554" s="26" t="str">
        <f t="shared" ca="1" si="18"/>
        <v>Servicio de licencias de programas informáticos</v>
      </c>
      <c r="C554" s="58" t="str">
        <f>IFERROR(VLOOKUP("UD",'Informacion '!P:Q,2,FALSE),"")</f>
        <v>Unidad</v>
      </c>
      <c r="D554" s="25">
        <v>5</v>
      </c>
      <c r="E554" s="28">
        <v>150000</v>
      </c>
      <c r="F554" s="27">
        <f t="shared" ca="1" si="19"/>
        <v>750000</v>
      </c>
    </row>
    <row r="555" spans="1:6" ht="14.25" customHeight="1" x14ac:dyDescent="0.25">
      <c r="A555" s="25" t="s">
        <v>766</v>
      </c>
      <c r="B555" s="26" t="str">
        <f t="shared" ca="1" si="18"/>
        <v>Servicio de licencias de programas informáticos</v>
      </c>
      <c r="C555" s="58" t="str">
        <f>IFERROR(VLOOKUP("UD",'Informacion '!P:Q,2,FALSE),"")</f>
        <v>Unidad</v>
      </c>
      <c r="D555" s="25">
        <v>10</v>
      </c>
      <c r="E555" s="28">
        <v>50000</v>
      </c>
      <c r="F555" s="27">
        <f t="shared" ca="1" si="19"/>
        <v>500000</v>
      </c>
    </row>
    <row r="556" spans="1:6" ht="14.25" customHeight="1" x14ac:dyDescent="0.25">
      <c r="A556" s="25" t="s">
        <v>766</v>
      </c>
      <c r="B556" s="26" t="str">
        <f t="shared" ca="1" si="18"/>
        <v>Servicio de licencias de programas informáticos</v>
      </c>
      <c r="C556" s="58" t="str">
        <f>IFERROR(VLOOKUP("UD",'Informacion '!P:Q,2,FALSE),"")</f>
        <v>Unidad</v>
      </c>
      <c r="D556" s="25">
        <v>2</v>
      </c>
      <c r="E556" s="28">
        <v>240000</v>
      </c>
      <c r="F556" s="27">
        <f t="shared" ca="1" si="19"/>
        <v>480000</v>
      </c>
    </row>
    <row r="557" spans="1:6" ht="14.25" customHeight="1" x14ac:dyDescent="0.25">
      <c r="A557" s="25" t="s">
        <v>766</v>
      </c>
      <c r="B557" s="26" t="str">
        <f t="shared" ca="1" si="18"/>
        <v>Servicio de licencias de programas informáticos</v>
      </c>
      <c r="C557" s="58" t="str">
        <f>IFERROR(VLOOKUP("UD",'Informacion '!P:Q,2,FALSE),"")</f>
        <v>Unidad</v>
      </c>
      <c r="D557" s="25">
        <v>10</v>
      </c>
      <c r="E557" s="28">
        <v>45000</v>
      </c>
      <c r="F557" s="27">
        <f t="shared" ca="1" si="19"/>
        <v>450000</v>
      </c>
    </row>
    <row r="558" spans="1:6" ht="14.25" customHeight="1" x14ac:dyDescent="0.25">
      <c r="A558" s="25" t="s">
        <v>766</v>
      </c>
      <c r="B558" s="26" t="str">
        <f t="shared" ca="1" si="18"/>
        <v>Servicio de licencias de programas informáticos</v>
      </c>
      <c r="C558" s="58" t="str">
        <f>IFERROR(VLOOKUP("UD",'Informacion '!P:Q,2,FALSE),"")</f>
        <v>Unidad</v>
      </c>
      <c r="D558" s="25">
        <v>2</v>
      </c>
      <c r="E558" s="28">
        <v>160000</v>
      </c>
      <c r="F558" s="27">
        <f t="shared" ca="1" si="19"/>
        <v>320000</v>
      </c>
    </row>
    <row r="559" spans="1:6" ht="14.25" customHeight="1" x14ac:dyDescent="0.25">
      <c r="A559" s="25" t="s">
        <v>766</v>
      </c>
      <c r="B559" s="26" t="str">
        <f t="shared" ca="1" si="18"/>
        <v>Servicio de licencias de programas informáticos</v>
      </c>
      <c r="C559" s="58" t="str">
        <f>IFERROR(VLOOKUP("UD",'Informacion '!P:Q,2,FALSE),"")</f>
        <v>Unidad</v>
      </c>
      <c r="D559" s="25">
        <v>2</v>
      </c>
      <c r="E559" s="28">
        <v>160000</v>
      </c>
      <c r="F559" s="27">
        <f t="shared" ca="1" si="19"/>
        <v>320000</v>
      </c>
    </row>
    <row r="560" spans="1:6" ht="14.25" customHeight="1" x14ac:dyDescent="0.25">
      <c r="A560" s="25" t="s">
        <v>766</v>
      </c>
      <c r="B560" s="26" t="str">
        <f t="shared" ca="1" si="18"/>
        <v>Servicio de licencias de programas informáticos</v>
      </c>
      <c r="C560" s="58" t="str">
        <f>IFERROR(VLOOKUP("UD",'Informacion '!P:Q,2,FALSE),"")</f>
        <v>Unidad</v>
      </c>
      <c r="D560" s="25">
        <v>10</v>
      </c>
      <c r="E560" s="28">
        <v>28000</v>
      </c>
      <c r="F560" s="27">
        <f t="shared" ca="1" si="19"/>
        <v>280000</v>
      </c>
    </row>
    <row r="561" spans="1:10" ht="14.25" customHeight="1" x14ac:dyDescent="0.25">
      <c r="A561" s="25" t="s">
        <v>766</v>
      </c>
      <c r="B561" s="26" t="str">
        <f t="shared" ca="1" si="18"/>
        <v>Servicio de licencias de programas informáticos</v>
      </c>
      <c r="C561" s="58" t="str">
        <f>IFERROR(VLOOKUP("UD",'Informacion '!P:Q,2,FALSE),"")</f>
        <v>Unidad</v>
      </c>
      <c r="D561" s="25">
        <v>5</v>
      </c>
      <c r="E561" s="28">
        <v>50000</v>
      </c>
      <c r="F561" s="27">
        <f t="shared" ca="1" si="19"/>
        <v>250000</v>
      </c>
    </row>
    <row r="562" spans="1:10" ht="14.25" customHeight="1" x14ac:dyDescent="0.25">
      <c r="A562" s="25" t="s">
        <v>766</v>
      </c>
      <c r="B562" s="26" t="str">
        <f t="shared" ca="1" si="18"/>
        <v>Servicio de licencias de programas informáticos</v>
      </c>
      <c r="C562" s="58" t="str">
        <f>IFERROR(VLOOKUP("UD",'Informacion '!P:Q,2,FALSE),"")</f>
        <v>Unidad</v>
      </c>
      <c r="D562" s="25">
        <v>1</v>
      </c>
      <c r="E562" s="28">
        <v>240000</v>
      </c>
      <c r="F562" s="27">
        <f t="shared" ca="1" si="19"/>
        <v>240000</v>
      </c>
    </row>
    <row r="563" spans="1:10" ht="14.25" customHeight="1" x14ac:dyDescent="0.25">
      <c r="A563" s="25" t="s">
        <v>766</v>
      </c>
      <c r="B563" s="26" t="str">
        <f t="shared" ca="1" si="18"/>
        <v>Servicio de licencias de programas informáticos</v>
      </c>
      <c r="C563" s="58" t="str">
        <f>IFERROR(VLOOKUP("UD",'Informacion '!P:Q,2,FALSE),"")</f>
        <v>Unidad</v>
      </c>
      <c r="D563" s="25">
        <v>1</v>
      </c>
      <c r="E563" s="28">
        <v>240000</v>
      </c>
      <c r="F563" s="27">
        <f t="shared" ca="1" si="19"/>
        <v>240000</v>
      </c>
    </row>
    <row r="564" spans="1:10" ht="14.25" customHeight="1" x14ac:dyDescent="0.25">
      <c r="A564" s="25" t="s">
        <v>766</v>
      </c>
      <c r="B564" s="26" t="str">
        <f t="shared" ca="1" si="18"/>
        <v>Servicio de licencias de programas informáticos</v>
      </c>
      <c r="C564" s="58" t="str">
        <f>IFERROR(VLOOKUP("UD",'Informacion '!P:Q,2,FALSE),"")</f>
        <v>Unidad</v>
      </c>
      <c r="D564" s="25">
        <v>2</v>
      </c>
      <c r="E564" s="28">
        <v>110000</v>
      </c>
      <c r="F564" s="27">
        <f t="shared" ca="1" si="19"/>
        <v>220000</v>
      </c>
    </row>
    <row r="565" spans="1:10" ht="14.25" customHeight="1" x14ac:dyDescent="0.25">
      <c r="A565" s="25" t="s">
        <v>766</v>
      </c>
      <c r="B565" s="26" t="str">
        <f t="shared" ca="1" si="18"/>
        <v>Servicio de licencias de programas informáticos</v>
      </c>
      <c r="C565" s="58" t="str">
        <f>IFERROR(VLOOKUP("UD",'Informacion '!P:Q,2,FALSE),"")</f>
        <v>Unidad</v>
      </c>
      <c r="D565" s="25">
        <v>1</v>
      </c>
      <c r="E565" s="28">
        <v>200000</v>
      </c>
      <c r="F565" s="27">
        <f t="shared" ca="1" si="19"/>
        <v>200000</v>
      </c>
    </row>
    <row r="566" spans="1:10" ht="14.25" customHeight="1" x14ac:dyDescent="0.25">
      <c r="A566" s="25" t="s">
        <v>766</v>
      </c>
      <c r="B566" s="26" t="str">
        <f t="shared" ca="1" si="18"/>
        <v>Servicio de licencias de programas informáticos</v>
      </c>
      <c r="C566" s="58" t="str">
        <f>IFERROR(VLOOKUP("UD",'Informacion '!P:Q,2,FALSE),"")</f>
        <v>Unidad</v>
      </c>
      <c r="D566" s="25">
        <v>1</v>
      </c>
      <c r="E566" s="28">
        <v>150000</v>
      </c>
      <c r="F566" s="27">
        <f t="shared" ca="1" si="19"/>
        <v>150000</v>
      </c>
    </row>
    <row r="567" spans="1:10" ht="14.25" customHeight="1" x14ac:dyDescent="0.25">
      <c r="A567" s="25" t="s">
        <v>766</v>
      </c>
      <c r="B567" s="26" t="str">
        <f t="shared" ca="1" si="18"/>
        <v>Servicio de licencias de programas informáticos</v>
      </c>
      <c r="C567" s="58" t="str">
        <f>IFERROR(VLOOKUP("UD",'Informacion '!P:Q,2,FALSE),"")</f>
        <v>Unidad</v>
      </c>
      <c r="D567" s="25">
        <v>3</v>
      </c>
      <c r="E567" s="28">
        <v>35000</v>
      </c>
      <c r="F567" s="27">
        <f t="shared" ca="1" si="19"/>
        <v>105000</v>
      </c>
    </row>
    <row r="568" spans="1:10" ht="14.25" customHeight="1" x14ac:dyDescent="0.25">
      <c r="A568" s="25" t="s">
        <v>766</v>
      </c>
      <c r="B568" s="26" t="str">
        <f t="shared" ca="1" si="18"/>
        <v>Servicio de licencias de programas informáticos</v>
      </c>
      <c r="C568" s="58" t="str">
        <f>IFERROR(VLOOKUP("UD",'Informacion '!P:Q,2,FALSE),"")</f>
        <v>Unidad</v>
      </c>
      <c r="D568" s="25">
        <v>5</v>
      </c>
      <c r="E568" s="28">
        <v>20000</v>
      </c>
      <c r="F568" s="27">
        <f t="shared" ca="1" si="19"/>
        <v>100000</v>
      </c>
    </row>
    <row r="569" spans="1:10" ht="14.25" customHeight="1" x14ac:dyDescent="0.25">
      <c r="A569" s="25" t="s">
        <v>766</v>
      </c>
      <c r="B569" s="26" t="str">
        <f t="shared" ca="1" si="18"/>
        <v>Servicio de licencias de programas informáticos</v>
      </c>
      <c r="C569" s="58" t="str">
        <f>IFERROR(VLOOKUP("UD",'Informacion '!P:Q,2,FALSE),"")</f>
        <v>Unidad</v>
      </c>
      <c r="D569" s="25">
        <v>12</v>
      </c>
      <c r="E569" s="28">
        <v>5409</v>
      </c>
      <c r="F569" s="27">
        <f t="shared" ca="1" si="19"/>
        <v>64908</v>
      </c>
    </row>
    <row r="570" spans="1:10" ht="14.25" customHeight="1" x14ac:dyDescent="0.25">
      <c r="A570" s="25" t="s">
        <v>766</v>
      </c>
      <c r="B570" s="26" t="str">
        <f t="shared" ca="1" si="18"/>
        <v>Servicio de licencias de programas informáticos</v>
      </c>
      <c r="C570" s="58" t="str">
        <f>IFERROR(VLOOKUP("UD",'Informacion '!P:Q,2,FALSE),"")</f>
        <v>Unidad</v>
      </c>
      <c r="D570" s="25">
        <v>2</v>
      </c>
      <c r="E570" s="28">
        <v>30000</v>
      </c>
      <c r="F570" s="27">
        <f t="shared" ca="1" si="19"/>
        <v>60000</v>
      </c>
    </row>
    <row r="571" spans="1:10" ht="14.25" customHeight="1" x14ac:dyDescent="0.25">
      <c r="A571" s="25" t="s">
        <v>766</v>
      </c>
      <c r="B571" s="26" t="str">
        <f t="shared" ca="1" si="18"/>
        <v>Servicio de licencias de programas informáticos</v>
      </c>
      <c r="C571" s="58" t="str">
        <f>IFERROR(VLOOKUP("UD",'Informacion '!P:Q,2,FALSE),"")</f>
        <v>Unidad</v>
      </c>
      <c r="D571" s="25">
        <v>1</v>
      </c>
      <c r="E571" s="28">
        <v>50000</v>
      </c>
      <c r="F571" s="27">
        <f t="shared" ca="1" si="19"/>
        <v>50000</v>
      </c>
    </row>
    <row r="572" spans="1:10" ht="14.25" customHeight="1" x14ac:dyDescent="0.25">
      <c r="A572" s="25" t="s">
        <v>766</v>
      </c>
      <c r="B572" s="26" t="str">
        <f t="shared" ca="1" si="18"/>
        <v>Servicio de licencias de programas informáticos</v>
      </c>
      <c r="C572" s="58" t="str">
        <f>IFERROR(VLOOKUP("UD",'Informacion '!P:Q,2,FALSE),"")</f>
        <v>Unidad</v>
      </c>
      <c r="D572" s="25">
        <v>1</v>
      </c>
      <c r="E572" s="28">
        <v>50000</v>
      </c>
      <c r="F572" s="27">
        <f t="shared" ca="1" si="19"/>
        <v>50000</v>
      </c>
    </row>
    <row r="573" spans="1:10" ht="14.25" customHeight="1" x14ac:dyDescent="0.25">
      <c r="A573" s="25" t="s">
        <v>766</v>
      </c>
      <c r="B573" s="26" t="str">
        <f t="shared" ca="1" si="18"/>
        <v>Servicio de licencias de programas informáticos</v>
      </c>
      <c r="C573" s="58" t="str">
        <f>IFERROR(VLOOKUP("UD",'Informacion '!P:Q,2,FALSE),"")</f>
        <v>Unidad</v>
      </c>
      <c r="D573" s="25">
        <v>1</v>
      </c>
      <c r="E573" s="28">
        <v>17000</v>
      </c>
      <c r="F573" s="27">
        <f t="shared" ca="1" si="19"/>
        <v>17000</v>
      </c>
    </row>
    <row r="574" spans="1:10" ht="14.25" customHeight="1" x14ac:dyDescent="0.25">
      <c r="A574" s="25" t="s">
        <v>766</v>
      </c>
      <c r="B574" s="26" t="str">
        <f t="shared" ca="1" si="18"/>
        <v>Servicio de licencias de programas informáticos</v>
      </c>
      <c r="C574" s="58" t="str">
        <f>IFERROR(VLOOKUP("UD",'Informacion '!P:Q,2,FALSE),"")</f>
        <v>Unidad</v>
      </c>
      <c r="D574" s="25">
        <v>1</v>
      </c>
      <c r="E574" s="28">
        <v>10000</v>
      </c>
      <c r="F574" s="27">
        <f t="shared" ca="1" si="19"/>
        <v>10000</v>
      </c>
    </row>
    <row r="575" spans="1:10" ht="14.25" customHeight="1" x14ac:dyDescent="0.25">
      <c r="E575" s="30" t="s">
        <v>816</v>
      </c>
      <c r="F575" s="31">
        <f ca="1">SUM(Table24[MONTO TOTAL ESTIMADO])</f>
        <v>84216908</v>
      </c>
      <c r="H575" s="21" t="str">
        <f>C525</f>
        <v>Bienes</v>
      </c>
      <c r="I575" s="21" t="str">
        <f>E525</f>
        <v>Sí</v>
      </c>
      <c r="J575" s="21" t="str">
        <f>D525</f>
        <v>Licitacion Publica</v>
      </c>
    </row>
    <row r="577" spans="1:6" ht="33.950000000000003" customHeight="1" x14ac:dyDescent="0.25">
      <c r="A577" s="22" t="s">
        <v>1051</v>
      </c>
      <c r="B577" s="22" t="s">
        <v>11</v>
      </c>
      <c r="C577" s="22" t="s">
        <v>751</v>
      </c>
      <c r="D577" s="22" t="s">
        <v>930</v>
      </c>
      <c r="E577" s="22" t="s">
        <v>699</v>
      </c>
      <c r="F577" s="22" t="s">
        <v>710</v>
      </c>
    </row>
    <row r="578" spans="1:6" ht="14.25" customHeight="1" x14ac:dyDescent="0.25">
      <c r="A578" s="23" t="s">
        <v>1104</v>
      </c>
      <c r="B578" s="23" t="s">
        <v>1104</v>
      </c>
      <c r="C578" s="23" t="s">
        <v>1155</v>
      </c>
      <c r="D578" s="23" t="s">
        <v>654</v>
      </c>
      <c r="E578" s="23" t="s">
        <v>385</v>
      </c>
      <c r="F578" s="23" t="s">
        <v>436</v>
      </c>
    </row>
    <row r="579" spans="1:6" ht="14.25" customHeight="1" x14ac:dyDescent="0.25">
      <c r="A579" s="68" t="s">
        <v>965</v>
      </c>
      <c r="B579" s="24" t="s">
        <v>543</v>
      </c>
      <c r="C579" s="54">
        <v>46112</v>
      </c>
      <c r="D579" s="68" t="s">
        <v>598</v>
      </c>
      <c r="E579" s="56" t="s">
        <v>858</v>
      </c>
      <c r="F579" s="57" t="s">
        <v>184</v>
      </c>
    </row>
    <row r="580" spans="1:6" ht="14.25" customHeight="1" x14ac:dyDescent="0.25">
      <c r="A580" s="69"/>
      <c r="B580" s="24" t="s">
        <v>112</v>
      </c>
      <c r="C580" s="55">
        <f>IF(C579="","",IF(AND(MONTH(C579)&gt;=1,MONTH(C579)&lt;=3),1,IF(AND(MONTH(C579)&gt;=4,MONTH(C579)&lt;=6),2,IF(AND(MONTH(C579)&gt;=7,MONTH(C579)&lt;=9),3,4))))</f>
        <v>1</v>
      </c>
      <c r="D580" s="69"/>
      <c r="E580" s="56" t="s">
        <v>143</v>
      </c>
      <c r="F580" s="57"/>
    </row>
    <row r="581" spans="1:6" ht="14.25" customHeight="1" x14ac:dyDescent="0.25">
      <c r="A581" s="69"/>
      <c r="B581" s="24" t="s">
        <v>844</v>
      </c>
      <c r="C581" s="54">
        <v>46202</v>
      </c>
      <c r="D581" s="69"/>
      <c r="E581" s="56" t="s">
        <v>183</v>
      </c>
      <c r="F581" s="57"/>
    </row>
    <row r="582" spans="1:6" ht="14.25" customHeight="1" x14ac:dyDescent="0.25">
      <c r="A582" s="69"/>
      <c r="B582" s="24" t="s">
        <v>112</v>
      </c>
      <c r="C582" s="55">
        <f>IF(C581="","",IF(AND(MONTH(C581)&gt;=1,MONTH(C581)&lt;=3),1,IF(AND(MONTH(C581)&gt;=4,MONTH(C581)&lt;=6),2,IF(AND(MONTH(C581)&gt;=7,MONTH(C581)&lt;=9),3,4))))</f>
        <v>2</v>
      </c>
      <c r="D582" s="69"/>
      <c r="E582" s="56" t="s">
        <v>865</v>
      </c>
      <c r="F582" s="57"/>
    </row>
    <row r="584" spans="1:6" ht="14.25" customHeight="1" x14ac:dyDescent="0.25">
      <c r="A584" s="29" t="s">
        <v>1017</v>
      </c>
      <c r="B584" s="29" t="s">
        <v>1042</v>
      </c>
      <c r="C584" s="29" t="s">
        <v>1011</v>
      </c>
      <c r="D584" s="29" t="s">
        <v>985</v>
      </c>
      <c r="E584" s="29" t="s">
        <v>449</v>
      </c>
      <c r="F584" s="29" t="s">
        <v>989</v>
      </c>
    </row>
    <row r="585" spans="1:6" ht="14.25" customHeight="1" x14ac:dyDescent="0.25">
      <c r="A585" s="25" t="s">
        <v>1116</v>
      </c>
      <c r="B585" s="26" t="str">
        <f ca="1">IFERROR(INDEX(UNSPSCDes,MATCH(INDIRECT(ADDRESS(ROW(),COLUMN()-1,4)),UNSPSCCode,0)),IF(INDIRECT(ADDRESS(ROW(),COLUMN()-1,4))="52161520","Micrófonos",""))</f>
        <v>Micrófonos</v>
      </c>
      <c r="C585" s="58" t="str">
        <f>IFERROR(VLOOKUP("UD",'Informacion '!P:Q,2,FALSE),"")</f>
        <v>Unidad</v>
      </c>
      <c r="D585" s="25">
        <v>4</v>
      </c>
      <c r="E585" s="28">
        <v>12000</v>
      </c>
      <c r="F585" s="27">
        <f t="shared" ref="F585:F603" ca="1" si="20">INDIRECT(ADDRESS(ROW(),COLUMN()-2,4))*INDIRECT(ADDRESS(ROW(),COLUMN()-1,4))</f>
        <v>48000</v>
      </c>
    </row>
    <row r="586" spans="1:6" ht="14.25" customHeight="1" x14ac:dyDescent="0.25">
      <c r="A586" s="25" t="s">
        <v>1116</v>
      </c>
      <c r="B586" s="26" t="str">
        <f ca="1">IFERROR(INDEX(UNSPSCDes,MATCH(INDIRECT(ADDRESS(ROW(),COLUMN()-1,4)),UNSPSCCode,0)),IF(INDIRECT(ADDRESS(ROW(),COLUMN()-1,4))="52161520","Micrófonos",""))</f>
        <v>Micrófonos</v>
      </c>
      <c r="C586" s="58" t="str">
        <f>IFERROR(VLOOKUP("UD",'Informacion '!P:Q,2,FALSE),"")</f>
        <v>Unidad</v>
      </c>
      <c r="D586" s="25">
        <v>2</v>
      </c>
      <c r="E586" s="28">
        <v>12000</v>
      </c>
      <c r="F586" s="27">
        <f t="shared" ca="1" si="20"/>
        <v>24000</v>
      </c>
    </row>
    <row r="587" spans="1:6" ht="14.25" customHeight="1" x14ac:dyDescent="0.25">
      <c r="A587" s="25" t="s">
        <v>1149</v>
      </c>
      <c r="B587" s="26" t="str">
        <f ca="1">IFERROR(INDEX(UNSPSCDes,MATCH(INDIRECT(ADDRESS(ROW(),COLUMN()-1,4)),UNSPSCCode,0)),IF(INDIRECT(ADDRESS(ROW(),COLUMN()-1,4))="43191609","Teléfonos de diadema",""))</f>
        <v>Teléfonos de diadema</v>
      </c>
      <c r="C587" s="58" t="str">
        <f>IFERROR(VLOOKUP("UD",'Informacion '!P:Q,2,FALSE),"")</f>
        <v>Unidad</v>
      </c>
      <c r="D587" s="25">
        <v>8</v>
      </c>
      <c r="E587" s="28">
        <v>2000</v>
      </c>
      <c r="F587" s="27">
        <f t="shared" ca="1" si="20"/>
        <v>16000</v>
      </c>
    </row>
    <row r="588" spans="1:6" ht="14.25" customHeight="1" x14ac:dyDescent="0.25">
      <c r="A588" s="25" t="s">
        <v>962</v>
      </c>
      <c r="B588" s="26" t="str">
        <f ca="1">IFERROR(INDEX(UNSPSCDes,MATCH(INDIRECT(ADDRESS(ROW(),COLUMN()-1,4)),UNSPSCCode,0)),IF(INDIRECT(ADDRESS(ROW(),COLUMN()-1,4))="26121616","Cable de telecomunicaciones",""))</f>
        <v>Cable de telecomunicaciones</v>
      </c>
      <c r="C588" s="58" t="str">
        <f>IFERROR(VLOOKUP("UD",'Informacion '!P:Q,2,FALSE),"")</f>
        <v>Unidad</v>
      </c>
      <c r="D588" s="25">
        <v>5</v>
      </c>
      <c r="E588" s="28">
        <v>1800</v>
      </c>
      <c r="F588" s="27">
        <f t="shared" ca="1" si="20"/>
        <v>9000</v>
      </c>
    </row>
    <row r="589" spans="1:6" ht="14.25" customHeight="1" x14ac:dyDescent="0.25">
      <c r="A589" s="25" t="s">
        <v>1149</v>
      </c>
      <c r="B589" s="26" t="str">
        <f ca="1">IFERROR(INDEX(UNSPSCDes,MATCH(INDIRECT(ADDRESS(ROW(),COLUMN()-1,4)),UNSPSCCode,0)),IF(INDIRECT(ADDRESS(ROW(),COLUMN()-1,4))="43191609","Teléfonos de diadema",""))</f>
        <v>Teléfonos de diadema</v>
      </c>
      <c r="C589" s="58" t="str">
        <f>IFERROR(VLOOKUP("UD",'Informacion '!P:Q,2,FALSE),"")</f>
        <v>Unidad</v>
      </c>
      <c r="D589" s="25">
        <v>5</v>
      </c>
      <c r="E589" s="28">
        <v>1500</v>
      </c>
      <c r="F589" s="27">
        <f t="shared" ca="1" si="20"/>
        <v>7500</v>
      </c>
    </row>
    <row r="590" spans="1:6" ht="14.25" customHeight="1" x14ac:dyDescent="0.25">
      <c r="A590" s="25" t="s">
        <v>1149</v>
      </c>
      <c r="B590" s="26" t="str">
        <f ca="1">IFERROR(INDEX(UNSPSCDes,MATCH(INDIRECT(ADDRESS(ROW(),COLUMN()-1,4)),UNSPSCCode,0)),IF(INDIRECT(ADDRESS(ROW(),COLUMN()-1,4))="43191609","Teléfonos de diadema",""))</f>
        <v>Teléfonos de diadema</v>
      </c>
      <c r="C590" s="58" t="str">
        <f>IFERROR(VLOOKUP("UD",'Informacion '!P:Q,2,FALSE),"")</f>
        <v>Unidad</v>
      </c>
      <c r="D590" s="25">
        <v>3</v>
      </c>
      <c r="E590" s="28">
        <v>2000</v>
      </c>
      <c r="F590" s="27">
        <f t="shared" ca="1" si="20"/>
        <v>6000</v>
      </c>
    </row>
    <row r="591" spans="1:6" ht="14.25" customHeight="1" x14ac:dyDescent="0.25">
      <c r="A591" s="25" t="s">
        <v>962</v>
      </c>
      <c r="B591" s="26" t="str">
        <f ca="1">IFERROR(INDEX(UNSPSCDes,MATCH(INDIRECT(ADDRESS(ROW(),COLUMN()-1,4)),UNSPSCCode,0)),IF(INDIRECT(ADDRESS(ROW(),COLUMN()-1,4))="26121616","Cable de telecomunicaciones",""))</f>
        <v>Cable de telecomunicaciones</v>
      </c>
      <c r="C591" s="58" t="str">
        <f>IFERROR(VLOOKUP("UD",'Informacion '!P:Q,2,FALSE),"")</f>
        <v>Unidad</v>
      </c>
      <c r="D591" s="25">
        <v>4</v>
      </c>
      <c r="E591" s="28">
        <v>1500</v>
      </c>
      <c r="F591" s="27">
        <f t="shared" ca="1" si="20"/>
        <v>6000</v>
      </c>
    </row>
    <row r="592" spans="1:6" ht="14.25" customHeight="1" x14ac:dyDescent="0.25">
      <c r="A592" s="25" t="s">
        <v>1149</v>
      </c>
      <c r="B592" s="26" t="str">
        <f ca="1">IFERROR(INDEX(UNSPSCDes,MATCH(INDIRECT(ADDRESS(ROW(),COLUMN()-1,4)),UNSPSCCode,0)),IF(INDIRECT(ADDRESS(ROW(),COLUMN()-1,4))="43191609","Teléfonos de diadema",""))</f>
        <v>Teléfonos de diadema</v>
      </c>
      <c r="C592" s="58" t="str">
        <f>IFERROR(VLOOKUP("UD",'Informacion '!P:Q,2,FALSE),"")</f>
        <v>Unidad</v>
      </c>
      <c r="D592" s="25">
        <v>2</v>
      </c>
      <c r="E592" s="28">
        <v>2000</v>
      </c>
      <c r="F592" s="27">
        <f t="shared" ca="1" si="20"/>
        <v>4000</v>
      </c>
    </row>
    <row r="593" spans="1:10" ht="14.25" customHeight="1" x14ac:dyDescent="0.25">
      <c r="A593" s="25" t="s">
        <v>1149</v>
      </c>
      <c r="B593" s="26" t="str">
        <f ca="1">IFERROR(INDEX(UNSPSCDes,MATCH(INDIRECT(ADDRESS(ROW(),COLUMN()-1,4)),UNSPSCCode,0)),IF(INDIRECT(ADDRESS(ROW(),COLUMN()-1,4))="43191609","Teléfonos de diadema",""))</f>
        <v>Teléfonos de diadema</v>
      </c>
      <c r="C593" s="58" t="str">
        <f>IFERROR(VLOOKUP("UD",'Informacion '!P:Q,2,FALSE),"")</f>
        <v>Unidad</v>
      </c>
      <c r="D593" s="25">
        <v>2</v>
      </c>
      <c r="E593" s="28">
        <v>2000</v>
      </c>
      <c r="F593" s="27">
        <f t="shared" ca="1" si="20"/>
        <v>4000</v>
      </c>
    </row>
    <row r="594" spans="1:10" ht="14.25" customHeight="1" x14ac:dyDescent="0.25">
      <c r="A594" s="25" t="s">
        <v>412</v>
      </c>
      <c r="B594" s="26" t="str">
        <f ca="1">IFERROR(INDEX(UNSPSCDes,MATCH(INDIRECT(ADDRESS(ROW(),COLUMN()-1,4)),UNSPSCCode,0)),IF(INDIRECT(ADDRESS(ROW(),COLUMN()-1,4))="43211708","Mouse o bola de seguimiento para computador",""))</f>
        <v>Mouse o bola de seguimiento para computador</v>
      </c>
      <c r="C594" s="58" t="str">
        <f>IFERROR(VLOOKUP("UD",'Informacion '!P:Q,2,FALSE),"")</f>
        <v>Unidad</v>
      </c>
      <c r="D594" s="25">
        <v>5</v>
      </c>
      <c r="E594" s="28">
        <v>750</v>
      </c>
      <c r="F594" s="27">
        <f t="shared" ca="1" si="20"/>
        <v>3750</v>
      </c>
    </row>
    <row r="595" spans="1:10" ht="14.25" customHeight="1" x14ac:dyDescent="0.25">
      <c r="A595" s="25" t="s">
        <v>1149</v>
      </c>
      <c r="B595" s="26" t="str">
        <f ca="1">IFERROR(INDEX(UNSPSCDes,MATCH(INDIRECT(ADDRESS(ROW(),COLUMN()-1,4)),UNSPSCCode,0)),IF(INDIRECT(ADDRESS(ROW(),COLUMN()-1,4))="43191609","Teléfonos de diadema",""))</f>
        <v>Teléfonos de diadema</v>
      </c>
      <c r="C595" s="58" t="str">
        <f>IFERROR(VLOOKUP("UD",'Informacion '!P:Q,2,FALSE),"")</f>
        <v>Unidad</v>
      </c>
      <c r="D595" s="25">
        <v>2</v>
      </c>
      <c r="E595" s="28">
        <v>1500</v>
      </c>
      <c r="F595" s="27">
        <f t="shared" ca="1" si="20"/>
        <v>3000</v>
      </c>
    </row>
    <row r="596" spans="1:10" ht="14.25" customHeight="1" x14ac:dyDescent="0.25">
      <c r="A596" s="25" t="s">
        <v>1149</v>
      </c>
      <c r="B596" s="26" t="str">
        <f ca="1">IFERROR(INDEX(UNSPSCDes,MATCH(INDIRECT(ADDRESS(ROW(),COLUMN()-1,4)),UNSPSCCode,0)),IF(INDIRECT(ADDRESS(ROW(),COLUMN()-1,4))="43191609","Teléfonos de diadema",""))</f>
        <v>Teléfonos de diadema</v>
      </c>
      <c r="C596" s="58" t="str">
        <f>IFERROR(VLOOKUP("UD",'Informacion '!P:Q,2,FALSE),"")</f>
        <v>Unidad</v>
      </c>
      <c r="D596" s="25">
        <v>2</v>
      </c>
      <c r="E596" s="28">
        <v>1500</v>
      </c>
      <c r="F596" s="27">
        <f t="shared" ca="1" si="20"/>
        <v>3000</v>
      </c>
    </row>
    <row r="597" spans="1:10" ht="14.25" customHeight="1" x14ac:dyDescent="0.25">
      <c r="A597" s="25" t="s">
        <v>1149</v>
      </c>
      <c r="B597" s="26" t="str">
        <f ca="1">IFERROR(INDEX(UNSPSCDes,MATCH(INDIRECT(ADDRESS(ROW(),COLUMN()-1,4)),UNSPSCCode,0)),IF(INDIRECT(ADDRESS(ROW(),COLUMN()-1,4))="43191609","Teléfonos de diadema",""))</f>
        <v>Teléfonos de diadema</v>
      </c>
      <c r="C597" s="58" t="str">
        <f>IFERROR(VLOOKUP("UD",'Informacion '!P:Q,2,FALSE),"")</f>
        <v>Unidad</v>
      </c>
      <c r="D597" s="25">
        <v>2</v>
      </c>
      <c r="E597" s="28">
        <v>1500</v>
      </c>
      <c r="F597" s="27">
        <f t="shared" ca="1" si="20"/>
        <v>3000</v>
      </c>
    </row>
    <row r="598" spans="1:10" ht="14.25" customHeight="1" x14ac:dyDescent="0.25">
      <c r="A598" s="25" t="s">
        <v>412</v>
      </c>
      <c r="B598" s="26" t="str">
        <f ca="1">IFERROR(INDEX(UNSPSCDes,MATCH(INDIRECT(ADDRESS(ROW(),COLUMN()-1,4)),UNSPSCCode,0)),IF(INDIRECT(ADDRESS(ROW(),COLUMN()-1,4))="43211708","Mouse o bola de seguimiento para computador",""))</f>
        <v>Mouse o bola de seguimiento para computador</v>
      </c>
      <c r="C598" s="58" t="str">
        <f>IFERROR(VLOOKUP("UD",'Informacion '!P:Q,2,FALSE),"")</f>
        <v>Unidad</v>
      </c>
      <c r="D598" s="25">
        <v>3</v>
      </c>
      <c r="E598" s="28">
        <v>600</v>
      </c>
      <c r="F598" s="27">
        <f t="shared" ca="1" si="20"/>
        <v>1800</v>
      </c>
    </row>
    <row r="599" spans="1:10" ht="14.25" customHeight="1" x14ac:dyDescent="0.25">
      <c r="A599" s="25" t="s">
        <v>566</v>
      </c>
      <c r="B599" s="26" t="str">
        <f ca="1">IFERROR(INDEX(UNSPSCDes,MATCH(INDIRECT(ADDRESS(ROW(),COLUMN()-1,4)),UNSPSCCode,0)),IF(INDIRECT(ADDRESS(ROW(),COLUMN()-1,4))="43211607","Parlantes de computador",""))</f>
        <v>Parlantes de computador</v>
      </c>
      <c r="C599" s="58" t="str">
        <f>IFERROR(VLOOKUP("UD",'Informacion '!P:Q,2,FALSE),"")</f>
        <v>Unidad</v>
      </c>
      <c r="D599" s="25">
        <v>1</v>
      </c>
      <c r="E599" s="28">
        <v>3500</v>
      </c>
      <c r="F599" s="27">
        <f t="shared" ca="1" si="20"/>
        <v>3500</v>
      </c>
    </row>
    <row r="600" spans="1:10" ht="14.25" customHeight="1" x14ac:dyDescent="0.25">
      <c r="A600" s="25" t="s">
        <v>1149</v>
      </c>
      <c r="B600" s="26" t="str">
        <f ca="1">IFERROR(INDEX(UNSPSCDes,MATCH(INDIRECT(ADDRESS(ROW(),COLUMN()-1,4)),UNSPSCCode,0)),IF(INDIRECT(ADDRESS(ROW(),COLUMN()-1,4))="43191609","Teléfonos de diadema",""))</f>
        <v>Teléfonos de diadema</v>
      </c>
      <c r="C600" s="58" t="str">
        <f>IFERROR(VLOOKUP("UD",'Informacion '!P:Q,2,FALSE),"")</f>
        <v>Unidad</v>
      </c>
      <c r="D600" s="25">
        <v>5</v>
      </c>
      <c r="E600" s="28">
        <v>2800</v>
      </c>
      <c r="F600" s="27">
        <f t="shared" ca="1" si="20"/>
        <v>14000</v>
      </c>
    </row>
    <row r="601" spans="1:10" ht="14.25" customHeight="1" x14ac:dyDescent="0.25">
      <c r="A601" s="25" t="s">
        <v>661</v>
      </c>
      <c r="B601" s="26" t="str">
        <f ca="1">IFERROR(INDEX(UNSPSCDes,MATCH(INDIRECT(ADDRESS(ROW(),COLUMN()-1,4)),UNSPSCCode,0)),IF(INDIRECT(ADDRESS(ROW(),COLUMN()-1,4))="45111601","Señaladores",""))</f>
        <v>Señaladores</v>
      </c>
      <c r="C601" s="58" t="str">
        <f>IFERROR(VLOOKUP("UD",'Informacion '!P:Q,2,FALSE),"")</f>
        <v>Unidad</v>
      </c>
      <c r="D601" s="25">
        <v>1</v>
      </c>
      <c r="E601" s="28">
        <v>3500</v>
      </c>
      <c r="F601" s="27">
        <f t="shared" ca="1" si="20"/>
        <v>3500</v>
      </c>
    </row>
    <row r="602" spans="1:10" ht="14.25" customHeight="1" x14ac:dyDescent="0.25">
      <c r="A602" s="25" t="s">
        <v>701</v>
      </c>
      <c r="B602" s="26" t="str">
        <f ca="1">IFERROR(INDEX(UNSPSCDes,MATCH(INDIRECT(ADDRESS(ROW(),COLUMN()-1,4)),UNSPSCCode,0)),IF(INDIRECT(ADDRESS(ROW(),COLUMN()-1,4))="43201803","Unidades de disco duro",""))</f>
        <v>Unidades de disco duro</v>
      </c>
      <c r="C602" s="58" t="str">
        <f>IFERROR(VLOOKUP("UD",'Informacion '!P:Q,2,FALSE),"")</f>
        <v>Unidad</v>
      </c>
      <c r="D602" s="25">
        <v>8</v>
      </c>
      <c r="E602" s="28">
        <v>19500</v>
      </c>
      <c r="F602" s="27">
        <f t="shared" ca="1" si="20"/>
        <v>156000</v>
      </c>
    </row>
    <row r="603" spans="1:10" ht="14.25" customHeight="1" x14ac:dyDescent="0.25">
      <c r="A603" s="25" t="s">
        <v>817</v>
      </c>
      <c r="B603" s="26" t="str">
        <f ca="1">IFERROR(INDEX(UNSPSCDes,MATCH(INDIRECT(ADDRESS(ROW(),COLUMN()-1,4)),UNSPSCCode,0)),IF(INDIRECT(ADDRESS(ROW(),COLUMN()-1,4))="43201402","Tarjetas de módulos de memoria",""))</f>
        <v>Tarjetas de módulos de memoria</v>
      </c>
      <c r="C603" s="58" t="str">
        <f>IFERROR(VLOOKUP("UD",'Informacion '!P:Q,2,FALSE),"")</f>
        <v>Unidad</v>
      </c>
      <c r="D603" s="25">
        <v>20</v>
      </c>
      <c r="E603" s="28">
        <v>4400</v>
      </c>
      <c r="F603" s="27">
        <f t="shared" ca="1" si="20"/>
        <v>88000</v>
      </c>
    </row>
    <row r="604" spans="1:10" ht="14.25" customHeight="1" x14ac:dyDescent="0.25">
      <c r="E604" s="30" t="s">
        <v>816</v>
      </c>
      <c r="F604" s="31">
        <f ca="1">SUM(Table25[MONTO TOTAL ESTIMADO])</f>
        <v>404050</v>
      </c>
      <c r="H604" s="21" t="str">
        <f>C578</f>
        <v>Bienes</v>
      </c>
      <c r="I604" s="21" t="str">
        <f>E578</f>
        <v>MIPYME Mujeres</v>
      </c>
      <c r="J604" s="21" t="str">
        <f>D578</f>
        <v>Compras por debajo del Umbral</v>
      </c>
    </row>
    <row r="606" spans="1:10" ht="33.950000000000003" customHeight="1" x14ac:dyDescent="0.25">
      <c r="A606" s="22" t="s">
        <v>1051</v>
      </c>
      <c r="B606" s="22" t="s">
        <v>11</v>
      </c>
      <c r="C606" s="22" t="s">
        <v>751</v>
      </c>
      <c r="D606" s="22" t="s">
        <v>930</v>
      </c>
      <c r="E606" s="22" t="s">
        <v>699</v>
      </c>
      <c r="F606" s="22" t="s">
        <v>710</v>
      </c>
    </row>
    <row r="607" spans="1:10" ht="14.25" customHeight="1" x14ac:dyDescent="0.25">
      <c r="A607" s="23" t="s">
        <v>1060</v>
      </c>
      <c r="B607" s="23" t="s">
        <v>1060</v>
      </c>
      <c r="C607" s="23" t="s">
        <v>438</v>
      </c>
      <c r="D607" s="23" t="s">
        <v>146</v>
      </c>
      <c r="E607" s="23" t="s">
        <v>1156</v>
      </c>
      <c r="F607" s="23" t="s">
        <v>436</v>
      </c>
    </row>
    <row r="608" spans="1:10" ht="14.25" customHeight="1" x14ac:dyDescent="0.25">
      <c r="A608" s="68" t="s">
        <v>965</v>
      </c>
      <c r="B608" s="24" t="s">
        <v>543</v>
      </c>
      <c r="C608" s="54">
        <v>46117</v>
      </c>
      <c r="D608" s="68" t="s">
        <v>598</v>
      </c>
      <c r="E608" s="56" t="s">
        <v>858</v>
      </c>
      <c r="F608" s="57"/>
    </row>
    <row r="609" spans="1:10" ht="14.25" customHeight="1" x14ac:dyDescent="0.25">
      <c r="A609" s="69"/>
      <c r="B609" s="24" t="s">
        <v>112</v>
      </c>
      <c r="C609" s="55">
        <f>IF(C608="","",IF(AND(MONTH(C608)&gt;=1,MONTH(C608)&lt;=3),1,IF(AND(MONTH(C608)&gt;=4,MONTH(C608)&lt;=6),2,IF(AND(MONTH(C608)&gt;=7,MONTH(C608)&lt;=9),3,4))))</f>
        <v>2</v>
      </c>
      <c r="D609" s="69"/>
      <c r="E609" s="56" t="s">
        <v>143</v>
      </c>
      <c r="F609" s="57"/>
    </row>
    <row r="610" spans="1:10" ht="14.25" customHeight="1" x14ac:dyDescent="0.25">
      <c r="A610" s="69"/>
      <c r="B610" s="24" t="s">
        <v>844</v>
      </c>
      <c r="C610" s="54">
        <v>46233</v>
      </c>
      <c r="D610" s="69"/>
      <c r="E610" s="56" t="s">
        <v>183</v>
      </c>
      <c r="F610" s="57"/>
    </row>
    <row r="611" spans="1:10" ht="14.25" customHeight="1" x14ac:dyDescent="0.25">
      <c r="A611" s="69"/>
      <c r="B611" s="24" t="s">
        <v>112</v>
      </c>
      <c r="C611" s="55">
        <f>IF(C610="","",IF(AND(MONTH(C610)&gt;=1,MONTH(C610)&lt;=3),1,IF(AND(MONTH(C610)&gt;=4,MONTH(C610)&lt;=6),2,IF(AND(MONTH(C610)&gt;=7,MONTH(C610)&lt;=9),3,4))))</f>
        <v>3</v>
      </c>
      <c r="D611" s="69"/>
      <c r="E611" s="56" t="s">
        <v>865</v>
      </c>
      <c r="F611" s="57"/>
    </row>
    <row r="613" spans="1:10" ht="14.25" customHeight="1" x14ac:dyDescent="0.25">
      <c r="A613" s="29" t="s">
        <v>1017</v>
      </c>
      <c r="B613" s="29" t="s">
        <v>1042</v>
      </c>
      <c r="C613" s="29" t="s">
        <v>1011</v>
      </c>
      <c r="D613" s="29" t="s">
        <v>985</v>
      </c>
      <c r="E613" s="29" t="s">
        <v>449</v>
      </c>
      <c r="F613" s="29" t="s">
        <v>989</v>
      </c>
    </row>
    <row r="614" spans="1:10" ht="14.25" customHeight="1" x14ac:dyDescent="0.25">
      <c r="A614" s="25" t="s">
        <v>766</v>
      </c>
      <c r="B614" s="26" t="str">
        <f ca="1">IFERROR(INDEX(UNSPSCDes,MATCH(INDIRECT(ADDRESS(ROW(),COLUMN()-1,4)),UNSPSCCode,0)),IF(INDIRECT(ADDRESS(ROW(),COLUMN()-1,4))="81112501","Servicio de licencias de programas informáticos",""))</f>
        <v>Servicio de licencias de programas informáticos</v>
      </c>
      <c r="C614" s="58" t="str">
        <f>IFERROR(VLOOKUP("UD",'Informacion '!P:Q,2,FALSE),"")</f>
        <v>Unidad</v>
      </c>
      <c r="D614" s="25">
        <v>1</v>
      </c>
      <c r="E614" s="28">
        <v>15000000</v>
      </c>
      <c r="F614" s="27">
        <f ca="1">INDIRECT(ADDRESS(ROW(),COLUMN()-2,4))*INDIRECT(ADDRESS(ROW(),COLUMN()-1,4))</f>
        <v>15000000</v>
      </c>
    </row>
    <row r="615" spans="1:10" ht="14.25" customHeight="1" x14ac:dyDescent="0.25">
      <c r="E615" s="30" t="s">
        <v>816</v>
      </c>
      <c r="F615" s="31">
        <f ca="1">SUM(Table26[MONTO TOTAL ESTIMADO])</f>
        <v>15000000</v>
      </c>
      <c r="H615" s="21" t="str">
        <f>C607</f>
        <v>Servicios</v>
      </c>
      <c r="I615" s="21" t="str">
        <f>E607</f>
        <v>No</v>
      </c>
      <c r="J615" s="21" t="str">
        <f>D607</f>
        <v>Licitacion Publica</v>
      </c>
    </row>
    <row r="617" spans="1:10" ht="33.950000000000003" customHeight="1" x14ac:dyDescent="0.25">
      <c r="A617" s="22" t="s">
        <v>1051</v>
      </c>
      <c r="B617" s="22" t="s">
        <v>11</v>
      </c>
      <c r="C617" s="22" t="s">
        <v>751</v>
      </c>
      <c r="D617" s="22" t="s">
        <v>930</v>
      </c>
      <c r="E617" s="22" t="s">
        <v>699</v>
      </c>
      <c r="F617" s="22" t="s">
        <v>710</v>
      </c>
    </row>
    <row r="618" spans="1:10" ht="14.25" customHeight="1" x14ac:dyDescent="0.25">
      <c r="A618" s="23" t="s">
        <v>450</v>
      </c>
      <c r="B618" s="23" t="s">
        <v>450</v>
      </c>
      <c r="C618" s="23" t="s">
        <v>1155</v>
      </c>
      <c r="D618" s="23" t="s">
        <v>1128</v>
      </c>
      <c r="E618" s="23" t="s">
        <v>561</v>
      </c>
      <c r="F618" s="23" t="s">
        <v>436</v>
      </c>
    </row>
    <row r="619" spans="1:10" ht="14.25" customHeight="1" x14ac:dyDescent="0.25">
      <c r="A619" s="68" t="s">
        <v>965</v>
      </c>
      <c r="B619" s="24" t="s">
        <v>543</v>
      </c>
      <c r="C619" s="54">
        <v>46245</v>
      </c>
      <c r="D619" s="68" t="s">
        <v>598</v>
      </c>
      <c r="E619" s="56" t="s">
        <v>858</v>
      </c>
      <c r="F619" s="57" t="s">
        <v>184</v>
      </c>
    </row>
    <row r="620" spans="1:10" ht="14.25" customHeight="1" x14ac:dyDescent="0.25">
      <c r="A620" s="69"/>
      <c r="B620" s="24" t="s">
        <v>112</v>
      </c>
      <c r="C620" s="55">
        <f>IF(C619="","",IF(AND(MONTH(C619)&gt;=1,MONTH(C619)&lt;=3),1,IF(AND(MONTH(C619)&gt;=4,MONTH(C619)&lt;=6),2,IF(AND(MONTH(C619)&gt;=7,MONTH(C619)&lt;=9),3,4))))</f>
        <v>3</v>
      </c>
      <c r="D620" s="69"/>
      <c r="E620" s="56" t="s">
        <v>143</v>
      </c>
      <c r="F620" s="57"/>
    </row>
    <row r="621" spans="1:10" ht="14.25" customHeight="1" x14ac:dyDescent="0.25">
      <c r="A621" s="69"/>
      <c r="B621" s="24" t="s">
        <v>844</v>
      </c>
      <c r="C621" s="54">
        <v>46295</v>
      </c>
      <c r="D621" s="69"/>
      <c r="E621" s="56" t="s">
        <v>183</v>
      </c>
      <c r="F621" s="57"/>
    </row>
    <row r="622" spans="1:10" ht="14.25" customHeight="1" x14ac:dyDescent="0.25">
      <c r="A622" s="69"/>
      <c r="B622" s="24" t="s">
        <v>112</v>
      </c>
      <c r="C622" s="55">
        <f>IF(C621="","",IF(AND(MONTH(C621)&gt;=1,MONTH(C621)&lt;=3),1,IF(AND(MONTH(C621)&gt;=4,MONTH(C621)&lt;=6),2,IF(AND(MONTH(C621)&gt;=7,MONTH(C621)&lt;=9),3,4))))</f>
        <v>3</v>
      </c>
      <c r="D622" s="69"/>
      <c r="E622" s="56" t="s">
        <v>865</v>
      </c>
      <c r="F622" s="57"/>
    </row>
    <row r="624" spans="1:10" ht="14.25" customHeight="1" x14ac:dyDescent="0.25">
      <c r="A624" s="29" t="s">
        <v>1017</v>
      </c>
      <c r="B624" s="29" t="s">
        <v>1042</v>
      </c>
      <c r="C624" s="29" t="s">
        <v>1011</v>
      </c>
      <c r="D624" s="29" t="s">
        <v>985</v>
      </c>
      <c r="E624" s="29" t="s">
        <v>449</v>
      </c>
      <c r="F624" s="29" t="s">
        <v>989</v>
      </c>
    </row>
    <row r="625" spans="1:6" ht="14.25" customHeight="1" x14ac:dyDescent="0.25">
      <c r="A625" s="25" t="s">
        <v>668</v>
      </c>
      <c r="B625" s="26" t="str">
        <f ca="1">IFERROR(INDEX(UNSPSCDes,MATCH(INDIRECT(ADDRESS(ROW(),COLUMN()-1,4)),UNSPSCCode,0)),IF(INDIRECT(ADDRESS(ROW(),COLUMN()-1,4))="47121702","Contenedores de desperdicios o revestimientos rígidos",""))</f>
        <v>Contenedores de desperdicios o revestimientos rígidos</v>
      </c>
      <c r="C625" s="58" t="str">
        <f>IFERROR(VLOOKUP("UD",'Informacion '!P:Q,2,FALSE),"")</f>
        <v>Unidad</v>
      </c>
      <c r="D625" s="25">
        <v>75</v>
      </c>
      <c r="E625" s="28">
        <v>241.9</v>
      </c>
      <c r="F625" s="27">
        <f t="shared" ref="F625:F663" ca="1" si="21">INDIRECT(ADDRESS(ROW(),COLUMN()-2,4))*INDIRECT(ADDRESS(ROW(),COLUMN()-1,4))</f>
        <v>18142.5</v>
      </c>
    </row>
    <row r="626" spans="1:6" ht="14.25" customHeight="1" x14ac:dyDescent="0.25">
      <c r="A626" s="25" t="s">
        <v>1049</v>
      </c>
      <c r="B626" s="26" t="str">
        <f ca="1">IFERROR(INDEX(UNSPSCDes,MATCH(INDIRECT(ADDRESS(ROW(),COLUMN()-1,4)),UNSPSCCode,0)),IF(INDIRECT(ADDRESS(ROW(),COLUMN()-1,4))="47131706","Dispensadores de ambientadores",""))</f>
        <v>Dispensadores de ambientadores</v>
      </c>
      <c r="C626" s="58" t="str">
        <f>IFERROR(VLOOKUP("UD",'Informacion '!P:Q,2,FALSE),"")</f>
        <v>Unidad</v>
      </c>
      <c r="D626" s="25">
        <v>100</v>
      </c>
      <c r="E626" s="28">
        <v>112.1</v>
      </c>
      <c r="F626" s="27">
        <f t="shared" ca="1" si="21"/>
        <v>11210</v>
      </c>
    </row>
    <row r="627" spans="1:6" ht="14.25" customHeight="1" x14ac:dyDescent="0.25">
      <c r="A627" s="25" t="s">
        <v>1049</v>
      </c>
      <c r="B627" s="26" t="str">
        <f ca="1">IFERROR(INDEX(UNSPSCDes,MATCH(INDIRECT(ADDRESS(ROW(),COLUMN()-1,4)),UNSPSCCode,0)),IF(INDIRECT(ADDRESS(ROW(),COLUMN()-1,4))="47131706","Dispensadores de ambientadores",""))</f>
        <v>Dispensadores de ambientadores</v>
      </c>
      <c r="C627" s="58" t="str">
        <f>IFERROR(VLOOKUP("UD",'Informacion '!P:Q,2,FALSE),"")</f>
        <v>Unidad</v>
      </c>
      <c r="D627" s="25">
        <v>100</v>
      </c>
      <c r="E627" s="28">
        <v>112.1</v>
      </c>
      <c r="F627" s="27">
        <f t="shared" ca="1" si="21"/>
        <v>11210</v>
      </c>
    </row>
    <row r="628" spans="1:6" ht="14.25" customHeight="1" x14ac:dyDescent="0.25">
      <c r="A628" s="25" t="s">
        <v>1049</v>
      </c>
      <c r="B628" s="26" t="str">
        <f ca="1">IFERROR(INDEX(UNSPSCDes,MATCH(INDIRECT(ADDRESS(ROW(),COLUMN()-1,4)),UNSPSCCode,0)),IF(INDIRECT(ADDRESS(ROW(),COLUMN()-1,4))="47131706","Dispensadores de ambientadores",""))</f>
        <v>Dispensadores de ambientadores</v>
      </c>
      <c r="C628" s="58" t="str">
        <f>IFERROR(VLOOKUP("UD",'Informacion '!P:Q,2,FALSE),"")</f>
        <v>Unidad</v>
      </c>
      <c r="D628" s="25">
        <v>100</v>
      </c>
      <c r="E628" s="28">
        <v>112.1</v>
      </c>
      <c r="F628" s="27">
        <f t="shared" ca="1" si="21"/>
        <v>11210</v>
      </c>
    </row>
    <row r="629" spans="1:6" ht="14.25" customHeight="1" x14ac:dyDescent="0.25">
      <c r="A629" s="25" t="s">
        <v>373</v>
      </c>
      <c r="B629" s="26" t="str">
        <f ca="1">IFERROR(INDEX(UNSPSCDes,MATCH(INDIRECT(ADDRESS(ROW(),COLUMN()-1,4)),UNSPSCCode,0)),IF(INDIRECT(ADDRESS(ROW(),COLUMN()-1,4))="47131602","Almohadillas para restregar",""))</f>
        <v>Almohadillas para restregar</v>
      </c>
      <c r="C629" s="58" t="str">
        <f>IFERROR(VLOOKUP("UD",'Informacion '!P:Q,2,FALSE),"")</f>
        <v>Unidad</v>
      </c>
      <c r="D629" s="25">
        <v>100</v>
      </c>
      <c r="E629" s="28">
        <v>76.7</v>
      </c>
      <c r="F629" s="27">
        <f t="shared" ca="1" si="21"/>
        <v>7670</v>
      </c>
    </row>
    <row r="630" spans="1:6" ht="14.25" customHeight="1" x14ac:dyDescent="0.25">
      <c r="A630" s="25" t="s">
        <v>328</v>
      </c>
      <c r="B630" s="26" t="str">
        <f ca="1">IFERROR(INDEX(UNSPSCDes,MATCH(INDIRECT(ADDRESS(ROW(),COLUMN()-1,4)),UNSPSCCode,0)),IF(INDIRECT(ADDRESS(ROW(),COLUMN()-1,4))="47131807","Blanqueadores",""))</f>
        <v>Blanqueadores</v>
      </c>
      <c r="C630" s="58" t="str">
        <f>IFERROR(VLOOKUP("GAL",'Informacion '!P:Q,2,FALSE),"")</f>
        <v>Galón</v>
      </c>
      <c r="D630" s="25">
        <v>200</v>
      </c>
      <c r="E630" s="28">
        <v>159.30000000000001</v>
      </c>
      <c r="F630" s="27">
        <f t="shared" ca="1" si="21"/>
        <v>31860.000000000004</v>
      </c>
    </row>
    <row r="631" spans="1:6" ht="14.25" customHeight="1" x14ac:dyDescent="0.25">
      <c r="A631" s="25" t="s">
        <v>462</v>
      </c>
      <c r="B631" s="26" t="str">
        <f ca="1">IFERROR(INDEX(UNSPSCDes,MATCH(INDIRECT(ADDRESS(ROW(),COLUMN()-1,4)),UNSPSCCode,0)),IF(INDIRECT(ADDRESS(ROW(),COLUMN()-1,4))="47121804","Baldes para limpieza",""))</f>
        <v>Baldes para limpieza</v>
      </c>
      <c r="C631" s="58" t="str">
        <f>IFERROR(VLOOKUP("UD",'Informacion '!P:Q,2,FALSE),"")</f>
        <v>Unidad</v>
      </c>
      <c r="D631" s="25">
        <v>25</v>
      </c>
      <c r="E631" s="28">
        <v>147.5</v>
      </c>
      <c r="F631" s="27">
        <f t="shared" ca="1" si="21"/>
        <v>3687.5</v>
      </c>
    </row>
    <row r="632" spans="1:6" ht="14.25" customHeight="1" x14ac:dyDescent="0.25">
      <c r="A632" s="25" t="s">
        <v>634</v>
      </c>
      <c r="B632" s="26" t="str">
        <f ca="1">IFERROR(INDEX(UNSPSCDes,MATCH(INDIRECT(ADDRESS(ROW(),COLUMN()-1,4)),UNSPSCCode,0)),IF(INDIRECT(ADDRESS(ROW(),COLUMN()-1,4))="47131805","Limpiadores de propósito general",""))</f>
        <v>Limpiadores de propósito general</v>
      </c>
      <c r="C632" s="58" t="str">
        <f>IFERROR(VLOOKUP("GAL",'Informacion '!P:Q,2,FALSE),"")</f>
        <v>Galón</v>
      </c>
      <c r="D632" s="25">
        <v>25</v>
      </c>
      <c r="E632" s="28">
        <v>265.5</v>
      </c>
      <c r="F632" s="27">
        <f t="shared" ca="1" si="21"/>
        <v>6637.5</v>
      </c>
    </row>
    <row r="633" spans="1:6" ht="14.25" customHeight="1" x14ac:dyDescent="0.25">
      <c r="A633" s="25" t="s">
        <v>825</v>
      </c>
      <c r="B633" s="26" t="str">
        <f ca="1">IFERROR(INDEX(UNSPSCDes,MATCH(INDIRECT(ADDRESS(ROW(),COLUMN()-1,4)),UNSPSCCode,0)),IF(INDIRECT(ADDRESS(ROW(),COLUMN()-1,4))="47131803","Desinfectantes para uso doméstico",""))</f>
        <v>Desinfectantes para uso doméstico</v>
      </c>
      <c r="C633" s="58" t="str">
        <f>IFERROR(VLOOKUP("GAL",'Informacion '!P:Q,2,FALSE),"")</f>
        <v>Galón</v>
      </c>
      <c r="D633" s="25">
        <v>200</v>
      </c>
      <c r="E633" s="28">
        <v>295</v>
      </c>
      <c r="F633" s="27">
        <f t="shared" ca="1" si="21"/>
        <v>59000</v>
      </c>
    </row>
    <row r="634" spans="1:6" ht="14.25" customHeight="1" x14ac:dyDescent="0.25">
      <c r="A634" s="25" t="s">
        <v>825</v>
      </c>
      <c r="B634" s="26" t="str">
        <f ca="1">IFERROR(INDEX(UNSPSCDes,MATCH(INDIRECT(ADDRESS(ROW(),COLUMN()-1,4)),UNSPSCCode,0)),IF(INDIRECT(ADDRESS(ROW(),COLUMN()-1,4))="47131803","Desinfectantes para uso doméstico",""))</f>
        <v>Desinfectantes para uso doméstico</v>
      </c>
      <c r="C634" s="58" t="str">
        <f>IFERROR(VLOOKUP("GAL",'Informacion '!P:Q,2,FALSE),"")</f>
        <v>Galón</v>
      </c>
      <c r="D634" s="25">
        <v>200</v>
      </c>
      <c r="E634" s="28">
        <v>295</v>
      </c>
      <c r="F634" s="27">
        <f t="shared" ca="1" si="21"/>
        <v>59000</v>
      </c>
    </row>
    <row r="635" spans="1:6" ht="14.25" customHeight="1" x14ac:dyDescent="0.25">
      <c r="A635" s="25" t="s">
        <v>825</v>
      </c>
      <c r="B635" s="26" t="str">
        <f ca="1">IFERROR(INDEX(UNSPSCDes,MATCH(INDIRECT(ADDRESS(ROW(),COLUMN()-1,4)),UNSPSCCode,0)),IF(INDIRECT(ADDRESS(ROW(),COLUMN()-1,4))="47131803","Desinfectantes para uso doméstico",""))</f>
        <v>Desinfectantes para uso doméstico</v>
      </c>
      <c r="C635" s="58" t="str">
        <f>IFERROR(VLOOKUP("GAL",'Informacion '!P:Q,2,FALSE),"")</f>
        <v>Galón</v>
      </c>
      <c r="D635" s="25">
        <v>200</v>
      </c>
      <c r="E635" s="28">
        <v>295</v>
      </c>
      <c r="F635" s="27">
        <f t="shared" ca="1" si="21"/>
        <v>59000</v>
      </c>
    </row>
    <row r="636" spans="1:6" ht="14.25" customHeight="1" x14ac:dyDescent="0.25">
      <c r="A636" s="25" t="s">
        <v>634</v>
      </c>
      <c r="B636" s="26" t="str">
        <f ca="1">IFERROR(INDEX(UNSPSCDes,MATCH(INDIRECT(ADDRESS(ROW(),COLUMN()-1,4)),UNSPSCCode,0)),IF(INDIRECT(ADDRESS(ROW(),COLUMN()-1,4))="47131805","Limpiadores de propósito general",""))</f>
        <v>Limpiadores de propósito general</v>
      </c>
      <c r="C636" s="58" t="str">
        <f>IFERROR(VLOOKUP("UD",'Informacion '!P:Q,2,FALSE),"")</f>
        <v>Unidad</v>
      </c>
      <c r="D636" s="25">
        <v>200</v>
      </c>
      <c r="E636" s="28">
        <v>65</v>
      </c>
      <c r="F636" s="27">
        <f t="shared" ca="1" si="21"/>
        <v>13000</v>
      </c>
    </row>
    <row r="637" spans="1:6" ht="14.25" customHeight="1" x14ac:dyDescent="0.25">
      <c r="A637" s="25" t="s">
        <v>275</v>
      </c>
      <c r="B637" s="26" t="str">
        <f ca="1">IFERROR(INDEX(UNSPSCDes,MATCH(INDIRECT(ADDRESS(ROW(),COLUMN()-1,4)),UNSPSCCode,0)),IF(INDIRECT(ADDRESS(ROW(),COLUMN()-1,4))="47131604","Escobas",""))</f>
        <v>Escobas</v>
      </c>
      <c r="C637" s="58" t="str">
        <f>IFERROR(VLOOKUP("UD",'Informacion '!P:Q,2,FALSE),"")</f>
        <v>Unidad</v>
      </c>
      <c r="D637" s="25">
        <v>75</v>
      </c>
      <c r="E637" s="28">
        <v>154</v>
      </c>
      <c r="F637" s="27">
        <f t="shared" ca="1" si="21"/>
        <v>11550</v>
      </c>
    </row>
    <row r="638" spans="1:6" ht="14.25" customHeight="1" x14ac:dyDescent="0.25">
      <c r="A638" s="25" t="s">
        <v>275</v>
      </c>
      <c r="B638" s="26" t="str">
        <f ca="1">IFERROR(INDEX(UNSPSCDes,MATCH(INDIRECT(ADDRESS(ROW(),COLUMN()-1,4)),UNSPSCCode,0)),IF(INDIRECT(ADDRESS(ROW(),COLUMN()-1,4))="47131604","Escobas",""))</f>
        <v>Escobas</v>
      </c>
      <c r="C638" s="58" t="str">
        <f>IFERROR(VLOOKUP("UD",'Informacion '!P:Q,2,FALSE),"")</f>
        <v>Unidad</v>
      </c>
      <c r="D638" s="25">
        <v>75</v>
      </c>
      <c r="E638" s="28">
        <v>130</v>
      </c>
      <c r="F638" s="27">
        <f t="shared" ca="1" si="21"/>
        <v>9750</v>
      </c>
    </row>
    <row r="639" spans="1:6" ht="14.25" customHeight="1" x14ac:dyDescent="0.25">
      <c r="A639" s="25" t="s">
        <v>167</v>
      </c>
      <c r="B639" s="26" t="str">
        <f ca="1">IFERROR(INDEX(UNSPSCDes,MATCH(INDIRECT(ADDRESS(ROW(),COLUMN()-1,4)),UNSPSCCode,0)),IF(INDIRECT(ADDRESS(ROW(),COLUMN()-1,4))="40141742","Atomizadores",""))</f>
        <v>Atomizadores</v>
      </c>
      <c r="C639" s="58" t="str">
        <f>IFERROR(VLOOKUP("UD",'Informacion '!P:Q,2,FALSE),"")</f>
        <v>Unidad</v>
      </c>
      <c r="D639" s="25">
        <v>50</v>
      </c>
      <c r="E639" s="28">
        <v>82</v>
      </c>
      <c r="F639" s="27">
        <f t="shared" ca="1" si="21"/>
        <v>4100</v>
      </c>
    </row>
    <row r="640" spans="1:6" ht="14.25" customHeight="1" x14ac:dyDescent="0.25">
      <c r="A640" s="25" t="s">
        <v>730</v>
      </c>
      <c r="B640" s="26" t="str">
        <f ca="1">IFERROR(INDEX(UNSPSCDes,MATCH(INDIRECT(ADDRESS(ROW(),COLUMN()-1,4)),UNSPSCCode,0)),IF(INDIRECT(ADDRESS(ROW(),COLUMN()-1,4))="47121701","Bolsas de basura",""))</f>
        <v>Bolsas de basura</v>
      </c>
      <c r="C640" s="58" t="str">
        <f>IFERROR(VLOOKUP("PAQ",'Informacion '!P:Q,2,FALSE),"")</f>
        <v>Paquete</v>
      </c>
      <c r="D640" s="25">
        <v>100</v>
      </c>
      <c r="E640" s="28">
        <v>413</v>
      </c>
      <c r="F640" s="27">
        <f t="shared" ca="1" si="21"/>
        <v>41300</v>
      </c>
    </row>
    <row r="641" spans="1:6" ht="14.25" customHeight="1" x14ac:dyDescent="0.25">
      <c r="A641" s="25" t="s">
        <v>730</v>
      </c>
      <c r="B641" s="26" t="str">
        <f ca="1">IFERROR(INDEX(UNSPSCDes,MATCH(INDIRECT(ADDRESS(ROW(),COLUMN()-1,4)),UNSPSCCode,0)),IF(INDIRECT(ADDRESS(ROW(),COLUMN()-1,4))="47121701","Bolsas de basura",""))</f>
        <v>Bolsas de basura</v>
      </c>
      <c r="C641" s="58" t="str">
        <f>IFERROR(VLOOKUP("PAQ",'Informacion '!P:Q,2,FALSE),"")</f>
        <v>Paquete</v>
      </c>
      <c r="D641" s="25">
        <v>100</v>
      </c>
      <c r="E641" s="28">
        <v>177</v>
      </c>
      <c r="F641" s="27">
        <f t="shared" ca="1" si="21"/>
        <v>17700</v>
      </c>
    </row>
    <row r="642" spans="1:6" ht="14.25" customHeight="1" x14ac:dyDescent="0.25">
      <c r="A642" s="25" t="s">
        <v>730</v>
      </c>
      <c r="B642" s="26" t="str">
        <f ca="1">IFERROR(INDEX(UNSPSCDes,MATCH(INDIRECT(ADDRESS(ROW(),COLUMN()-1,4)),UNSPSCCode,0)),IF(INDIRECT(ADDRESS(ROW(),COLUMN()-1,4))="47121701","Bolsas de basura",""))</f>
        <v>Bolsas de basura</v>
      </c>
      <c r="C642" s="58" t="str">
        <f>IFERROR(VLOOKUP("PAQ",'Informacion '!P:Q,2,FALSE),"")</f>
        <v>Paquete</v>
      </c>
      <c r="D642" s="25">
        <v>100</v>
      </c>
      <c r="E642" s="28">
        <v>289.10000000000002</v>
      </c>
      <c r="F642" s="27">
        <f t="shared" ca="1" si="21"/>
        <v>28910.000000000004</v>
      </c>
    </row>
    <row r="643" spans="1:6" ht="14.25" customHeight="1" x14ac:dyDescent="0.25">
      <c r="A643" s="25" t="s">
        <v>730</v>
      </c>
      <c r="B643" s="26" t="str">
        <f ca="1">IFERROR(INDEX(UNSPSCDes,MATCH(INDIRECT(ADDRESS(ROW(),COLUMN()-1,4)),UNSPSCCode,0)),IF(INDIRECT(ADDRESS(ROW(),COLUMN()-1,4))="47121701","Bolsas de basura",""))</f>
        <v>Bolsas de basura</v>
      </c>
      <c r="C643" s="58" t="str">
        <f>IFERROR(VLOOKUP("PAQ",'Informacion '!P:Q,2,FALSE),"")</f>
        <v>Paquete</v>
      </c>
      <c r="D643" s="25">
        <v>100</v>
      </c>
      <c r="E643" s="28">
        <v>443.68</v>
      </c>
      <c r="F643" s="27">
        <f t="shared" ca="1" si="21"/>
        <v>44368</v>
      </c>
    </row>
    <row r="644" spans="1:6" ht="14.25" customHeight="1" x14ac:dyDescent="0.25">
      <c r="A644" s="25" t="s">
        <v>58</v>
      </c>
      <c r="B644" s="26" t="str">
        <f ca="1">IFERROR(INDEX(UNSPSCDes,MATCH(INDIRECT(ADDRESS(ROW(),COLUMN()-1,4)),UNSPSCCode,0)),IF(INDIRECT(ADDRESS(ROW(),COLUMN()-1,4))="46181504","Guantes de protección",""))</f>
        <v>Guantes de protección</v>
      </c>
      <c r="C644" s="58" t="str">
        <f>IFERROR(VLOOKUP("UD",'Informacion '!P:Q,2,FALSE),"")</f>
        <v>Unidad</v>
      </c>
      <c r="D644" s="25">
        <v>50</v>
      </c>
      <c r="E644" s="28">
        <v>106.2</v>
      </c>
      <c r="F644" s="27">
        <f t="shared" ca="1" si="21"/>
        <v>5310</v>
      </c>
    </row>
    <row r="645" spans="1:6" ht="14.25" customHeight="1" x14ac:dyDescent="0.25">
      <c r="A645" s="25" t="s">
        <v>58</v>
      </c>
      <c r="B645" s="26" t="str">
        <f ca="1">IFERROR(INDEX(UNSPSCDes,MATCH(INDIRECT(ADDRESS(ROW(),COLUMN()-1,4)),UNSPSCCode,0)),IF(INDIRECT(ADDRESS(ROW(),COLUMN()-1,4))="46181504","Guantes de protección",""))</f>
        <v>Guantes de protección</v>
      </c>
      <c r="C645" s="58" t="str">
        <f>IFERROR(VLOOKUP("UD",'Informacion '!P:Q,2,FALSE),"")</f>
        <v>Unidad</v>
      </c>
      <c r="D645" s="25">
        <v>50</v>
      </c>
      <c r="E645" s="28">
        <v>106.2</v>
      </c>
      <c r="F645" s="27">
        <f t="shared" ca="1" si="21"/>
        <v>5310</v>
      </c>
    </row>
    <row r="646" spans="1:6" ht="14.25" customHeight="1" x14ac:dyDescent="0.25">
      <c r="A646" s="25" t="s">
        <v>753</v>
      </c>
      <c r="B646" s="26" t="str">
        <f ca="1">IFERROR(INDEX(UNSPSCDes,MATCH(INDIRECT(ADDRESS(ROW(),COLUMN()-1,4)),UNSPSCCode,0)),IF(INDIRECT(ADDRESS(ROW(),COLUMN()-1,4))="47131810","Productos para el lavaplatos",""))</f>
        <v>Productos para el lavaplatos</v>
      </c>
      <c r="C646" s="58" t="str">
        <f>IFERROR(VLOOKUP("GAL",'Informacion '!P:Q,2,FALSE),"")</f>
        <v>Galón</v>
      </c>
      <c r="D646" s="25">
        <v>150</v>
      </c>
      <c r="E646" s="28">
        <v>212.4</v>
      </c>
      <c r="F646" s="27">
        <f t="shared" ca="1" si="21"/>
        <v>31860</v>
      </c>
    </row>
    <row r="647" spans="1:6" ht="14.25" customHeight="1" x14ac:dyDescent="0.25">
      <c r="A647" s="25" t="s">
        <v>79</v>
      </c>
      <c r="B647" s="26" t="str">
        <f ca="1">IFERROR(INDEX(UNSPSCDes,MATCH(INDIRECT(ADDRESS(ROW(),COLUMN()-1,4)),UNSPSCCode,0)),IF(INDIRECT(ADDRESS(ROW(),COLUMN()-1,4))="53131608","Jabones",""))</f>
        <v>Jabones</v>
      </c>
      <c r="C647" s="58" t="str">
        <f>IFERROR(VLOOKUP("GAL",'Informacion '!P:Q,2,FALSE),"")</f>
        <v>Galón</v>
      </c>
      <c r="D647" s="25">
        <v>100</v>
      </c>
      <c r="E647" s="28">
        <v>112.4</v>
      </c>
      <c r="F647" s="27">
        <f t="shared" ca="1" si="21"/>
        <v>11240</v>
      </c>
    </row>
    <row r="648" spans="1:6" ht="14.25" customHeight="1" x14ac:dyDescent="0.25">
      <c r="A648" s="25" t="s">
        <v>425</v>
      </c>
      <c r="B648" s="26" t="str">
        <f ca="1">IFERROR(INDEX(UNSPSCDes,MATCH(INDIRECT(ADDRESS(ROW(),COLUMN()-1,4)),UNSPSCCode,0)),IF(INDIRECT(ADDRESS(ROW(),COLUMN()-1,4))="47131502","Pañitos o toallas para limpiar",""))</f>
        <v>Pañitos o toallas para limpiar</v>
      </c>
      <c r="C648" s="58" t="str">
        <f>IFERROR(VLOOKUP("PAQ",'Informacion '!P:Q,2,FALSE),"")</f>
        <v>Paquete</v>
      </c>
      <c r="D648" s="25">
        <v>50</v>
      </c>
      <c r="E648" s="28">
        <v>1132.8</v>
      </c>
      <c r="F648" s="27">
        <f t="shared" ca="1" si="21"/>
        <v>56640</v>
      </c>
    </row>
    <row r="649" spans="1:6" ht="14.25" customHeight="1" x14ac:dyDescent="0.25">
      <c r="A649" s="25" t="s">
        <v>367</v>
      </c>
      <c r="B649" s="26" t="str">
        <f ca="1">IFERROR(INDEX(UNSPSCDes,MATCH(INDIRECT(ADDRESS(ROW(),COLUMN()-1,4)),UNSPSCCode,0)),IF(INDIRECT(ADDRESS(ROW(),COLUMN()-1,4))="47131801","Limpiadores de pisos",""))</f>
        <v>Limpiadores de pisos</v>
      </c>
      <c r="C649" s="58" t="str">
        <f>IFERROR(VLOOKUP("GAL",'Informacion '!P:Q,2,FALSE),"")</f>
        <v>Galón</v>
      </c>
      <c r="D649" s="25">
        <v>50</v>
      </c>
      <c r="E649" s="28">
        <v>247.8</v>
      </c>
      <c r="F649" s="27">
        <f t="shared" ca="1" si="21"/>
        <v>12390</v>
      </c>
    </row>
    <row r="650" spans="1:6" ht="14.25" customHeight="1" x14ac:dyDescent="0.25">
      <c r="A650" s="25" t="s">
        <v>393</v>
      </c>
      <c r="B650" s="26" t="str">
        <f ca="1">IFERROR(INDEX(UNSPSCDes,MATCH(INDIRECT(ADDRESS(ROW(),COLUMN()-1,4)),UNSPSCCode,0)),IF(INDIRECT(ADDRESS(ROW(),COLUMN()-1,4))="47131806","Pulidores o ceras para muebles",""))</f>
        <v>Pulidores o ceras para muebles</v>
      </c>
      <c r="C650" s="58" t="str">
        <f>IFERROR(VLOOKUP("L",'Informacion '!P:Q,2,FALSE),"")</f>
        <v>Litro</v>
      </c>
      <c r="D650" s="25">
        <v>25</v>
      </c>
      <c r="E650" s="28">
        <v>354</v>
      </c>
      <c r="F650" s="27">
        <f t="shared" ca="1" si="21"/>
        <v>8850</v>
      </c>
    </row>
    <row r="651" spans="1:6" ht="14.25" customHeight="1" x14ac:dyDescent="0.25">
      <c r="A651" s="25" t="s">
        <v>939</v>
      </c>
      <c r="B651" s="26" t="str">
        <f ca="1">IFERROR(INDEX(UNSPSCDes,MATCH(INDIRECT(ADDRESS(ROW(),COLUMN()-1,4)),UNSPSCCode,0)),IF(INDIRECT(ADDRESS(ROW(),COLUMN()-1,4))="44102912","Soluciones limpiadoras para equipos de oficina",""))</f>
        <v>Soluciones limpiadoras para equipos de oficina</v>
      </c>
      <c r="C651" s="58" t="str">
        <f>IFERROR(VLOOKUP("UD",'Informacion '!P:Q,2,FALSE),"")</f>
        <v>Unidad</v>
      </c>
      <c r="D651" s="25">
        <v>25</v>
      </c>
      <c r="E651" s="28">
        <v>649</v>
      </c>
      <c r="F651" s="27">
        <f t="shared" ca="1" si="21"/>
        <v>16225</v>
      </c>
    </row>
    <row r="652" spans="1:6" ht="14.25" customHeight="1" x14ac:dyDescent="0.25">
      <c r="A652" s="25" t="s">
        <v>777</v>
      </c>
      <c r="B652" s="26" t="str">
        <f ca="1">IFERROR(INDEX(UNSPSCDes,MATCH(INDIRECT(ADDRESS(ROW(),COLUMN()-1,4)),UNSPSCCode,0)),IF(INDIRECT(ADDRESS(ROW(),COLUMN()-1,4))="47131618","Traperos húmedos",""))</f>
        <v>Traperos húmedos</v>
      </c>
      <c r="C652" s="58" t="str">
        <f>IFERROR(VLOOKUP("UD",'Informacion '!P:Q,2,FALSE),"")</f>
        <v>Unidad</v>
      </c>
      <c r="D652" s="25">
        <v>75</v>
      </c>
      <c r="E652" s="28">
        <v>194.7</v>
      </c>
      <c r="F652" s="27">
        <f t="shared" ca="1" si="21"/>
        <v>14602.5</v>
      </c>
    </row>
    <row r="653" spans="1:6" ht="14.25" customHeight="1" x14ac:dyDescent="0.25">
      <c r="A653" s="25" t="s">
        <v>982</v>
      </c>
      <c r="B653" s="26" t="str">
        <f ca="1">IFERROR(INDEX(UNSPSCDes,MATCH(INDIRECT(ADDRESS(ROW(),COLUMN()-1,4)),UNSPSCCode,0)),IF(INDIRECT(ADDRESS(ROW(),COLUMN()-1,4))="12352104","Alcoholes o sus sustitutos",""))</f>
        <v>Alcoholes o sus sustitutos</v>
      </c>
      <c r="C653" s="58" t="str">
        <f>IFERROR(VLOOKUP("GAL",'Informacion '!P:Q,2,FALSE),"")</f>
        <v>Galón</v>
      </c>
      <c r="D653" s="25">
        <v>50</v>
      </c>
      <c r="E653" s="28">
        <v>625.4</v>
      </c>
      <c r="F653" s="27">
        <f t="shared" ca="1" si="21"/>
        <v>31270</v>
      </c>
    </row>
    <row r="654" spans="1:6" ht="14.25" customHeight="1" x14ac:dyDescent="0.25">
      <c r="A654" s="25" t="s">
        <v>982</v>
      </c>
      <c r="B654" s="26" t="str">
        <f ca="1">IFERROR(INDEX(UNSPSCDes,MATCH(INDIRECT(ADDRESS(ROW(),COLUMN()-1,4)),UNSPSCCode,0)),IF(INDIRECT(ADDRESS(ROW(),COLUMN()-1,4))="12352104","Alcoholes o sus sustitutos",""))</f>
        <v>Alcoholes o sus sustitutos</v>
      </c>
      <c r="C654" s="58" t="str">
        <f>IFERROR(VLOOKUP("GAL",'Informacion '!P:Q,2,FALSE),"")</f>
        <v>Galón</v>
      </c>
      <c r="D654" s="25">
        <v>50</v>
      </c>
      <c r="E654" s="28">
        <v>767</v>
      </c>
      <c r="F654" s="27">
        <f t="shared" ca="1" si="21"/>
        <v>38350</v>
      </c>
    </row>
    <row r="655" spans="1:6" ht="14.25" customHeight="1" x14ac:dyDescent="0.25">
      <c r="A655" s="25" t="s">
        <v>167</v>
      </c>
      <c r="B655" s="26" t="str">
        <f ca="1">IFERROR(INDEX(UNSPSCDes,MATCH(INDIRECT(ADDRESS(ROW(),COLUMN()-1,4)),UNSPSCCode,0)),IF(INDIRECT(ADDRESS(ROW(),COLUMN()-1,4))="40141742","Atomizadores",""))</f>
        <v>Atomizadores</v>
      </c>
      <c r="C655" s="58" t="str">
        <f>IFERROR(VLOOKUP("UD",'Informacion '!P:Q,2,FALSE),"")</f>
        <v>Unidad</v>
      </c>
      <c r="D655" s="25">
        <v>50</v>
      </c>
      <c r="E655" s="28">
        <v>88.5</v>
      </c>
      <c r="F655" s="27">
        <f t="shared" ca="1" si="21"/>
        <v>4425</v>
      </c>
    </row>
    <row r="656" spans="1:6" ht="14.25" customHeight="1" x14ac:dyDescent="0.25">
      <c r="A656" s="25" t="s">
        <v>138</v>
      </c>
      <c r="B656" s="26" t="str">
        <f ca="1">IFERROR(INDEX(UNSPSCDes,MATCH(INDIRECT(ADDRESS(ROW(),COLUMN()-1,4)),UNSPSCCode,0)),IF(INDIRECT(ADDRESS(ROW(),COLUMN()-1,4))="47131605","Cepillos de limpieza",""))</f>
        <v>Cepillos de limpieza</v>
      </c>
      <c r="C656" s="58" t="str">
        <f>IFERROR(VLOOKUP("UD",'Informacion '!P:Q,2,FALSE),"")</f>
        <v>Unidad</v>
      </c>
      <c r="D656" s="25">
        <v>25</v>
      </c>
      <c r="E656" s="28">
        <v>70.8</v>
      </c>
      <c r="F656" s="27">
        <f t="shared" ca="1" si="21"/>
        <v>1770</v>
      </c>
    </row>
    <row r="657" spans="1:10" ht="14.25" customHeight="1" x14ac:dyDescent="0.25">
      <c r="A657" s="25" t="s">
        <v>275</v>
      </c>
      <c r="B657" s="26" t="str">
        <f ca="1">IFERROR(INDEX(UNSPSCDes,MATCH(INDIRECT(ADDRESS(ROW(),COLUMN()-1,4)),UNSPSCCode,0)),IF(INDIRECT(ADDRESS(ROW(),COLUMN()-1,4))="47131604","Escobas",""))</f>
        <v>Escobas</v>
      </c>
      <c r="C657" s="58" t="str">
        <f>IFERROR(VLOOKUP("UD",'Informacion '!P:Q,2,FALSE),"")</f>
        <v>Unidad</v>
      </c>
      <c r="D657" s="25">
        <v>75</v>
      </c>
      <c r="E657" s="28">
        <v>100.3</v>
      </c>
      <c r="F657" s="27">
        <f t="shared" ca="1" si="21"/>
        <v>7522.5</v>
      </c>
    </row>
    <row r="658" spans="1:10" ht="14.25" customHeight="1" x14ac:dyDescent="0.25">
      <c r="A658" s="25" t="s">
        <v>275</v>
      </c>
      <c r="B658" s="26" t="str">
        <f ca="1">IFERROR(INDEX(UNSPSCDes,MATCH(INDIRECT(ADDRESS(ROW(),COLUMN()-1,4)),UNSPSCCode,0)),IF(INDIRECT(ADDRESS(ROW(),COLUMN()-1,4))="47131604","Escobas",""))</f>
        <v>Escobas</v>
      </c>
      <c r="C658" s="58" t="str">
        <f>IFERROR(VLOOKUP("UD",'Informacion '!P:Q,2,FALSE),"")</f>
        <v>Unidad</v>
      </c>
      <c r="D658" s="25">
        <v>75</v>
      </c>
      <c r="E658" s="28">
        <v>265.5</v>
      </c>
      <c r="F658" s="27">
        <f t="shared" ca="1" si="21"/>
        <v>19912.5</v>
      </c>
    </row>
    <row r="659" spans="1:10" ht="14.25" customHeight="1" x14ac:dyDescent="0.25">
      <c r="A659" s="25" t="s">
        <v>693</v>
      </c>
      <c r="B659" s="26" t="str">
        <f ca="1">IFERROR(INDEX(UNSPSCDes,MATCH(INDIRECT(ADDRESS(ROW(),COLUMN()-1,4)),UNSPSCCode,0)),IF(INDIRECT(ADDRESS(ROW(),COLUMN()-1,4))="47131702","Dispensadores de productos sanitarios",""))</f>
        <v>Dispensadores de productos sanitarios</v>
      </c>
      <c r="C659" s="58" t="str">
        <f>IFERROR(VLOOKUP("UD",'Informacion '!P:Q,2,FALSE),"")</f>
        <v>Unidad</v>
      </c>
      <c r="D659" s="25">
        <v>100</v>
      </c>
      <c r="E659" s="28">
        <v>600</v>
      </c>
      <c r="F659" s="27">
        <f t="shared" ca="1" si="21"/>
        <v>60000</v>
      </c>
    </row>
    <row r="660" spans="1:10" ht="14.25" customHeight="1" x14ac:dyDescent="0.25">
      <c r="A660" s="25" t="s">
        <v>392</v>
      </c>
      <c r="B660" s="26" t="str">
        <f ca="1">IFERROR(INDEX(UNSPSCDes,MATCH(INDIRECT(ADDRESS(ROW(),COLUMN()-1,4)),UNSPSCCode,0)),IF(INDIRECT(ADDRESS(ROW(),COLUMN()-1,4))="47131603","Esponjas",""))</f>
        <v>Esponjas</v>
      </c>
      <c r="C660" s="58" t="str">
        <f>IFERROR(VLOOKUP("UD",'Informacion '!P:Q,2,FALSE),"")</f>
        <v>Unidad</v>
      </c>
      <c r="D660" s="25">
        <v>50</v>
      </c>
      <c r="E660" s="28">
        <v>59</v>
      </c>
      <c r="F660" s="27">
        <f t="shared" ca="1" si="21"/>
        <v>2950</v>
      </c>
    </row>
    <row r="661" spans="1:10" ht="14.25" customHeight="1" x14ac:dyDescent="0.25">
      <c r="A661" s="25" t="s">
        <v>58</v>
      </c>
      <c r="B661" s="26" t="str">
        <f ca="1">IFERROR(INDEX(UNSPSCDes,MATCH(INDIRECT(ADDRESS(ROW(),COLUMN()-1,4)),UNSPSCCode,0)),IF(INDIRECT(ADDRESS(ROW(),COLUMN()-1,4))="46181504","Guantes de protección",""))</f>
        <v>Guantes de protección</v>
      </c>
      <c r="C661" s="58" t="str">
        <f>IFERROR(VLOOKUP("CAJ",'Informacion '!P:Q,2,FALSE),"")</f>
        <v>Caja</v>
      </c>
      <c r="D661" s="25">
        <v>5</v>
      </c>
      <c r="E661" s="28">
        <v>885</v>
      </c>
      <c r="F661" s="27">
        <f t="shared" ca="1" si="21"/>
        <v>4425</v>
      </c>
    </row>
    <row r="662" spans="1:10" ht="14.25" customHeight="1" x14ac:dyDescent="0.25">
      <c r="A662" s="25" t="s">
        <v>58</v>
      </c>
      <c r="B662" s="26" t="str">
        <f ca="1">IFERROR(INDEX(UNSPSCDes,MATCH(INDIRECT(ADDRESS(ROW(),COLUMN()-1,4)),UNSPSCCode,0)),IF(INDIRECT(ADDRESS(ROW(),COLUMN()-1,4))="46181504","Guantes de protección",""))</f>
        <v>Guantes de protección</v>
      </c>
      <c r="C662" s="58" t="str">
        <f>IFERROR(VLOOKUP("CAJ",'Informacion '!P:Q,2,FALSE),"")</f>
        <v>Caja</v>
      </c>
      <c r="D662" s="25">
        <v>5</v>
      </c>
      <c r="E662" s="28">
        <v>885</v>
      </c>
      <c r="F662" s="27">
        <f t="shared" ca="1" si="21"/>
        <v>4425</v>
      </c>
    </row>
    <row r="663" spans="1:10" ht="14.25" customHeight="1" x14ac:dyDescent="0.25">
      <c r="A663" s="25" t="s">
        <v>668</v>
      </c>
      <c r="B663" s="26" t="str">
        <f ca="1">IFERROR(INDEX(UNSPSCDes,MATCH(INDIRECT(ADDRESS(ROW(),COLUMN()-1,4)),UNSPSCCode,0)),IF(INDIRECT(ADDRESS(ROW(),COLUMN()-1,4))="47121702","Contenedores de desperdicios o revestimientos rígidos",""))</f>
        <v>Contenedores de desperdicios o revestimientos rígidos</v>
      </c>
      <c r="C663" s="58" t="str">
        <f>IFERROR(VLOOKUP("UD",'Informacion '!P:Q,2,FALSE),"")</f>
        <v>Unidad</v>
      </c>
      <c r="D663" s="25">
        <v>12</v>
      </c>
      <c r="E663" s="28">
        <v>1995</v>
      </c>
      <c r="F663" s="27">
        <f t="shared" ca="1" si="21"/>
        <v>23940</v>
      </c>
    </row>
    <row r="664" spans="1:10" ht="14.25" customHeight="1" x14ac:dyDescent="0.25">
      <c r="E664" s="30" t="s">
        <v>816</v>
      </c>
      <c r="F664" s="31">
        <f ca="1">SUM(Table27[MONTO TOTAL ESTIMADO])</f>
        <v>810723</v>
      </c>
      <c r="H664" s="21" t="str">
        <f>C618</f>
        <v>Bienes</v>
      </c>
      <c r="I664" s="21" t="str">
        <f>E618</f>
        <v>Sí</v>
      </c>
      <c r="J664" s="21" t="str">
        <f>D618</f>
        <v>Compras Menores</v>
      </c>
    </row>
    <row r="666" spans="1:10" ht="33.950000000000003" customHeight="1" x14ac:dyDescent="0.25">
      <c r="A666" s="22" t="s">
        <v>1051</v>
      </c>
      <c r="B666" s="22" t="s">
        <v>11</v>
      </c>
      <c r="C666" s="22" t="s">
        <v>751</v>
      </c>
      <c r="D666" s="22" t="s">
        <v>930</v>
      </c>
      <c r="E666" s="22" t="s">
        <v>699</v>
      </c>
      <c r="F666" s="22" t="s">
        <v>710</v>
      </c>
    </row>
    <row r="667" spans="1:10" ht="14.25" customHeight="1" x14ac:dyDescent="0.25">
      <c r="A667" s="23" t="s">
        <v>1098</v>
      </c>
      <c r="B667" s="23" t="s">
        <v>1098</v>
      </c>
      <c r="C667" s="23" t="s">
        <v>1155</v>
      </c>
      <c r="D667" s="23" t="s">
        <v>1128</v>
      </c>
      <c r="E667" s="23" t="s">
        <v>561</v>
      </c>
      <c r="F667" s="23" t="s">
        <v>436</v>
      </c>
    </row>
    <row r="668" spans="1:10" ht="14.25" customHeight="1" x14ac:dyDescent="0.25">
      <c r="A668" s="68" t="s">
        <v>965</v>
      </c>
      <c r="B668" s="24" t="s">
        <v>543</v>
      </c>
      <c r="C668" s="54">
        <v>46126</v>
      </c>
      <c r="D668" s="68" t="s">
        <v>598</v>
      </c>
      <c r="E668" s="56" t="s">
        <v>858</v>
      </c>
      <c r="F668" s="57" t="s">
        <v>184</v>
      </c>
    </row>
    <row r="669" spans="1:10" ht="14.25" customHeight="1" x14ac:dyDescent="0.25">
      <c r="A669" s="69"/>
      <c r="B669" s="24" t="s">
        <v>112</v>
      </c>
      <c r="C669" s="55">
        <f>IF(C668="","",IF(AND(MONTH(C668)&gt;=1,MONTH(C668)&lt;=3),1,IF(AND(MONTH(C668)&gt;=4,MONTH(C668)&lt;=6),2,IF(AND(MONTH(C668)&gt;=7,MONTH(C668)&lt;=9),3,4))))</f>
        <v>2</v>
      </c>
      <c r="D669" s="69"/>
      <c r="E669" s="56" t="s">
        <v>143</v>
      </c>
      <c r="F669" s="57"/>
    </row>
    <row r="670" spans="1:10" ht="14.25" customHeight="1" x14ac:dyDescent="0.25">
      <c r="A670" s="69"/>
      <c r="B670" s="24" t="s">
        <v>844</v>
      </c>
      <c r="C670" s="54">
        <v>46163</v>
      </c>
      <c r="D670" s="69"/>
      <c r="E670" s="56" t="s">
        <v>183</v>
      </c>
      <c r="F670" s="57"/>
    </row>
    <row r="671" spans="1:10" ht="14.25" customHeight="1" x14ac:dyDescent="0.25">
      <c r="A671" s="69"/>
      <c r="B671" s="24" t="s">
        <v>112</v>
      </c>
      <c r="C671" s="55">
        <f>IF(C670="","",IF(AND(MONTH(C670)&gt;=1,MONTH(C670)&lt;=3),1,IF(AND(MONTH(C670)&gt;=4,MONTH(C670)&lt;=6),2,IF(AND(MONTH(C670)&gt;=7,MONTH(C670)&lt;=9),3,4))))</f>
        <v>2</v>
      </c>
      <c r="D671" s="69"/>
      <c r="E671" s="56" t="s">
        <v>865</v>
      </c>
      <c r="F671" s="57"/>
    </row>
    <row r="673" spans="1:6" ht="14.25" customHeight="1" x14ac:dyDescent="0.25">
      <c r="A673" s="29" t="s">
        <v>1017</v>
      </c>
      <c r="B673" s="29" t="s">
        <v>1042</v>
      </c>
      <c r="C673" s="29" t="s">
        <v>1011</v>
      </c>
      <c r="D673" s="29" t="s">
        <v>985</v>
      </c>
      <c r="E673" s="29" t="s">
        <v>449</v>
      </c>
      <c r="F673" s="29" t="s">
        <v>989</v>
      </c>
    </row>
    <row r="674" spans="1:6" ht="14.25" customHeight="1" x14ac:dyDescent="0.25">
      <c r="A674" s="25" t="s">
        <v>421</v>
      </c>
      <c r="B674" s="26" t="str">
        <f ca="1">IFERROR(INDEX(UNSPSCDes,MATCH(INDIRECT(ADDRESS(ROW(),COLUMN()-1,4)),UNSPSCCode,0)),IF(INDIRECT(ADDRESS(ROW(),COLUMN()-1,4))="43211602","Estaciones de acoplamiento",""))</f>
        <v>Estaciones de acoplamiento</v>
      </c>
      <c r="C674" s="58" t="str">
        <f>IFERROR(VLOOKUP("UD",'Informacion '!P:Q,2,FALSE),"")</f>
        <v>Unidad</v>
      </c>
      <c r="D674" s="25">
        <v>30</v>
      </c>
      <c r="E674" s="28">
        <v>11000</v>
      </c>
      <c r="F674" s="27">
        <f t="shared" ref="F674:F708" ca="1" si="22">INDIRECT(ADDRESS(ROW(),COLUMN()-2,4))*INDIRECT(ADDRESS(ROW(),COLUMN()-1,4))</f>
        <v>330000</v>
      </c>
    </row>
    <row r="675" spans="1:6" ht="14.25" customHeight="1" x14ac:dyDescent="0.25">
      <c r="A675" s="25" t="s">
        <v>421</v>
      </c>
      <c r="B675" s="26" t="str">
        <f ca="1">IFERROR(INDEX(UNSPSCDes,MATCH(INDIRECT(ADDRESS(ROW(),COLUMN()-1,4)),UNSPSCCode,0)),IF(INDIRECT(ADDRESS(ROW(),COLUMN()-1,4))="43211602","Estaciones de acoplamiento",""))</f>
        <v>Estaciones de acoplamiento</v>
      </c>
      <c r="C675" s="58" t="str">
        <f>IFERROR(VLOOKUP("UD",'Informacion '!P:Q,2,FALSE),"")</f>
        <v>Unidad</v>
      </c>
      <c r="D675" s="25">
        <v>15</v>
      </c>
      <c r="E675" s="28">
        <v>11000</v>
      </c>
      <c r="F675" s="27">
        <f t="shared" ca="1" si="22"/>
        <v>165000</v>
      </c>
    </row>
    <row r="676" spans="1:6" ht="14.25" customHeight="1" x14ac:dyDescent="0.25">
      <c r="A676" s="25" t="s">
        <v>64</v>
      </c>
      <c r="B676" s="26" t="str">
        <f ca="1">IFERROR(INDEX(UNSPSCDes,MATCH(INDIRECT(ADDRESS(ROW(),COLUMN()-1,4)),UNSPSCCode,0)),IF(INDIRECT(ADDRESS(ROW(),COLUMN()-1,4))="53121706","Maletines para computador",""))</f>
        <v>Maletines para computador</v>
      </c>
      <c r="C676" s="58" t="str">
        <f>IFERROR(VLOOKUP("UD",'Informacion '!P:Q,2,FALSE),"")</f>
        <v>Unidad</v>
      </c>
      <c r="D676" s="25">
        <v>50</v>
      </c>
      <c r="E676" s="28">
        <v>3001</v>
      </c>
      <c r="F676" s="27">
        <f t="shared" ca="1" si="22"/>
        <v>150050</v>
      </c>
    </row>
    <row r="677" spans="1:6" ht="14.25" customHeight="1" x14ac:dyDescent="0.25">
      <c r="A677" s="25" t="s">
        <v>64</v>
      </c>
      <c r="B677" s="26" t="str">
        <f ca="1">IFERROR(INDEX(UNSPSCDes,MATCH(INDIRECT(ADDRESS(ROW(),COLUMN()-1,4)),UNSPSCCode,0)),IF(INDIRECT(ADDRESS(ROW(),COLUMN()-1,4))="53121706","Maletines para computador",""))</f>
        <v>Maletines para computador</v>
      </c>
      <c r="C677" s="58" t="str">
        <f>IFERROR(VLOOKUP("UD",'Informacion '!P:Q,2,FALSE),"")</f>
        <v>Unidad</v>
      </c>
      <c r="D677" s="25">
        <v>50</v>
      </c>
      <c r="E677" s="28">
        <v>3000</v>
      </c>
      <c r="F677" s="27">
        <f t="shared" ca="1" si="22"/>
        <v>150000</v>
      </c>
    </row>
    <row r="678" spans="1:6" ht="14.25" customHeight="1" x14ac:dyDescent="0.25">
      <c r="A678" s="25" t="s">
        <v>64</v>
      </c>
      <c r="B678" s="26" t="str">
        <f ca="1">IFERROR(INDEX(UNSPSCDes,MATCH(INDIRECT(ADDRESS(ROW(),COLUMN()-1,4)),UNSPSCCode,0)),IF(INDIRECT(ADDRESS(ROW(),COLUMN()-1,4))="53121706","Maletines para computador",""))</f>
        <v>Maletines para computador</v>
      </c>
      <c r="C678" s="58" t="str">
        <f>IFERROR(VLOOKUP("UD",'Informacion '!P:Q,2,FALSE),"")</f>
        <v>Unidad</v>
      </c>
      <c r="D678" s="25">
        <v>45</v>
      </c>
      <c r="E678" s="28">
        <v>3000</v>
      </c>
      <c r="F678" s="27">
        <f t="shared" ca="1" si="22"/>
        <v>135000</v>
      </c>
    </row>
    <row r="679" spans="1:6" ht="14.25" customHeight="1" x14ac:dyDescent="0.25">
      <c r="A679" s="25" t="s">
        <v>412</v>
      </c>
      <c r="B679" s="26" t="str">
        <f ca="1">IFERROR(INDEX(UNSPSCDes,MATCH(INDIRECT(ADDRESS(ROW(),COLUMN()-1,4)),UNSPSCCode,0)),IF(INDIRECT(ADDRESS(ROW(),COLUMN()-1,4))="43211708","Mouse o bola de seguimiento para computador",""))</f>
        <v>Mouse o bola de seguimiento para computador</v>
      </c>
      <c r="C679" s="58" t="str">
        <f>IFERROR(VLOOKUP("UD",'Informacion '!P:Q,2,FALSE),"")</f>
        <v>Unidad</v>
      </c>
      <c r="D679" s="25">
        <v>25</v>
      </c>
      <c r="E679" s="28">
        <v>2500</v>
      </c>
      <c r="F679" s="27">
        <f t="shared" ca="1" si="22"/>
        <v>62500</v>
      </c>
    </row>
    <row r="680" spans="1:6" ht="14.25" customHeight="1" x14ac:dyDescent="0.25">
      <c r="A680" s="25" t="s">
        <v>962</v>
      </c>
      <c r="B680" s="26" t="str">
        <f ca="1">IFERROR(INDEX(UNSPSCDes,MATCH(INDIRECT(ADDRESS(ROW(),COLUMN()-1,4)),UNSPSCCode,0)),IF(INDIRECT(ADDRESS(ROW(),COLUMN()-1,4))="26121616","Cable de telecomunicaciones",""))</f>
        <v>Cable de telecomunicaciones</v>
      </c>
      <c r="C680" s="58" t="str">
        <f>IFERROR(VLOOKUP("UD",'Informacion '!P:Q,2,FALSE),"")</f>
        <v>Unidad</v>
      </c>
      <c r="D680" s="25">
        <v>3</v>
      </c>
      <c r="E680" s="28">
        <v>13200</v>
      </c>
      <c r="F680" s="27">
        <f t="shared" ca="1" si="22"/>
        <v>39600</v>
      </c>
    </row>
    <row r="681" spans="1:6" ht="14.25" customHeight="1" x14ac:dyDescent="0.25">
      <c r="A681" s="25" t="s">
        <v>1148</v>
      </c>
      <c r="B681" s="26" t="str">
        <f ca="1">IFERROR(INDEX(UNSPSCDes,MATCH(INDIRECT(ADDRESS(ROW(),COLUMN()-1,4)),UNSPSCCode,0)),IF(INDIRECT(ADDRESS(ROW(),COLUMN()-1,4))="43191629","Pieles o placas frontales para notebook o palm",""))</f>
        <v>Pieles o placas frontales para notebook o palm</v>
      </c>
      <c r="C681" s="58" t="str">
        <f>IFERROR(VLOOKUP("UD",'Informacion '!P:Q,2,FALSE),"")</f>
        <v>Unidad</v>
      </c>
      <c r="D681" s="25">
        <v>10</v>
      </c>
      <c r="E681" s="28">
        <v>800</v>
      </c>
      <c r="F681" s="27">
        <f t="shared" ca="1" si="22"/>
        <v>8000</v>
      </c>
    </row>
    <row r="682" spans="1:6" ht="14.25" customHeight="1" x14ac:dyDescent="0.25">
      <c r="A682" s="25" t="s">
        <v>412</v>
      </c>
      <c r="B682" s="26" t="str">
        <f ca="1">IFERROR(INDEX(UNSPSCDes,MATCH(INDIRECT(ADDRESS(ROW(),COLUMN()-1,4)),UNSPSCCode,0)),IF(INDIRECT(ADDRESS(ROW(),COLUMN()-1,4))="43211708","Mouse o bola de seguimiento para computador",""))</f>
        <v>Mouse o bola de seguimiento para computador</v>
      </c>
      <c r="C682" s="58" t="str">
        <f>IFERROR(VLOOKUP("UD",'Informacion '!P:Q,2,FALSE),"")</f>
        <v>Unidad</v>
      </c>
      <c r="D682" s="25">
        <v>30</v>
      </c>
      <c r="E682" s="28">
        <v>750</v>
      </c>
      <c r="F682" s="27">
        <f t="shared" ca="1" si="22"/>
        <v>22500</v>
      </c>
    </row>
    <row r="683" spans="1:6" ht="14.25" customHeight="1" x14ac:dyDescent="0.25">
      <c r="A683" s="25" t="s">
        <v>412</v>
      </c>
      <c r="B683" s="26" t="str">
        <f ca="1">IFERROR(INDEX(UNSPSCDes,MATCH(INDIRECT(ADDRESS(ROW(),COLUMN()-1,4)),UNSPSCCode,0)),IF(INDIRECT(ADDRESS(ROW(),COLUMN()-1,4))="43211708","Mouse o bola de seguimiento para computador",""))</f>
        <v>Mouse o bola de seguimiento para computador</v>
      </c>
      <c r="C683" s="58" t="str">
        <f>IFERROR(VLOOKUP("UD",'Informacion '!P:Q,2,FALSE),"")</f>
        <v>Unidad</v>
      </c>
      <c r="D683" s="25">
        <v>40</v>
      </c>
      <c r="E683" s="28">
        <v>750</v>
      </c>
      <c r="F683" s="27">
        <f t="shared" ca="1" si="22"/>
        <v>30000</v>
      </c>
    </row>
    <row r="684" spans="1:6" ht="14.25" customHeight="1" x14ac:dyDescent="0.25">
      <c r="A684" s="25" t="s">
        <v>1148</v>
      </c>
      <c r="B684" s="26" t="str">
        <f ca="1">IFERROR(INDEX(UNSPSCDes,MATCH(INDIRECT(ADDRESS(ROW(),COLUMN()-1,4)),UNSPSCCode,0)),IF(INDIRECT(ADDRESS(ROW(),COLUMN()-1,4))="43191629","Pieles o placas frontales para notebook o palm",""))</f>
        <v>Pieles o placas frontales para notebook o palm</v>
      </c>
      <c r="C684" s="58" t="str">
        <f>IFERROR(VLOOKUP("UD",'Informacion '!P:Q,2,FALSE),"")</f>
        <v>Unidad</v>
      </c>
      <c r="D684" s="25">
        <v>10</v>
      </c>
      <c r="E684" s="28">
        <v>800</v>
      </c>
      <c r="F684" s="27">
        <f t="shared" ca="1" si="22"/>
        <v>8000</v>
      </c>
    </row>
    <row r="685" spans="1:6" ht="14.25" customHeight="1" x14ac:dyDescent="0.25">
      <c r="A685" s="25" t="s">
        <v>509</v>
      </c>
      <c r="B685" s="26" t="str">
        <f ca="1">IFERROR(INDEX(UNSPSCDes,MATCH(INDIRECT(ADDRESS(ROW(),COLUMN()-1,4)),UNSPSCCode,0)),IF(INDIRECT(ADDRESS(ROW(),COLUMN()-1,4))="27113202","Kit de herramientas para ajustar rodamiento",""))</f>
        <v>Kit de herramientas para ajustar rodamiento</v>
      </c>
      <c r="C685" s="58" t="str">
        <f>IFERROR(VLOOKUP("UD",'Informacion '!P:Q,2,FALSE),"")</f>
        <v>Unidad</v>
      </c>
      <c r="D685" s="25">
        <v>3</v>
      </c>
      <c r="E685" s="28">
        <v>10000</v>
      </c>
      <c r="F685" s="27">
        <f t="shared" ca="1" si="22"/>
        <v>30000</v>
      </c>
    </row>
    <row r="686" spans="1:6" ht="14.25" customHeight="1" x14ac:dyDescent="0.25">
      <c r="A686" s="25" t="s">
        <v>412</v>
      </c>
      <c r="B686" s="26" t="str">
        <f ca="1">IFERROR(INDEX(UNSPSCDes,MATCH(INDIRECT(ADDRESS(ROW(),COLUMN()-1,4)),UNSPSCCode,0)),IF(INDIRECT(ADDRESS(ROW(),COLUMN()-1,4))="43211708","Mouse o bola de seguimiento para computador",""))</f>
        <v>Mouse o bola de seguimiento para computador</v>
      </c>
      <c r="C686" s="58" t="str">
        <f>IFERROR(VLOOKUP("UD",'Informacion '!P:Q,2,FALSE),"")</f>
        <v>Unidad</v>
      </c>
      <c r="D686" s="25">
        <v>15</v>
      </c>
      <c r="E686" s="28">
        <v>1500</v>
      </c>
      <c r="F686" s="27">
        <f t="shared" ca="1" si="22"/>
        <v>22500</v>
      </c>
    </row>
    <row r="687" spans="1:6" ht="14.25" customHeight="1" x14ac:dyDescent="0.25">
      <c r="A687" s="25" t="s">
        <v>412</v>
      </c>
      <c r="B687" s="26" t="str">
        <f ca="1">IFERROR(INDEX(UNSPSCDes,MATCH(INDIRECT(ADDRESS(ROW(),COLUMN()-1,4)),UNSPSCCode,0)),IF(INDIRECT(ADDRESS(ROW(),COLUMN()-1,4))="43211708","Mouse o bola de seguimiento para computador",""))</f>
        <v>Mouse o bola de seguimiento para computador</v>
      </c>
      <c r="C687" s="58" t="str">
        <f>IFERROR(VLOOKUP("UD",'Informacion '!P:Q,2,FALSE),"")</f>
        <v>Unidad</v>
      </c>
      <c r="D687" s="25">
        <v>15</v>
      </c>
      <c r="E687" s="28">
        <v>1500</v>
      </c>
      <c r="F687" s="27">
        <f t="shared" ca="1" si="22"/>
        <v>22500</v>
      </c>
    </row>
    <row r="688" spans="1:6" ht="14.25" customHeight="1" x14ac:dyDescent="0.25">
      <c r="A688" s="25" t="s">
        <v>421</v>
      </c>
      <c r="B688" s="26" t="str">
        <f ca="1">IFERROR(INDEX(UNSPSCDes,MATCH(INDIRECT(ADDRESS(ROW(),COLUMN()-1,4)),UNSPSCCode,0)),IF(INDIRECT(ADDRESS(ROW(),COLUMN()-1,4))="43211602","Estaciones de acoplamiento",""))</f>
        <v>Estaciones de acoplamiento</v>
      </c>
      <c r="C688" s="58" t="str">
        <f>IFERROR(VLOOKUP("UD",'Informacion '!P:Q,2,FALSE),"")</f>
        <v>Unidad</v>
      </c>
      <c r="D688" s="25">
        <v>10</v>
      </c>
      <c r="E688" s="28">
        <v>11000</v>
      </c>
      <c r="F688" s="27">
        <f t="shared" ca="1" si="22"/>
        <v>110000</v>
      </c>
    </row>
    <row r="689" spans="1:6" ht="14.25" customHeight="1" x14ac:dyDescent="0.25">
      <c r="A689" s="25" t="s">
        <v>412</v>
      </c>
      <c r="B689" s="26" t="str">
        <f ca="1">IFERROR(INDEX(UNSPSCDes,MATCH(INDIRECT(ADDRESS(ROW(),COLUMN()-1,4)),UNSPSCCode,0)),IF(INDIRECT(ADDRESS(ROW(),COLUMN()-1,4))="43211708","Mouse o bola de seguimiento para computador",""))</f>
        <v>Mouse o bola de seguimiento para computador</v>
      </c>
      <c r="C689" s="58" t="str">
        <f>IFERROR(VLOOKUP("UD",'Informacion '!P:Q,2,FALSE),"")</f>
        <v>Unidad</v>
      </c>
      <c r="D689" s="25">
        <v>10</v>
      </c>
      <c r="E689" s="28">
        <v>850</v>
      </c>
      <c r="F689" s="27">
        <f t="shared" ca="1" si="22"/>
        <v>8500</v>
      </c>
    </row>
    <row r="690" spans="1:6" ht="14.25" customHeight="1" x14ac:dyDescent="0.25">
      <c r="A690" s="25" t="s">
        <v>412</v>
      </c>
      <c r="B690" s="26" t="str">
        <f ca="1">IFERROR(INDEX(UNSPSCDes,MATCH(INDIRECT(ADDRESS(ROW(),COLUMN()-1,4)),UNSPSCCode,0)),IF(INDIRECT(ADDRESS(ROW(),COLUMN()-1,4))="43211708","Mouse o bola de seguimiento para computador",""))</f>
        <v>Mouse o bola de seguimiento para computador</v>
      </c>
      <c r="C690" s="58" t="str">
        <f>IFERROR(VLOOKUP("UD",'Informacion '!P:Q,2,FALSE),"")</f>
        <v>Unidad</v>
      </c>
      <c r="D690" s="25">
        <v>25</v>
      </c>
      <c r="E690" s="28">
        <v>750</v>
      </c>
      <c r="F690" s="27">
        <f t="shared" ca="1" si="22"/>
        <v>18750</v>
      </c>
    </row>
    <row r="691" spans="1:6" ht="14.25" customHeight="1" x14ac:dyDescent="0.25">
      <c r="A691" s="25" t="s">
        <v>509</v>
      </c>
      <c r="B691" s="26" t="str">
        <f ca="1">IFERROR(INDEX(UNSPSCDes,MATCH(INDIRECT(ADDRESS(ROW(),COLUMN()-1,4)),UNSPSCCode,0)),IF(INDIRECT(ADDRESS(ROW(),COLUMN()-1,4))="27113202","Kit de herramientas para ajustar rodamiento",""))</f>
        <v>Kit de herramientas para ajustar rodamiento</v>
      </c>
      <c r="C691" s="58" t="str">
        <f>IFERROR(VLOOKUP("UD",'Informacion '!P:Q,2,FALSE),"")</f>
        <v>Unidad</v>
      </c>
      <c r="D691" s="25">
        <v>3</v>
      </c>
      <c r="E691" s="28">
        <v>6000</v>
      </c>
      <c r="F691" s="27">
        <f t="shared" ca="1" si="22"/>
        <v>18000</v>
      </c>
    </row>
    <row r="692" spans="1:6" ht="14.25" customHeight="1" x14ac:dyDescent="0.25">
      <c r="A692" s="25" t="s">
        <v>412</v>
      </c>
      <c r="B692" s="26" t="str">
        <f ca="1">IFERROR(INDEX(UNSPSCDes,MATCH(INDIRECT(ADDRESS(ROW(),COLUMN()-1,4)),UNSPSCCode,0)),IF(INDIRECT(ADDRESS(ROW(),COLUMN()-1,4))="43211708","Mouse o bola de seguimiento para computador",""))</f>
        <v>Mouse o bola de seguimiento para computador</v>
      </c>
      <c r="C692" s="58" t="str">
        <f>IFERROR(VLOOKUP("UD",'Informacion '!P:Q,2,FALSE),"")</f>
        <v>Unidad</v>
      </c>
      <c r="D692" s="25">
        <v>25</v>
      </c>
      <c r="E692" s="28">
        <v>600</v>
      </c>
      <c r="F692" s="27">
        <f t="shared" ca="1" si="22"/>
        <v>15000</v>
      </c>
    </row>
    <row r="693" spans="1:6" ht="14.25" customHeight="1" x14ac:dyDescent="0.25">
      <c r="A693" s="25" t="s">
        <v>962</v>
      </c>
      <c r="B693" s="26" t="str">
        <f ca="1">IFERROR(INDEX(UNSPSCDes,MATCH(INDIRECT(ADDRESS(ROW(),COLUMN()-1,4)),UNSPSCCode,0)),IF(INDIRECT(ADDRESS(ROW(),COLUMN()-1,4))="26121616","Cable de telecomunicaciones",""))</f>
        <v>Cable de telecomunicaciones</v>
      </c>
      <c r="C693" s="58" t="str">
        <f>IFERROR(VLOOKUP("UD",'Informacion '!P:Q,2,FALSE),"")</f>
        <v>Unidad</v>
      </c>
      <c r="D693" s="25">
        <v>2</v>
      </c>
      <c r="E693" s="28">
        <v>6400</v>
      </c>
      <c r="F693" s="27">
        <f t="shared" ca="1" si="22"/>
        <v>12800</v>
      </c>
    </row>
    <row r="694" spans="1:6" ht="14.25" customHeight="1" x14ac:dyDescent="0.25">
      <c r="A694" s="25" t="s">
        <v>412</v>
      </c>
      <c r="B694" s="26" t="str">
        <f ca="1">IFERROR(INDEX(UNSPSCDes,MATCH(INDIRECT(ADDRESS(ROW(),COLUMN()-1,4)),UNSPSCCode,0)),IF(INDIRECT(ADDRESS(ROW(),COLUMN()-1,4))="43211708","Mouse o bola de seguimiento para computador",""))</f>
        <v>Mouse o bola de seguimiento para computador</v>
      </c>
      <c r="C694" s="58" t="str">
        <f>IFERROR(VLOOKUP("UD",'Informacion '!P:Q,2,FALSE),"")</f>
        <v>Unidad</v>
      </c>
      <c r="D694" s="25">
        <v>15</v>
      </c>
      <c r="E694" s="28">
        <v>750</v>
      </c>
      <c r="F694" s="27">
        <f t="shared" ca="1" si="22"/>
        <v>11250</v>
      </c>
    </row>
    <row r="695" spans="1:6" ht="14.25" customHeight="1" x14ac:dyDescent="0.25">
      <c r="A695" s="25" t="s">
        <v>1197</v>
      </c>
      <c r="B695" s="26" t="str">
        <f ca="1">IFERROR(INDEX(UNSPSCDes,MATCH(INDIRECT(ADDRESS(ROW(),COLUMN()-1,4)),UNSPSCCode,0)),IF(INDIRECT(ADDRESS(ROW(),COLUMN()-1,4))="43201807","Unidades de cintas",""))</f>
        <v>Unidades de cintas</v>
      </c>
      <c r="C695" s="58" t="str">
        <f>IFERROR(VLOOKUP("UD",'Informacion '!P:Q,2,FALSE),"")</f>
        <v>Unidad</v>
      </c>
      <c r="D695" s="25">
        <v>1</v>
      </c>
      <c r="E695" s="28">
        <v>8524.7999999999993</v>
      </c>
      <c r="F695" s="27">
        <f t="shared" ca="1" si="22"/>
        <v>8524.7999999999993</v>
      </c>
    </row>
    <row r="696" spans="1:6" ht="14.25" customHeight="1" x14ac:dyDescent="0.25">
      <c r="A696" s="25" t="s">
        <v>412</v>
      </c>
      <c r="B696" s="26" t="str">
        <f ca="1">IFERROR(INDEX(UNSPSCDes,MATCH(INDIRECT(ADDRESS(ROW(),COLUMN()-1,4)),UNSPSCCode,0)),IF(INDIRECT(ADDRESS(ROW(),COLUMN()-1,4))="43211708","Mouse o bola de seguimiento para computador",""))</f>
        <v>Mouse o bola de seguimiento para computador</v>
      </c>
      <c r="C696" s="58" t="str">
        <f>IFERROR(VLOOKUP("UD",'Informacion '!P:Q,2,FALSE),"")</f>
        <v>Unidad</v>
      </c>
      <c r="D696" s="25">
        <v>15</v>
      </c>
      <c r="E696" s="28">
        <v>300</v>
      </c>
      <c r="F696" s="27">
        <f t="shared" ca="1" si="22"/>
        <v>4500</v>
      </c>
    </row>
    <row r="697" spans="1:6" ht="14.25" customHeight="1" x14ac:dyDescent="0.25">
      <c r="A697" s="25" t="s">
        <v>962</v>
      </c>
      <c r="B697" s="26" t="str">
        <f ca="1">IFERROR(INDEX(UNSPSCDes,MATCH(INDIRECT(ADDRESS(ROW(),COLUMN()-1,4)),UNSPSCCode,0)),IF(INDIRECT(ADDRESS(ROW(),COLUMN()-1,4))="26121616","Cable de telecomunicaciones",""))</f>
        <v>Cable de telecomunicaciones</v>
      </c>
      <c r="C697" s="58" t="str">
        <f>IFERROR(VLOOKUP("UD",'Informacion '!P:Q,2,FALSE),"")</f>
        <v>Unidad</v>
      </c>
      <c r="D697" s="25">
        <v>10</v>
      </c>
      <c r="E697" s="28">
        <v>500</v>
      </c>
      <c r="F697" s="27">
        <f t="shared" ca="1" si="22"/>
        <v>5000</v>
      </c>
    </row>
    <row r="698" spans="1:6" ht="14.25" customHeight="1" x14ac:dyDescent="0.25">
      <c r="A698" s="25" t="s">
        <v>412</v>
      </c>
      <c r="B698" s="26" t="str">
        <f ca="1">IFERROR(INDEX(UNSPSCDes,MATCH(INDIRECT(ADDRESS(ROW(),COLUMN()-1,4)),UNSPSCCode,0)),IF(INDIRECT(ADDRESS(ROW(),COLUMN()-1,4))="43211708","Mouse o bola de seguimiento para computador",""))</f>
        <v>Mouse o bola de seguimiento para computador</v>
      </c>
      <c r="C698" s="58" t="str">
        <f>IFERROR(VLOOKUP("UD",'Informacion '!P:Q,2,FALSE),"")</f>
        <v>Unidad</v>
      </c>
      <c r="D698" s="25">
        <v>5</v>
      </c>
      <c r="E698" s="28">
        <v>750</v>
      </c>
      <c r="F698" s="27">
        <f t="shared" ca="1" si="22"/>
        <v>3750</v>
      </c>
    </row>
    <row r="699" spans="1:6" ht="14.25" customHeight="1" x14ac:dyDescent="0.25">
      <c r="A699" s="25" t="s">
        <v>376</v>
      </c>
      <c r="B699" s="26" t="str">
        <f ca="1">IFERROR(INDEX(UNSPSCDes,MATCH(INDIRECT(ADDRESS(ROW(),COLUMN()-1,4)),UNSPSCCode,0)),IF(INDIRECT(ADDRESS(ROW(),COLUMN()-1,4))="43211802","Almohadillas (pads) para mouse",""))</f>
        <v>Almohadillas (pads) para mouse</v>
      </c>
      <c r="C699" s="58" t="str">
        <f>IFERROR(VLOOKUP("UD",'Informacion '!P:Q,2,FALSE),"")</f>
        <v>Unidad</v>
      </c>
      <c r="D699" s="25">
        <v>35</v>
      </c>
      <c r="E699" s="28">
        <v>100</v>
      </c>
      <c r="F699" s="27">
        <f t="shared" ca="1" si="22"/>
        <v>3500</v>
      </c>
    </row>
    <row r="700" spans="1:6" ht="14.25" customHeight="1" x14ac:dyDescent="0.25">
      <c r="A700" s="25" t="s">
        <v>412</v>
      </c>
      <c r="B700" s="26" t="str">
        <f ca="1">IFERROR(INDEX(UNSPSCDes,MATCH(INDIRECT(ADDRESS(ROW(),COLUMN()-1,4)),UNSPSCCode,0)),IF(INDIRECT(ADDRESS(ROW(),COLUMN()-1,4))="43211708","Mouse o bola de seguimiento para computador",""))</f>
        <v>Mouse o bola de seguimiento para computador</v>
      </c>
      <c r="C700" s="58" t="str">
        <f>IFERROR(VLOOKUP("UD",'Informacion '!P:Q,2,FALSE),"")</f>
        <v>Unidad</v>
      </c>
      <c r="D700" s="25">
        <v>3</v>
      </c>
      <c r="E700" s="28">
        <v>600</v>
      </c>
      <c r="F700" s="27">
        <f t="shared" ca="1" si="22"/>
        <v>1800</v>
      </c>
    </row>
    <row r="701" spans="1:6" ht="14.25" customHeight="1" x14ac:dyDescent="0.25">
      <c r="A701" s="25" t="s">
        <v>376</v>
      </c>
      <c r="B701" s="26" t="str">
        <f ca="1">IFERROR(INDEX(UNSPSCDes,MATCH(INDIRECT(ADDRESS(ROW(),COLUMN()-1,4)),UNSPSCCode,0)),IF(INDIRECT(ADDRESS(ROW(),COLUMN()-1,4))="43211802","Almohadillas (pads) para mouse",""))</f>
        <v>Almohadillas (pads) para mouse</v>
      </c>
      <c r="C701" s="58" t="str">
        <f>IFERROR(VLOOKUP("UD",'Informacion '!P:Q,2,FALSE),"")</f>
        <v>Unidad</v>
      </c>
      <c r="D701" s="25">
        <v>15</v>
      </c>
      <c r="E701" s="28">
        <v>100</v>
      </c>
      <c r="F701" s="27">
        <f t="shared" ca="1" si="22"/>
        <v>1500</v>
      </c>
    </row>
    <row r="702" spans="1:6" ht="14.25" customHeight="1" x14ac:dyDescent="0.25">
      <c r="A702" s="25" t="s">
        <v>701</v>
      </c>
      <c r="B702" s="26" t="str">
        <f ca="1">IFERROR(INDEX(UNSPSCDes,MATCH(INDIRECT(ADDRESS(ROW(),COLUMN()-1,4)),UNSPSCCode,0)),IF(INDIRECT(ADDRESS(ROW(),COLUMN()-1,4))="43201803","Unidades de disco duro",""))</f>
        <v>Unidades de disco duro</v>
      </c>
      <c r="C702" s="58" t="str">
        <f>IFERROR(VLOOKUP("UD",'Informacion '!P:Q,2,FALSE),"")</f>
        <v>Unidad</v>
      </c>
      <c r="D702" s="25">
        <v>5</v>
      </c>
      <c r="E702" s="28">
        <v>45000</v>
      </c>
      <c r="F702" s="27">
        <f t="shared" ca="1" si="22"/>
        <v>225000</v>
      </c>
    </row>
    <row r="703" spans="1:6" ht="14.25" customHeight="1" x14ac:dyDescent="0.25">
      <c r="A703" s="25" t="s">
        <v>701</v>
      </c>
      <c r="B703" s="26" t="str">
        <f ca="1">IFERROR(INDEX(UNSPSCDes,MATCH(INDIRECT(ADDRESS(ROW(),COLUMN()-1,4)),UNSPSCCode,0)),IF(INDIRECT(ADDRESS(ROW(),COLUMN()-1,4))="43201803","Unidades de disco duro",""))</f>
        <v>Unidades de disco duro</v>
      </c>
      <c r="C703" s="58" t="str">
        <f>IFERROR(VLOOKUP("UD",'Informacion '!P:Q,2,FALSE),"")</f>
        <v>Unidad</v>
      </c>
      <c r="D703" s="25">
        <v>50</v>
      </c>
      <c r="E703" s="28">
        <v>4500</v>
      </c>
      <c r="F703" s="27">
        <f t="shared" ca="1" si="22"/>
        <v>225000</v>
      </c>
    </row>
    <row r="704" spans="1:6" ht="14.25" customHeight="1" x14ac:dyDescent="0.25">
      <c r="A704" s="25" t="s">
        <v>701</v>
      </c>
      <c r="B704" s="26" t="str">
        <f ca="1">IFERROR(INDEX(UNSPSCDes,MATCH(INDIRECT(ADDRESS(ROW(),COLUMN()-1,4)),UNSPSCCode,0)),IF(INDIRECT(ADDRESS(ROW(),COLUMN()-1,4))="43201803","Unidades de disco duro",""))</f>
        <v>Unidades de disco duro</v>
      </c>
      <c r="C704" s="58" t="str">
        <f>IFERROR(VLOOKUP("UD",'Informacion '!P:Q,2,FALSE),"")</f>
        <v>Unidad</v>
      </c>
      <c r="D704" s="25">
        <v>5</v>
      </c>
      <c r="E704" s="28">
        <v>30000</v>
      </c>
      <c r="F704" s="27">
        <f t="shared" ca="1" si="22"/>
        <v>150000</v>
      </c>
    </row>
    <row r="705" spans="1:10" ht="14.25" customHeight="1" x14ac:dyDescent="0.25">
      <c r="A705" s="25" t="s">
        <v>701</v>
      </c>
      <c r="B705" s="26" t="str">
        <f ca="1">IFERROR(INDEX(UNSPSCDes,MATCH(INDIRECT(ADDRESS(ROW(),COLUMN()-1,4)),UNSPSCCode,0)),IF(INDIRECT(ADDRESS(ROW(),COLUMN()-1,4))="43201803","Unidades de disco duro",""))</f>
        <v>Unidades de disco duro</v>
      </c>
      <c r="C705" s="58" t="str">
        <f>IFERROR(VLOOKUP("UD",'Informacion '!P:Q,2,FALSE),"")</f>
        <v>Unidad</v>
      </c>
      <c r="D705" s="25">
        <v>25</v>
      </c>
      <c r="E705" s="28">
        <v>12000</v>
      </c>
      <c r="F705" s="27">
        <f t="shared" ca="1" si="22"/>
        <v>300000</v>
      </c>
    </row>
    <row r="706" spans="1:10" ht="14.25" customHeight="1" x14ac:dyDescent="0.25">
      <c r="A706" s="25" t="s">
        <v>701</v>
      </c>
      <c r="B706" s="26" t="str">
        <f ca="1">IFERROR(INDEX(UNSPSCDes,MATCH(INDIRECT(ADDRESS(ROW(),COLUMN()-1,4)),UNSPSCCode,0)),IF(INDIRECT(ADDRESS(ROW(),COLUMN()-1,4))="43201803","Unidades de disco duro",""))</f>
        <v>Unidades de disco duro</v>
      </c>
      <c r="C706" s="58" t="str">
        <f>IFERROR(VLOOKUP("UD",'Informacion '!P:Q,2,FALSE),"")</f>
        <v>Unidad</v>
      </c>
      <c r="D706" s="25">
        <v>60</v>
      </c>
      <c r="E706" s="28">
        <v>5000</v>
      </c>
      <c r="F706" s="27">
        <f t="shared" ca="1" si="22"/>
        <v>300000</v>
      </c>
    </row>
    <row r="707" spans="1:10" ht="14.25" customHeight="1" x14ac:dyDescent="0.25">
      <c r="A707" s="25" t="s">
        <v>817</v>
      </c>
      <c r="B707" s="26" t="str">
        <f ca="1">IFERROR(INDEX(UNSPSCDes,MATCH(INDIRECT(ADDRESS(ROW(),COLUMN()-1,4)),UNSPSCCode,0)),IF(INDIRECT(ADDRESS(ROW(),COLUMN()-1,4))="43201402","Tarjetas de módulos de memoria",""))</f>
        <v>Tarjetas de módulos de memoria</v>
      </c>
      <c r="C707" s="58" t="str">
        <f>IFERROR(VLOOKUP("UD",'Informacion '!P:Q,2,FALSE),"")</f>
        <v>Unidad</v>
      </c>
      <c r="D707" s="25">
        <v>30</v>
      </c>
      <c r="E707" s="28">
        <v>3500</v>
      </c>
      <c r="F707" s="27">
        <f t="shared" ca="1" si="22"/>
        <v>105000</v>
      </c>
    </row>
    <row r="708" spans="1:10" ht="14.25" customHeight="1" x14ac:dyDescent="0.25">
      <c r="A708" s="25" t="s">
        <v>817</v>
      </c>
      <c r="B708" s="26" t="str">
        <f ca="1">IFERROR(INDEX(UNSPSCDes,MATCH(INDIRECT(ADDRESS(ROW(),COLUMN()-1,4)),UNSPSCCode,0)),IF(INDIRECT(ADDRESS(ROW(),COLUMN()-1,4))="43201402","Tarjetas de módulos de memoria",""))</f>
        <v>Tarjetas de módulos de memoria</v>
      </c>
      <c r="C708" s="58" t="str">
        <f>IFERROR(VLOOKUP("UD",'Informacion '!P:Q,2,FALSE),"")</f>
        <v>Unidad</v>
      </c>
      <c r="D708" s="25">
        <v>10</v>
      </c>
      <c r="E708" s="28">
        <v>650</v>
      </c>
      <c r="F708" s="27">
        <f t="shared" ca="1" si="22"/>
        <v>6500</v>
      </c>
    </row>
    <row r="709" spans="1:10" ht="14.25" customHeight="1" x14ac:dyDescent="0.25">
      <c r="E709" s="30" t="s">
        <v>816</v>
      </c>
      <c r="F709" s="31">
        <f ca="1">SUM(Table28[MONTO TOTAL ESTIMADO])</f>
        <v>2710024.8</v>
      </c>
      <c r="H709" s="21" t="str">
        <f>C667</f>
        <v>Bienes</v>
      </c>
      <c r="I709" s="21" t="str">
        <f>E667</f>
        <v>Sí</v>
      </c>
      <c r="J709" s="21" t="str">
        <f>D667</f>
        <v>Compras Menores</v>
      </c>
    </row>
    <row r="711" spans="1:10" ht="33.950000000000003" customHeight="1" x14ac:dyDescent="0.25">
      <c r="A711" s="22" t="s">
        <v>1051</v>
      </c>
      <c r="B711" s="22" t="s">
        <v>11</v>
      </c>
      <c r="C711" s="22" t="s">
        <v>751</v>
      </c>
      <c r="D711" s="22" t="s">
        <v>930</v>
      </c>
      <c r="E711" s="22" t="s">
        <v>699</v>
      </c>
      <c r="F711" s="22" t="s">
        <v>710</v>
      </c>
    </row>
    <row r="712" spans="1:10" ht="14.25" customHeight="1" x14ac:dyDescent="0.25">
      <c r="A712" s="23" t="s">
        <v>976</v>
      </c>
      <c r="B712" s="23" t="s">
        <v>976</v>
      </c>
      <c r="C712" s="23" t="s">
        <v>1155</v>
      </c>
      <c r="D712" s="23" t="s">
        <v>146</v>
      </c>
      <c r="E712" s="23" t="s">
        <v>1156</v>
      </c>
      <c r="F712" s="23" t="s">
        <v>436</v>
      </c>
    </row>
    <row r="713" spans="1:10" ht="14.25" customHeight="1" x14ac:dyDescent="0.25">
      <c r="A713" s="68" t="s">
        <v>965</v>
      </c>
      <c r="B713" s="24" t="s">
        <v>543</v>
      </c>
      <c r="C713" s="54">
        <v>46305</v>
      </c>
      <c r="D713" s="68" t="s">
        <v>598</v>
      </c>
      <c r="E713" s="56" t="s">
        <v>858</v>
      </c>
      <c r="F713" s="57" t="s">
        <v>184</v>
      </c>
    </row>
    <row r="714" spans="1:10" ht="14.25" customHeight="1" x14ac:dyDescent="0.25">
      <c r="A714" s="69"/>
      <c r="B714" s="24" t="s">
        <v>112</v>
      </c>
      <c r="C714" s="55">
        <f>IF(C713="","",IF(AND(MONTH(C713)&gt;=1,MONTH(C713)&lt;=3),1,IF(AND(MONTH(C713)&gt;=4,MONTH(C713)&lt;=6),2,IF(AND(MONTH(C713)&gt;=7,MONTH(C713)&lt;=9),3,4))))</f>
        <v>4</v>
      </c>
      <c r="D714" s="69"/>
      <c r="E714" s="56" t="s">
        <v>143</v>
      </c>
      <c r="F714" s="57"/>
    </row>
    <row r="715" spans="1:10" ht="14.25" customHeight="1" x14ac:dyDescent="0.25">
      <c r="A715" s="69"/>
      <c r="B715" s="24" t="s">
        <v>844</v>
      </c>
      <c r="C715" s="54">
        <v>46376</v>
      </c>
      <c r="D715" s="69"/>
      <c r="E715" s="56" t="s">
        <v>183</v>
      </c>
      <c r="F715" s="57"/>
    </row>
    <row r="716" spans="1:10" ht="14.25" customHeight="1" x14ac:dyDescent="0.25">
      <c r="A716" s="69"/>
      <c r="B716" s="24" t="s">
        <v>112</v>
      </c>
      <c r="C716" s="55">
        <f>IF(C715="","",IF(AND(MONTH(C715)&gt;=1,MONTH(C715)&lt;=3),1,IF(AND(MONTH(C715)&gt;=4,MONTH(C715)&lt;=6),2,IF(AND(MONTH(C715)&gt;=7,MONTH(C715)&lt;=9),3,4))))</f>
        <v>4</v>
      </c>
      <c r="D716" s="69"/>
      <c r="E716" s="56" t="s">
        <v>865</v>
      </c>
      <c r="F716" s="57"/>
    </row>
    <row r="718" spans="1:10" ht="14.25" customHeight="1" x14ac:dyDescent="0.25">
      <c r="A718" s="29" t="s">
        <v>1017</v>
      </c>
      <c r="B718" s="29" t="s">
        <v>1042</v>
      </c>
      <c r="C718" s="29" t="s">
        <v>1011</v>
      </c>
      <c r="D718" s="29" t="s">
        <v>985</v>
      </c>
      <c r="E718" s="29" t="s">
        <v>449</v>
      </c>
      <c r="F718" s="29" t="s">
        <v>989</v>
      </c>
    </row>
    <row r="719" spans="1:10" ht="14.25" customHeight="1" x14ac:dyDescent="0.25">
      <c r="A719" s="25" t="s">
        <v>766</v>
      </c>
      <c r="B719" s="26" t="str">
        <f ca="1">IFERROR(INDEX(UNSPSCDes,MATCH(INDIRECT(ADDRESS(ROW(),COLUMN()-1,4)),UNSPSCCode,0)),IF(INDIRECT(ADDRESS(ROW(),COLUMN()-1,4))="81112501","Servicio de licencias de programas informáticos",""))</f>
        <v>Servicio de licencias de programas informáticos</v>
      </c>
      <c r="C719" s="58" t="str">
        <f>IFERROR(VLOOKUP("UD",'Informacion '!P:Q,2,FALSE),"")</f>
        <v>Unidad</v>
      </c>
      <c r="D719" s="25">
        <v>1</v>
      </c>
      <c r="E719" s="28">
        <v>10000000</v>
      </c>
      <c r="F719" s="27">
        <f ca="1">INDIRECT(ADDRESS(ROW(),COLUMN()-2,4))*INDIRECT(ADDRESS(ROW(),COLUMN()-1,4))</f>
        <v>10000000</v>
      </c>
    </row>
    <row r="720" spans="1:10" ht="14.25" customHeight="1" x14ac:dyDescent="0.25">
      <c r="A720" s="25" t="s">
        <v>766</v>
      </c>
      <c r="B720" s="26" t="str">
        <f ca="1">IFERROR(INDEX(UNSPSCDes,MATCH(INDIRECT(ADDRESS(ROW(),COLUMN()-1,4)),UNSPSCCode,0)),IF(INDIRECT(ADDRESS(ROW(),COLUMN()-1,4))="81112501","Servicio de licencias de programas informáticos",""))</f>
        <v>Servicio de licencias de programas informáticos</v>
      </c>
      <c r="C720" s="58" t="str">
        <f>IFERROR(VLOOKUP("UD",'Informacion '!P:Q,2,FALSE),"")</f>
        <v>Unidad</v>
      </c>
      <c r="D720" s="25">
        <v>1</v>
      </c>
      <c r="E720" s="28">
        <v>10000000</v>
      </c>
      <c r="F720" s="27">
        <f ca="1">INDIRECT(ADDRESS(ROW(),COLUMN()-2,4))*INDIRECT(ADDRESS(ROW(),COLUMN()-1,4))</f>
        <v>10000000</v>
      </c>
    </row>
    <row r="721" spans="1:10" ht="14.25" customHeight="1" x14ac:dyDescent="0.25">
      <c r="A721" s="25" t="s">
        <v>766</v>
      </c>
      <c r="B721" s="26" t="str">
        <f ca="1">IFERROR(INDEX(UNSPSCDes,MATCH(INDIRECT(ADDRESS(ROW(),COLUMN()-1,4)),UNSPSCCode,0)),IF(INDIRECT(ADDRESS(ROW(),COLUMN()-1,4))="81112501","Servicio de licencias de programas informáticos",""))</f>
        <v>Servicio de licencias de programas informáticos</v>
      </c>
      <c r="C721" s="58" t="str">
        <f>IFERROR(VLOOKUP("UD",'Informacion '!P:Q,2,FALSE),"")</f>
        <v>Unidad</v>
      </c>
      <c r="D721" s="25">
        <v>1</v>
      </c>
      <c r="E721" s="28">
        <v>6500000</v>
      </c>
      <c r="F721" s="27">
        <f ca="1">INDIRECT(ADDRESS(ROW(),COLUMN()-2,4))*INDIRECT(ADDRESS(ROW(),COLUMN()-1,4))</f>
        <v>6500000</v>
      </c>
    </row>
    <row r="722" spans="1:10" ht="14.25" customHeight="1" x14ac:dyDescent="0.25">
      <c r="A722" s="25" t="s">
        <v>766</v>
      </c>
      <c r="B722" s="26" t="str">
        <f ca="1">IFERROR(INDEX(UNSPSCDes,MATCH(INDIRECT(ADDRESS(ROW(),COLUMN()-1,4)),UNSPSCCode,0)),IF(INDIRECT(ADDRESS(ROW(),COLUMN()-1,4))="81112501","Servicio de licencias de programas informáticos",""))</f>
        <v>Servicio de licencias de programas informáticos</v>
      </c>
      <c r="C722" s="58" t="str">
        <f>IFERROR(VLOOKUP("UD",'Informacion '!P:Q,2,FALSE),"")</f>
        <v>Unidad</v>
      </c>
      <c r="D722" s="25">
        <v>1</v>
      </c>
      <c r="E722" s="28">
        <v>6000000</v>
      </c>
      <c r="F722" s="27">
        <f ca="1">INDIRECT(ADDRESS(ROW(),COLUMN()-2,4))*INDIRECT(ADDRESS(ROW(),COLUMN()-1,4))</f>
        <v>6000000</v>
      </c>
    </row>
    <row r="723" spans="1:10" ht="14.25" customHeight="1" x14ac:dyDescent="0.25">
      <c r="A723" s="25" t="s">
        <v>766</v>
      </c>
      <c r="B723" s="26" t="str">
        <f ca="1">IFERROR(INDEX(UNSPSCDes,MATCH(INDIRECT(ADDRESS(ROW(),COLUMN()-1,4)),UNSPSCCode,0)),IF(INDIRECT(ADDRESS(ROW(),COLUMN()-1,4))="81112501","Servicio de licencias de programas informáticos",""))</f>
        <v>Servicio de licencias de programas informáticos</v>
      </c>
      <c r="C723" s="58" t="str">
        <f>IFERROR(VLOOKUP("UD",'Informacion '!P:Q,2,FALSE),"")</f>
        <v>Unidad</v>
      </c>
      <c r="D723" s="25">
        <v>73</v>
      </c>
      <c r="E723" s="28">
        <v>55000</v>
      </c>
      <c r="F723" s="27">
        <f ca="1">INDIRECT(ADDRESS(ROW(),COLUMN()-2,4))*INDIRECT(ADDRESS(ROW(),COLUMN()-1,4))</f>
        <v>4015000</v>
      </c>
    </row>
    <row r="724" spans="1:10" ht="14.25" customHeight="1" x14ac:dyDescent="0.25">
      <c r="E724" s="30" t="s">
        <v>816</v>
      </c>
      <c r="F724" s="31">
        <f ca="1">SUM(Table29[MONTO TOTAL ESTIMADO])</f>
        <v>36515000</v>
      </c>
      <c r="H724" s="21" t="str">
        <f>C712</f>
        <v>Bienes</v>
      </c>
      <c r="I724" s="21" t="str">
        <f>E712</f>
        <v>No</v>
      </c>
      <c r="J724" s="21" t="str">
        <f>D712</f>
        <v>Licitacion Publica</v>
      </c>
    </row>
    <row r="726" spans="1:10" ht="33.950000000000003" customHeight="1" x14ac:dyDescent="0.25">
      <c r="A726" s="22" t="s">
        <v>1051</v>
      </c>
      <c r="B726" s="22" t="s">
        <v>11</v>
      </c>
      <c r="C726" s="22" t="s">
        <v>751</v>
      </c>
      <c r="D726" s="22" t="s">
        <v>930</v>
      </c>
      <c r="E726" s="22" t="s">
        <v>699</v>
      </c>
      <c r="F726" s="22" t="s">
        <v>710</v>
      </c>
    </row>
    <row r="727" spans="1:10" ht="14.25" customHeight="1" x14ac:dyDescent="0.25">
      <c r="A727" s="23" t="s">
        <v>898</v>
      </c>
      <c r="B727" s="23" t="s">
        <v>898</v>
      </c>
      <c r="C727" s="23" t="s">
        <v>1155</v>
      </c>
      <c r="D727" s="23" t="s">
        <v>116</v>
      </c>
      <c r="E727" s="23" t="s">
        <v>385</v>
      </c>
      <c r="F727" s="23" t="s">
        <v>436</v>
      </c>
    </row>
    <row r="728" spans="1:10" ht="14.25" customHeight="1" x14ac:dyDescent="0.25">
      <c r="A728" s="68" t="s">
        <v>965</v>
      </c>
      <c r="B728" s="24" t="s">
        <v>543</v>
      </c>
      <c r="C728" s="54">
        <v>46246</v>
      </c>
      <c r="D728" s="68" t="s">
        <v>598</v>
      </c>
      <c r="E728" s="56" t="s">
        <v>858</v>
      </c>
      <c r="F728" s="57" t="s">
        <v>184</v>
      </c>
    </row>
    <row r="729" spans="1:10" ht="14.25" customHeight="1" x14ac:dyDescent="0.25">
      <c r="A729" s="69"/>
      <c r="B729" s="24" t="s">
        <v>112</v>
      </c>
      <c r="C729" s="55">
        <f>IF(C728="","",IF(AND(MONTH(C728)&gt;=1,MONTH(C728)&lt;=3),1,IF(AND(MONTH(C728)&gt;=4,MONTH(C728)&lt;=6),2,IF(AND(MONTH(C728)&gt;=7,MONTH(C728)&lt;=9),3,4))))</f>
        <v>3</v>
      </c>
      <c r="D729" s="69"/>
      <c r="E729" s="56" t="s">
        <v>143</v>
      </c>
      <c r="F729" s="57"/>
    </row>
    <row r="730" spans="1:10" ht="14.25" customHeight="1" x14ac:dyDescent="0.25">
      <c r="A730" s="69"/>
      <c r="B730" s="24" t="s">
        <v>844</v>
      </c>
      <c r="C730" s="54">
        <v>46255</v>
      </c>
      <c r="D730" s="69"/>
      <c r="E730" s="56" t="s">
        <v>183</v>
      </c>
      <c r="F730" s="57"/>
    </row>
    <row r="731" spans="1:10" ht="14.25" customHeight="1" x14ac:dyDescent="0.25">
      <c r="A731" s="69"/>
      <c r="B731" s="24" t="s">
        <v>112</v>
      </c>
      <c r="C731" s="55">
        <f>IF(C730="","",IF(AND(MONTH(C730)&gt;=1,MONTH(C730)&lt;=3),1,IF(AND(MONTH(C730)&gt;=4,MONTH(C730)&lt;=6),2,IF(AND(MONTH(C730)&gt;=7,MONTH(C730)&lt;=9),3,4))))</f>
        <v>3</v>
      </c>
      <c r="D731" s="69"/>
      <c r="E731" s="56" t="s">
        <v>865</v>
      </c>
      <c r="F731" s="57"/>
    </row>
    <row r="733" spans="1:10" ht="14.25" customHeight="1" x14ac:dyDescent="0.25">
      <c r="A733" s="29" t="s">
        <v>1017</v>
      </c>
      <c r="B733" s="29" t="s">
        <v>1042</v>
      </c>
      <c r="C733" s="29" t="s">
        <v>1011</v>
      </c>
      <c r="D733" s="29" t="s">
        <v>985</v>
      </c>
      <c r="E733" s="29" t="s">
        <v>449</v>
      </c>
      <c r="F733" s="29" t="s">
        <v>989</v>
      </c>
    </row>
    <row r="734" spans="1:10" ht="14.25" customHeight="1" x14ac:dyDescent="0.25">
      <c r="A734" s="25" t="s">
        <v>752</v>
      </c>
      <c r="B734" s="26" t="str">
        <f t="shared" ref="B734:B740" ca="1" si="23">IFERROR(INDEX(UNSPSCDes,MATCH(INDIRECT(ADDRESS(ROW(),COLUMN()-1,4)),UNSPSCCode,0)),IF(INDIRECT(ADDRESS(ROW(),COLUMN()-1,4))="53102710","Uniformes corporativos",""))</f>
        <v>Uniformes corporativos</v>
      </c>
      <c r="C734" s="58" t="str">
        <f>IFERROR(VLOOKUP("UD",'Informacion '!P:Q,2,FALSE),"")</f>
        <v>Unidad</v>
      </c>
      <c r="D734" s="25">
        <v>19</v>
      </c>
      <c r="E734" s="28">
        <v>1600</v>
      </c>
      <c r="F734" s="27">
        <f t="shared" ref="F734:F761" ca="1" si="24">INDIRECT(ADDRESS(ROW(),COLUMN()-2,4))*INDIRECT(ADDRESS(ROW(),COLUMN()-1,4))</f>
        <v>30400</v>
      </c>
    </row>
    <row r="735" spans="1:10" ht="14.25" customHeight="1" x14ac:dyDescent="0.25">
      <c r="A735" s="25" t="s">
        <v>752</v>
      </c>
      <c r="B735" s="26" t="str">
        <f t="shared" ca="1" si="23"/>
        <v>Uniformes corporativos</v>
      </c>
      <c r="C735" s="58" t="str">
        <f>IFERROR(VLOOKUP("UD",'Informacion '!P:Q,2,FALSE),"")</f>
        <v>Unidad</v>
      </c>
      <c r="D735" s="25">
        <v>19</v>
      </c>
      <c r="E735" s="28">
        <v>1300</v>
      </c>
      <c r="F735" s="27">
        <f t="shared" ca="1" si="24"/>
        <v>24700</v>
      </c>
    </row>
    <row r="736" spans="1:10" ht="14.25" customHeight="1" x14ac:dyDescent="0.25">
      <c r="A736" s="25" t="s">
        <v>752</v>
      </c>
      <c r="B736" s="26" t="str">
        <f t="shared" ca="1" si="23"/>
        <v>Uniformes corporativos</v>
      </c>
      <c r="C736" s="58" t="str">
        <f>IFERROR(VLOOKUP("UD",'Informacion '!P:Q,2,FALSE),"")</f>
        <v>Unidad</v>
      </c>
      <c r="D736" s="25">
        <v>19</v>
      </c>
      <c r="E736" s="28">
        <v>600</v>
      </c>
      <c r="F736" s="27">
        <f t="shared" ca="1" si="24"/>
        <v>11400</v>
      </c>
    </row>
    <row r="737" spans="1:6" ht="14.25" customHeight="1" x14ac:dyDescent="0.25">
      <c r="A737" s="25" t="s">
        <v>752</v>
      </c>
      <c r="B737" s="26" t="str">
        <f t="shared" ca="1" si="23"/>
        <v>Uniformes corporativos</v>
      </c>
      <c r="C737" s="58" t="str">
        <f>IFERROR(VLOOKUP("UD",'Informacion '!P:Q,2,FALSE),"")</f>
        <v>Unidad</v>
      </c>
      <c r="D737" s="25">
        <v>25</v>
      </c>
      <c r="E737" s="28">
        <v>1500</v>
      </c>
      <c r="F737" s="27">
        <f t="shared" ca="1" si="24"/>
        <v>37500</v>
      </c>
    </row>
    <row r="738" spans="1:6" ht="14.25" customHeight="1" x14ac:dyDescent="0.25">
      <c r="A738" s="25" t="s">
        <v>752</v>
      </c>
      <c r="B738" s="26" t="str">
        <f t="shared" ca="1" si="23"/>
        <v>Uniformes corporativos</v>
      </c>
      <c r="C738" s="58" t="str">
        <f>IFERROR(VLOOKUP("UD",'Informacion '!P:Q,2,FALSE),"")</f>
        <v>Unidad</v>
      </c>
      <c r="D738" s="25">
        <v>25</v>
      </c>
      <c r="E738" s="28">
        <v>1500</v>
      </c>
      <c r="F738" s="27">
        <f t="shared" ca="1" si="24"/>
        <v>37500</v>
      </c>
    </row>
    <row r="739" spans="1:6" ht="14.25" customHeight="1" x14ac:dyDescent="0.25">
      <c r="A739" s="25" t="s">
        <v>752</v>
      </c>
      <c r="B739" s="26" t="str">
        <f t="shared" ca="1" si="23"/>
        <v>Uniformes corporativos</v>
      </c>
      <c r="C739" s="58" t="str">
        <f>IFERROR(VLOOKUP("UD",'Informacion '!P:Q,2,FALSE),"")</f>
        <v>Unidad</v>
      </c>
      <c r="D739" s="25">
        <v>30</v>
      </c>
      <c r="E739" s="28">
        <v>2000</v>
      </c>
      <c r="F739" s="27">
        <f t="shared" ca="1" si="24"/>
        <v>60000</v>
      </c>
    </row>
    <row r="740" spans="1:6" ht="14.25" customHeight="1" x14ac:dyDescent="0.25">
      <c r="A740" s="25" t="s">
        <v>752</v>
      </c>
      <c r="B740" s="26" t="str">
        <f t="shared" ca="1" si="23"/>
        <v>Uniformes corporativos</v>
      </c>
      <c r="C740" s="58" t="str">
        <f>IFERROR(VLOOKUP("UD",'Informacion '!P:Q,2,FALSE),"")</f>
        <v>Unidad</v>
      </c>
      <c r="D740" s="25">
        <v>30</v>
      </c>
      <c r="E740" s="28">
        <v>3000</v>
      </c>
      <c r="F740" s="27">
        <f t="shared" ca="1" si="24"/>
        <v>90000</v>
      </c>
    </row>
    <row r="741" spans="1:6" ht="14.25" customHeight="1" x14ac:dyDescent="0.25">
      <c r="A741" s="25" t="s">
        <v>887</v>
      </c>
      <c r="B741" s="26" t="str">
        <f t="shared" ref="B741:B749" ca="1" si="25">IFERROR(INDEX(UNSPSCDes,MATCH(INDIRECT(ADDRESS(ROW(),COLUMN()-1,4)),UNSPSCCode,0)),IF(INDIRECT(ADDRESS(ROW(),COLUMN()-1,4))="53103001","Camisetas (t-shirts)",""))</f>
        <v>Camisetas (t-shirts)</v>
      </c>
      <c r="C741" s="58" t="str">
        <f>IFERROR(VLOOKUP("UD",'Informacion '!P:Q,2,FALSE),"")</f>
        <v>Unidad</v>
      </c>
      <c r="D741" s="25">
        <v>100</v>
      </c>
      <c r="E741" s="28">
        <v>800</v>
      </c>
      <c r="F741" s="27">
        <f t="shared" ca="1" si="24"/>
        <v>80000</v>
      </c>
    </row>
    <row r="742" spans="1:6" ht="14.25" customHeight="1" x14ac:dyDescent="0.25">
      <c r="A742" s="25" t="s">
        <v>887</v>
      </c>
      <c r="B742" s="26" t="str">
        <f t="shared" ca="1" si="25"/>
        <v>Camisetas (t-shirts)</v>
      </c>
      <c r="C742" s="58" t="str">
        <f>IFERROR(VLOOKUP("UD",'Informacion '!P:Q,2,FALSE),"")</f>
        <v>Unidad</v>
      </c>
      <c r="D742" s="25">
        <v>150</v>
      </c>
      <c r="E742" s="28">
        <v>800</v>
      </c>
      <c r="F742" s="27">
        <f t="shared" ca="1" si="24"/>
        <v>120000</v>
      </c>
    </row>
    <row r="743" spans="1:6" ht="14.25" customHeight="1" x14ac:dyDescent="0.25">
      <c r="A743" s="25" t="s">
        <v>887</v>
      </c>
      <c r="B743" s="26" t="str">
        <f t="shared" ca="1" si="25"/>
        <v>Camisetas (t-shirts)</v>
      </c>
      <c r="C743" s="58" t="str">
        <f>IFERROR(VLOOKUP("UD",'Informacion '!P:Q,2,FALSE),"")</f>
        <v>Unidad</v>
      </c>
      <c r="D743" s="25">
        <v>250</v>
      </c>
      <c r="E743" s="28">
        <v>800</v>
      </c>
      <c r="F743" s="27">
        <f t="shared" ca="1" si="24"/>
        <v>200000</v>
      </c>
    </row>
    <row r="744" spans="1:6" ht="14.25" customHeight="1" x14ac:dyDescent="0.25">
      <c r="A744" s="25" t="s">
        <v>887</v>
      </c>
      <c r="B744" s="26" t="str">
        <f t="shared" ca="1" si="25"/>
        <v>Camisetas (t-shirts)</v>
      </c>
      <c r="C744" s="58" t="str">
        <f>IFERROR(VLOOKUP("UD",'Informacion '!P:Q,2,FALSE),"")</f>
        <v>Unidad</v>
      </c>
      <c r="D744" s="25">
        <v>250</v>
      </c>
      <c r="E744" s="28">
        <v>800</v>
      </c>
      <c r="F744" s="27">
        <f t="shared" ca="1" si="24"/>
        <v>200000</v>
      </c>
    </row>
    <row r="745" spans="1:6" ht="14.25" customHeight="1" x14ac:dyDescent="0.25">
      <c r="A745" s="25" t="s">
        <v>887</v>
      </c>
      <c r="B745" s="26" t="str">
        <f t="shared" ca="1" si="25"/>
        <v>Camisetas (t-shirts)</v>
      </c>
      <c r="C745" s="58" t="str">
        <f>IFERROR(VLOOKUP("UD",'Informacion '!P:Q,2,FALSE),"")</f>
        <v>Unidad</v>
      </c>
      <c r="D745" s="25">
        <v>50</v>
      </c>
      <c r="E745" s="28">
        <v>800</v>
      </c>
      <c r="F745" s="27">
        <f t="shared" ca="1" si="24"/>
        <v>40000</v>
      </c>
    </row>
    <row r="746" spans="1:6" ht="14.25" customHeight="1" x14ac:dyDescent="0.25">
      <c r="A746" s="25" t="s">
        <v>887</v>
      </c>
      <c r="B746" s="26" t="str">
        <f t="shared" ca="1" si="25"/>
        <v>Camisetas (t-shirts)</v>
      </c>
      <c r="C746" s="58" t="str">
        <f>IFERROR(VLOOKUP("UD",'Informacion '!P:Q,2,FALSE),"")</f>
        <v>Unidad</v>
      </c>
      <c r="D746" s="25">
        <v>150</v>
      </c>
      <c r="E746" s="28">
        <v>800</v>
      </c>
      <c r="F746" s="27">
        <f t="shared" ca="1" si="24"/>
        <v>120000</v>
      </c>
    </row>
    <row r="747" spans="1:6" ht="14.25" customHeight="1" x14ac:dyDescent="0.25">
      <c r="A747" s="25" t="s">
        <v>887</v>
      </c>
      <c r="B747" s="26" t="str">
        <f t="shared" ca="1" si="25"/>
        <v>Camisetas (t-shirts)</v>
      </c>
      <c r="C747" s="58" t="str">
        <f>IFERROR(VLOOKUP("UD",'Informacion '!P:Q,2,FALSE),"")</f>
        <v>Unidad</v>
      </c>
      <c r="D747" s="25">
        <v>250</v>
      </c>
      <c r="E747" s="28">
        <v>800</v>
      </c>
      <c r="F747" s="27">
        <f t="shared" ca="1" si="24"/>
        <v>200000</v>
      </c>
    </row>
    <row r="748" spans="1:6" ht="14.25" customHeight="1" x14ac:dyDescent="0.25">
      <c r="A748" s="25" t="s">
        <v>887</v>
      </c>
      <c r="B748" s="26" t="str">
        <f t="shared" ca="1" si="25"/>
        <v>Camisetas (t-shirts)</v>
      </c>
      <c r="C748" s="58" t="str">
        <f>IFERROR(VLOOKUP("UD",'Informacion '!P:Q,2,FALSE),"")</f>
        <v>Unidad</v>
      </c>
      <c r="D748" s="25">
        <v>250</v>
      </c>
      <c r="E748" s="28">
        <v>800</v>
      </c>
      <c r="F748" s="27">
        <f t="shared" ca="1" si="24"/>
        <v>200000</v>
      </c>
    </row>
    <row r="749" spans="1:6" ht="14.25" customHeight="1" x14ac:dyDescent="0.25">
      <c r="A749" s="25" t="s">
        <v>887</v>
      </c>
      <c r="B749" s="26" t="str">
        <f t="shared" ca="1" si="25"/>
        <v>Camisetas (t-shirts)</v>
      </c>
      <c r="C749" s="58" t="str">
        <f>IFERROR(VLOOKUP("UD",'Informacion '!P:Q,2,FALSE),"")</f>
        <v>Unidad</v>
      </c>
      <c r="D749" s="25">
        <v>150</v>
      </c>
      <c r="E749" s="28">
        <v>800</v>
      </c>
      <c r="F749" s="27">
        <f t="shared" ca="1" si="24"/>
        <v>120000</v>
      </c>
    </row>
    <row r="750" spans="1:6" ht="14.25" customHeight="1" x14ac:dyDescent="0.25">
      <c r="A750" s="25" t="s">
        <v>752</v>
      </c>
      <c r="B750" s="26" t="str">
        <f t="shared" ref="B750:B761" ca="1" si="26">IFERROR(INDEX(UNSPSCDes,MATCH(INDIRECT(ADDRESS(ROW(),COLUMN()-1,4)),UNSPSCCode,0)),IF(INDIRECT(ADDRESS(ROW(),COLUMN()-1,4))="53102710","Uniformes corporativos",""))</f>
        <v>Uniformes corporativos</v>
      </c>
      <c r="C750" s="58" t="str">
        <f>IFERROR(VLOOKUP("UD",'Informacion '!P:Q,2,FALSE),"")</f>
        <v>Unidad</v>
      </c>
      <c r="D750" s="25">
        <v>200</v>
      </c>
      <c r="E750" s="28">
        <v>702.1</v>
      </c>
      <c r="F750" s="27">
        <f t="shared" ca="1" si="24"/>
        <v>140420</v>
      </c>
    </row>
    <row r="751" spans="1:6" ht="14.25" customHeight="1" x14ac:dyDescent="0.25">
      <c r="A751" s="25" t="s">
        <v>752</v>
      </c>
      <c r="B751" s="26" t="str">
        <f t="shared" ca="1" si="26"/>
        <v>Uniformes corporativos</v>
      </c>
      <c r="C751" s="58" t="str">
        <f>IFERROR(VLOOKUP("UD",'Informacion '!P:Q,2,FALSE),"")</f>
        <v>Unidad</v>
      </c>
      <c r="D751" s="25">
        <v>130</v>
      </c>
      <c r="E751" s="28">
        <v>584.1</v>
      </c>
      <c r="F751" s="27">
        <f t="shared" ca="1" si="24"/>
        <v>75933</v>
      </c>
    </row>
    <row r="752" spans="1:6" ht="14.25" customHeight="1" x14ac:dyDescent="0.25">
      <c r="A752" s="25" t="s">
        <v>752</v>
      </c>
      <c r="B752" s="26" t="str">
        <f t="shared" ca="1" si="26"/>
        <v>Uniformes corporativos</v>
      </c>
      <c r="C752" s="58" t="str">
        <f>IFERROR(VLOOKUP("UD",'Informacion '!P:Q,2,FALSE),"")</f>
        <v>Unidad</v>
      </c>
      <c r="D752" s="25">
        <v>80</v>
      </c>
      <c r="E752" s="28">
        <v>885</v>
      </c>
      <c r="F752" s="27">
        <f t="shared" ca="1" si="24"/>
        <v>70800</v>
      </c>
    </row>
    <row r="753" spans="1:10" ht="14.25" customHeight="1" x14ac:dyDescent="0.25">
      <c r="A753" s="25" t="s">
        <v>752</v>
      </c>
      <c r="B753" s="26" t="str">
        <f t="shared" ca="1" si="26"/>
        <v>Uniformes corporativos</v>
      </c>
      <c r="C753" s="58" t="str">
        <f>IFERROR(VLOOKUP("UD",'Informacion '!P:Q,2,FALSE),"")</f>
        <v>Unidad</v>
      </c>
      <c r="D753" s="25">
        <v>20</v>
      </c>
      <c r="E753" s="28">
        <v>1003</v>
      </c>
      <c r="F753" s="27">
        <f t="shared" ca="1" si="24"/>
        <v>20060</v>
      </c>
    </row>
    <row r="754" spans="1:10" ht="14.25" customHeight="1" x14ac:dyDescent="0.25">
      <c r="A754" s="25" t="s">
        <v>752</v>
      </c>
      <c r="B754" s="26" t="str">
        <f t="shared" ca="1" si="26"/>
        <v>Uniformes corporativos</v>
      </c>
      <c r="C754" s="58" t="str">
        <f>IFERROR(VLOOKUP("UD",'Informacion '!P:Q,2,FALSE),"")</f>
        <v>Unidad</v>
      </c>
      <c r="D754" s="25">
        <v>80</v>
      </c>
      <c r="E754" s="28">
        <v>2950</v>
      </c>
      <c r="F754" s="27">
        <f t="shared" ca="1" si="24"/>
        <v>236000</v>
      </c>
    </row>
    <row r="755" spans="1:10" ht="14.25" customHeight="1" x14ac:dyDescent="0.25">
      <c r="A755" s="25" t="s">
        <v>752</v>
      </c>
      <c r="B755" s="26" t="str">
        <f t="shared" ca="1" si="26"/>
        <v>Uniformes corporativos</v>
      </c>
      <c r="C755" s="58" t="str">
        <f>IFERROR(VLOOKUP("UD",'Informacion '!P:Q,2,FALSE),"")</f>
        <v>Unidad</v>
      </c>
      <c r="D755" s="25">
        <v>30</v>
      </c>
      <c r="E755" s="28">
        <v>702.1</v>
      </c>
      <c r="F755" s="27">
        <f t="shared" ca="1" si="24"/>
        <v>21063</v>
      </c>
    </row>
    <row r="756" spans="1:10" ht="14.25" customHeight="1" x14ac:dyDescent="0.25">
      <c r="A756" s="25" t="s">
        <v>752</v>
      </c>
      <c r="B756" s="26" t="str">
        <f t="shared" ca="1" si="26"/>
        <v>Uniformes corporativos</v>
      </c>
      <c r="C756" s="58" t="str">
        <f>IFERROR(VLOOKUP("UD",'Informacion '!P:Q,2,FALSE),"")</f>
        <v>Unidad</v>
      </c>
      <c r="D756" s="25">
        <v>80</v>
      </c>
      <c r="E756" s="28">
        <v>885</v>
      </c>
      <c r="F756" s="27">
        <f t="shared" ca="1" si="24"/>
        <v>70800</v>
      </c>
    </row>
    <row r="757" spans="1:10" ht="14.25" customHeight="1" x14ac:dyDescent="0.25">
      <c r="A757" s="25" t="s">
        <v>752</v>
      </c>
      <c r="B757" s="26" t="str">
        <f t="shared" ca="1" si="26"/>
        <v>Uniformes corporativos</v>
      </c>
      <c r="C757" s="58" t="str">
        <f>IFERROR(VLOOKUP("UD",'Informacion '!P:Q,2,FALSE),"")</f>
        <v>Unidad</v>
      </c>
      <c r="D757" s="25">
        <v>20</v>
      </c>
      <c r="E757" s="28">
        <v>1003</v>
      </c>
      <c r="F757" s="27">
        <f t="shared" ca="1" si="24"/>
        <v>20060</v>
      </c>
    </row>
    <row r="758" spans="1:10" ht="14.25" customHeight="1" x14ac:dyDescent="0.25">
      <c r="A758" s="25" t="s">
        <v>752</v>
      </c>
      <c r="B758" s="26" t="str">
        <f t="shared" ca="1" si="26"/>
        <v>Uniformes corporativos</v>
      </c>
      <c r="C758" s="58" t="str">
        <f>IFERROR(VLOOKUP("UD",'Informacion '!P:Q,2,FALSE),"")</f>
        <v>Unidad</v>
      </c>
      <c r="D758" s="25">
        <v>100</v>
      </c>
      <c r="E758" s="28">
        <v>1003</v>
      </c>
      <c r="F758" s="27">
        <f t="shared" ca="1" si="24"/>
        <v>100300</v>
      </c>
    </row>
    <row r="759" spans="1:10" ht="14.25" customHeight="1" x14ac:dyDescent="0.25">
      <c r="A759" s="25" t="s">
        <v>752</v>
      </c>
      <c r="B759" s="26" t="str">
        <f t="shared" ca="1" si="26"/>
        <v>Uniformes corporativos</v>
      </c>
      <c r="C759" s="58" t="str">
        <f>IFERROR(VLOOKUP("UD",'Informacion '!P:Q,2,FALSE),"")</f>
        <v>Unidad</v>
      </c>
      <c r="D759" s="25">
        <v>130</v>
      </c>
      <c r="E759" s="28">
        <v>767</v>
      </c>
      <c r="F759" s="27">
        <f t="shared" ca="1" si="24"/>
        <v>99710</v>
      </c>
    </row>
    <row r="760" spans="1:10" ht="14.25" customHeight="1" x14ac:dyDescent="0.25">
      <c r="A760" s="25" t="s">
        <v>752</v>
      </c>
      <c r="B760" s="26" t="str">
        <f t="shared" ca="1" si="26"/>
        <v>Uniformes corporativos</v>
      </c>
      <c r="C760" s="58" t="str">
        <f>IFERROR(VLOOKUP("UD",'Informacion '!P:Q,2,FALSE),"")</f>
        <v>Unidad</v>
      </c>
      <c r="D760" s="25">
        <v>21</v>
      </c>
      <c r="E760" s="28">
        <v>500</v>
      </c>
      <c r="F760" s="27">
        <f t="shared" ca="1" si="24"/>
        <v>10500</v>
      </c>
    </row>
    <row r="761" spans="1:10" ht="14.25" customHeight="1" x14ac:dyDescent="0.25">
      <c r="A761" s="25" t="s">
        <v>752</v>
      </c>
      <c r="B761" s="26" t="str">
        <f t="shared" ca="1" si="26"/>
        <v>Uniformes corporativos</v>
      </c>
      <c r="C761" s="58" t="str">
        <f>IFERROR(VLOOKUP("UD",'Informacion '!P:Q,2,FALSE),"")</f>
        <v>Unidad</v>
      </c>
      <c r="D761" s="25">
        <v>21</v>
      </c>
      <c r="E761" s="28">
        <v>780</v>
      </c>
      <c r="F761" s="27">
        <f t="shared" ca="1" si="24"/>
        <v>16380</v>
      </c>
    </row>
    <row r="762" spans="1:10" ht="14.25" customHeight="1" x14ac:dyDescent="0.25">
      <c r="E762" s="30" t="s">
        <v>816</v>
      </c>
      <c r="F762" s="31">
        <f ca="1">SUM(Table30[MONTO TOTAL ESTIMADO])</f>
        <v>2453526</v>
      </c>
      <c r="H762" s="21" t="str">
        <f>C727</f>
        <v>Bienes</v>
      </c>
      <c r="I762" s="21" t="str">
        <f>E727</f>
        <v>MIPYME Mujeres</v>
      </c>
      <c r="J762" s="21" t="str">
        <f>D727</f>
        <v>Comparacion de Precios</v>
      </c>
    </row>
    <row r="764" spans="1:10" ht="33.950000000000003" customHeight="1" x14ac:dyDescent="0.25">
      <c r="A764" s="22" t="s">
        <v>1051</v>
      </c>
      <c r="B764" s="22" t="s">
        <v>11</v>
      </c>
      <c r="C764" s="22" t="s">
        <v>751</v>
      </c>
      <c r="D764" s="22" t="s">
        <v>930</v>
      </c>
      <c r="E764" s="22" t="s">
        <v>699</v>
      </c>
      <c r="F764" s="22" t="s">
        <v>710</v>
      </c>
    </row>
    <row r="765" spans="1:10" ht="14.25" customHeight="1" x14ac:dyDescent="0.25">
      <c r="A765" s="23" t="s">
        <v>898</v>
      </c>
      <c r="B765" s="23" t="s">
        <v>898</v>
      </c>
      <c r="C765" s="23" t="s">
        <v>1155</v>
      </c>
      <c r="D765" s="23" t="s">
        <v>1128</v>
      </c>
      <c r="E765" s="23" t="s">
        <v>385</v>
      </c>
      <c r="F765" s="23" t="s">
        <v>436</v>
      </c>
    </row>
    <row r="766" spans="1:10" ht="14.25" customHeight="1" x14ac:dyDescent="0.25">
      <c r="A766" s="68" t="s">
        <v>965</v>
      </c>
      <c r="B766" s="24" t="s">
        <v>543</v>
      </c>
      <c r="C766" s="54">
        <v>46144</v>
      </c>
      <c r="D766" s="68" t="s">
        <v>598</v>
      </c>
      <c r="E766" s="56" t="s">
        <v>858</v>
      </c>
      <c r="F766" s="57" t="s">
        <v>184</v>
      </c>
    </row>
    <row r="767" spans="1:10" ht="14.25" customHeight="1" x14ac:dyDescent="0.25">
      <c r="A767" s="69"/>
      <c r="B767" s="24" t="s">
        <v>112</v>
      </c>
      <c r="C767" s="55">
        <f>IF(C766="","",IF(AND(MONTH(C766)&gt;=1,MONTH(C766)&lt;=3),1,IF(AND(MONTH(C766)&gt;=4,MONTH(C766)&lt;=6),2,IF(AND(MONTH(C766)&gt;=7,MONTH(C766)&lt;=9),3,4))))</f>
        <v>2</v>
      </c>
      <c r="D767" s="69"/>
      <c r="E767" s="56" t="s">
        <v>143</v>
      </c>
      <c r="F767" s="57"/>
    </row>
    <row r="768" spans="1:10" ht="14.25" customHeight="1" x14ac:dyDescent="0.25">
      <c r="A768" s="69"/>
      <c r="B768" s="24" t="s">
        <v>844</v>
      </c>
      <c r="C768" s="54">
        <v>46192</v>
      </c>
      <c r="D768" s="69"/>
      <c r="E768" s="56" t="s">
        <v>183</v>
      </c>
      <c r="F768" s="57"/>
    </row>
    <row r="769" spans="1:10" ht="14.25" customHeight="1" x14ac:dyDescent="0.25">
      <c r="A769" s="69"/>
      <c r="B769" s="24" t="s">
        <v>112</v>
      </c>
      <c r="C769" s="55">
        <f>IF(C768="","",IF(AND(MONTH(C768)&gt;=1,MONTH(C768)&lt;=3),1,IF(AND(MONTH(C768)&gt;=4,MONTH(C768)&lt;=6),2,IF(AND(MONTH(C768)&gt;=7,MONTH(C768)&lt;=9),3,4))))</f>
        <v>2</v>
      </c>
      <c r="D769" s="69"/>
      <c r="E769" s="56" t="s">
        <v>865</v>
      </c>
      <c r="F769" s="57"/>
    </row>
    <row r="771" spans="1:10" ht="14.25" customHeight="1" x14ac:dyDescent="0.25">
      <c r="A771" s="29" t="s">
        <v>1017</v>
      </c>
      <c r="B771" s="29" t="s">
        <v>1042</v>
      </c>
      <c r="C771" s="29" t="s">
        <v>1011</v>
      </c>
      <c r="D771" s="29" t="s">
        <v>985</v>
      </c>
      <c r="E771" s="29" t="s">
        <v>449</v>
      </c>
      <c r="F771" s="29" t="s">
        <v>989</v>
      </c>
    </row>
    <row r="772" spans="1:10" ht="14.25" customHeight="1" x14ac:dyDescent="0.25">
      <c r="A772" s="25" t="s">
        <v>752</v>
      </c>
      <c r="B772" s="26" t="str">
        <f t="shared" ref="B772:B779" ca="1" si="27">IFERROR(INDEX(UNSPSCDes,MATCH(INDIRECT(ADDRESS(ROW(),COLUMN()-1,4)),UNSPSCCode,0)),IF(INDIRECT(ADDRESS(ROW(),COLUMN()-1,4))="53102710","Uniformes corporativos",""))</f>
        <v>Uniformes corporativos</v>
      </c>
      <c r="C772" s="58" t="str">
        <f>IFERROR(VLOOKUP("UD",'Informacion '!P:Q,2,FALSE),"")</f>
        <v>Unidad</v>
      </c>
      <c r="D772" s="25">
        <v>25</v>
      </c>
      <c r="E772" s="28">
        <v>1200</v>
      </c>
      <c r="F772" s="27">
        <f t="shared" ref="F772:F779" ca="1" si="28">INDIRECT(ADDRESS(ROW(),COLUMN()-2,4))*INDIRECT(ADDRESS(ROW(),COLUMN()-1,4))</f>
        <v>30000</v>
      </c>
    </row>
    <row r="773" spans="1:10" ht="14.25" customHeight="1" x14ac:dyDescent="0.25">
      <c r="A773" s="25" t="s">
        <v>752</v>
      </c>
      <c r="B773" s="26" t="str">
        <f t="shared" ca="1" si="27"/>
        <v>Uniformes corporativos</v>
      </c>
      <c r="C773" s="58" t="str">
        <f>IFERROR(VLOOKUP("UD",'Informacion '!P:Q,2,FALSE),"")</f>
        <v>Unidad</v>
      </c>
      <c r="D773" s="25">
        <v>19</v>
      </c>
      <c r="E773" s="28">
        <v>1600</v>
      </c>
      <c r="F773" s="27">
        <f t="shared" ca="1" si="28"/>
        <v>30400</v>
      </c>
    </row>
    <row r="774" spans="1:10" ht="14.25" customHeight="1" x14ac:dyDescent="0.25">
      <c r="A774" s="25" t="s">
        <v>752</v>
      </c>
      <c r="B774" s="26" t="str">
        <f t="shared" ca="1" si="27"/>
        <v>Uniformes corporativos</v>
      </c>
      <c r="C774" s="58" t="str">
        <f>IFERROR(VLOOKUP("UD",'Informacion '!P:Q,2,FALSE),"")</f>
        <v>Unidad</v>
      </c>
      <c r="D774" s="25">
        <v>19</v>
      </c>
      <c r="E774" s="28">
        <v>1300</v>
      </c>
      <c r="F774" s="27">
        <f t="shared" ca="1" si="28"/>
        <v>24700</v>
      </c>
    </row>
    <row r="775" spans="1:10" ht="14.25" customHeight="1" x14ac:dyDescent="0.25">
      <c r="A775" s="25" t="s">
        <v>752</v>
      </c>
      <c r="B775" s="26" t="str">
        <f t="shared" ca="1" si="27"/>
        <v>Uniformes corporativos</v>
      </c>
      <c r="C775" s="58" t="str">
        <f>IFERROR(VLOOKUP("UD",'Informacion '!P:Q,2,FALSE),"")</f>
        <v>Unidad</v>
      </c>
      <c r="D775" s="25">
        <v>19</v>
      </c>
      <c r="E775" s="28">
        <v>600</v>
      </c>
      <c r="F775" s="27">
        <f t="shared" ca="1" si="28"/>
        <v>11400</v>
      </c>
    </row>
    <row r="776" spans="1:10" ht="14.25" customHeight="1" x14ac:dyDescent="0.25">
      <c r="A776" s="25" t="s">
        <v>752</v>
      </c>
      <c r="B776" s="26" t="str">
        <f t="shared" ca="1" si="27"/>
        <v>Uniformes corporativos</v>
      </c>
      <c r="C776" s="58" t="str">
        <f>IFERROR(VLOOKUP("UD",'Informacion '!P:Q,2,FALSE),"")</f>
        <v>Unidad</v>
      </c>
      <c r="D776" s="25">
        <v>25</v>
      </c>
      <c r="E776" s="28">
        <v>1500</v>
      </c>
      <c r="F776" s="27">
        <f t="shared" ca="1" si="28"/>
        <v>37500</v>
      </c>
    </row>
    <row r="777" spans="1:10" ht="14.25" customHeight="1" x14ac:dyDescent="0.25">
      <c r="A777" s="25" t="s">
        <v>752</v>
      </c>
      <c r="B777" s="26" t="str">
        <f t="shared" ca="1" si="27"/>
        <v>Uniformes corporativos</v>
      </c>
      <c r="C777" s="58" t="str">
        <f>IFERROR(VLOOKUP("UD",'Informacion '!P:Q,2,FALSE),"")</f>
        <v>Unidad</v>
      </c>
      <c r="D777" s="25">
        <v>25</v>
      </c>
      <c r="E777" s="28">
        <v>1500</v>
      </c>
      <c r="F777" s="27">
        <f t="shared" ca="1" si="28"/>
        <v>37500</v>
      </c>
    </row>
    <row r="778" spans="1:10" ht="14.25" customHeight="1" x14ac:dyDescent="0.25">
      <c r="A778" s="25" t="s">
        <v>752</v>
      </c>
      <c r="B778" s="26" t="str">
        <f t="shared" ca="1" si="27"/>
        <v>Uniformes corporativos</v>
      </c>
      <c r="C778" s="58" t="str">
        <f>IFERROR(VLOOKUP("UD",'Informacion '!P:Q,2,FALSE),"")</f>
        <v>Unidad</v>
      </c>
      <c r="D778" s="25">
        <v>30</v>
      </c>
      <c r="E778" s="28">
        <v>2000</v>
      </c>
      <c r="F778" s="27">
        <f t="shared" ca="1" si="28"/>
        <v>60000</v>
      </c>
    </row>
    <row r="779" spans="1:10" ht="14.25" customHeight="1" x14ac:dyDescent="0.25">
      <c r="A779" s="25" t="s">
        <v>752</v>
      </c>
      <c r="B779" s="26" t="str">
        <f t="shared" ca="1" si="27"/>
        <v>Uniformes corporativos</v>
      </c>
      <c r="C779" s="58" t="str">
        <f>IFERROR(VLOOKUP("UD",'Informacion '!P:Q,2,FALSE),"")</f>
        <v>Unidad</v>
      </c>
      <c r="D779" s="25">
        <v>30</v>
      </c>
      <c r="E779" s="28">
        <v>3000</v>
      </c>
      <c r="F779" s="27">
        <f t="shared" ca="1" si="28"/>
        <v>90000</v>
      </c>
    </row>
    <row r="780" spans="1:10" ht="14.25" customHeight="1" x14ac:dyDescent="0.25">
      <c r="E780" s="30" t="s">
        <v>816</v>
      </c>
      <c r="F780" s="31">
        <f ca="1">SUM(Table31[MONTO TOTAL ESTIMADO])</f>
        <v>321500</v>
      </c>
      <c r="H780" s="21" t="str">
        <f>C765</f>
        <v>Bienes</v>
      </c>
      <c r="I780" s="21" t="str">
        <f>E765</f>
        <v>MIPYME Mujeres</v>
      </c>
      <c r="J780" s="21" t="str">
        <f>D765</f>
        <v>Compras Menores</v>
      </c>
    </row>
    <row r="782" spans="1:10" ht="33.950000000000003" customHeight="1" x14ac:dyDescent="0.25">
      <c r="A782" s="22" t="s">
        <v>1051</v>
      </c>
      <c r="B782" s="22" t="s">
        <v>11</v>
      </c>
      <c r="C782" s="22" t="s">
        <v>751</v>
      </c>
      <c r="D782" s="22" t="s">
        <v>930</v>
      </c>
      <c r="E782" s="22" t="s">
        <v>699</v>
      </c>
      <c r="F782" s="22" t="s">
        <v>710</v>
      </c>
    </row>
    <row r="783" spans="1:10" ht="14.25" customHeight="1" x14ac:dyDescent="0.25">
      <c r="A783" s="23" t="s">
        <v>467</v>
      </c>
      <c r="B783" s="23" t="s">
        <v>467</v>
      </c>
      <c r="C783" s="23" t="s">
        <v>1155</v>
      </c>
      <c r="D783" s="23" t="s">
        <v>1128</v>
      </c>
      <c r="E783" s="23" t="s">
        <v>561</v>
      </c>
      <c r="F783" s="23" t="s">
        <v>436</v>
      </c>
    </row>
    <row r="784" spans="1:10" ht="14.25" customHeight="1" x14ac:dyDescent="0.25">
      <c r="A784" s="68" t="s">
        <v>965</v>
      </c>
      <c r="B784" s="24" t="s">
        <v>543</v>
      </c>
      <c r="C784" s="54">
        <v>46123</v>
      </c>
      <c r="D784" s="68" t="s">
        <v>598</v>
      </c>
      <c r="E784" s="56" t="s">
        <v>858</v>
      </c>
      <c r="F784" s="57" t="s">
        <v>184</v>
      </c>
    </row>
    <row r="785" spans="1:6" ht="14.25" customHeight="1" x14ac:dyDescent="0.25">
      <c r="A785" s="69"/>
      <c r="B785" s="24" t="s">
        <v>112</v>
      </c>
      <c r="C785" s="55">
        <f>IF(C784="","",IF(AND(MONTH(C784)&gt;=1,MONTH(C784)&lt;=3),1,IF(AND(MONTH(C784)&gt;=4,MONTH(C784)&lt;=6),2,IF(AND(MONTH(C784)&gt;=7,MONTH(C784)&lt;=9),3,4))))</f>
        <v>2</v>
      </c>
      <c r="D785" s="69"/>
      <c r="E785" s="56" t="s">
        <v>143</v>
      </c>
      <c r="F785" s="57"/>
    </row>
    <row r="786" spans="1:6" ht="14.25" customHeight="1" x14ac:dyDescent="0.25">
      <c r="A786" s="69"/>
      <c r="B786" s="24" t="s">
        <v>844</v>
      </c>
      <c r="C786" s="54">
        <v>46142</v>
      </c>
      <c r="D786" s="69"/>
      <c r="E786" s="56" t="s">
        <v>183</v>
      </c>
      <c r="F786" s="57"/>
    </row>
    <row r="787" spans="1:6" ht="14.25" customHeight="1" x14ac:dyDescent="0.25">
      <c r="A787" s="69"/>
      <c r="B787" s="24" t="s">
        <v>112</v>
      </c>
      <c r="C787" s="55">
        <f>IF(C786="","",IF(AND(MONTH(C786)&gt;=1,MONTH(C786)&lt;=3),1,IF(AND(MONTH(C786)&gt;=4,MONTH(C786)&lt;=6),2,IF(AND(MONTH(C786)&gt;=7,MONTH(C786)&lt;=9),3,4))))</f>
        <v>2</v>
      </c>
      <c r="D787" s="69"/>
      <c r="E787" s="56" t="s">
        <v>865</v>
      </c>
      <c r="F787" s="57"/>
    </row>
    <row r="789" spans="1:6" ht="14.25" customHeight="1" x14ac:dyDescent="0.25">
      <c r="A789" s="29" t="s">
        <v>1017</v>
      </c>
      <c r="B789" s="29" t="s">
        <v>1042</v>
      </c>
      <c r="C789" s="29" t="s">
        <v>1011</v>
      </c>
      <c r="D789" s="29" t="s">
        <v>985</v>
      </c>
      <c r="E789" s="29" t="s">
        <v>449</v>
      </c>
      <c r="F789" s="29" t="s">
        <v>989</v>
      </c>
    </row>
    <row r="790" spans="1:6" ht="14.25" customHeight="1" x14ac:dyDescent="0.25">
      <c r="A790" s="25" t="s">
        <v>417</v>
      </c>
      <c r="B790" s="26" t="str">
        <f ca="1">IFERROR(INDEX(UNSPSCDes,MATCH(INDIRECT(ADDRESS(ROW(),COLUMN()-1,4)),UNSPSCCode,0)),IF(INDIRECT(ADDRESS(ROW(),COLUMN()-1,4))="44122101","Cauchos",""))</f>
        <v>Cauchos</v>
      </c>
      <c r="C790" s="58" t="str">
        <f>IFERROR(VLOOKUP("CAJ",'Informacion '!P:Q,2,FALSE),"")</f>
        <v>Caja</v>
      </c>
      <c r="D790" s="25">
        <v>50</v>
      </c>
      <c r="E790" s="28">
        <v>34.22</v>
      </c>
      <c r="F790" s="27">
        <f t="shared" ref="F790:F821" ca="1" si="29">INDIRECT(ADDRESS(ROW(),COLUMN()-2,4))*INDIRECT(ADDRESS(ROW(),COLUMN()-1,4))</f>
        <v>1711</v>
      </c>
    </row>
    <row r="791" spans="1:6" ht="14.25" customHeight="1" x14ac:dyDescent="0.25">
      <c r="A791" s="25" t="s">
        <v>409</v>
      </c>
      <c r="B791" s="26" t="str">
        <f ca="1">IFERROR(INDEX(UNSPSCDes,MATCH(INDIRECT(ADDRESS(ROW(),COLUMN()-1,4)),UNSPSCCode,0)),IF(INDIRECT(ADDRESS(ROW(),COLUMN()-1,4))="44121804","Borradores",""))</f>
        <v>Borradores</v>
      </c>
      <c r="C791" s="58" t="str">
        <f>IFERROR(VLOOKUP("UD",'Informacion '!P:Q,2,FALSE),"")</f>
        <v>Unidad</v>
      </c>
      <c r="D791" s="25">
        <v>75</v>
      </c>
      <c r="E791" s="28">
        <v>141.06</v>
      </c>
      <c r="F791" s="27">
        <f t="shared" ca="1" si="29"/>
        <v>10579.5</v>
      </c>
    </row>
    <row r="792" spans="1:6" ht="14.25" customHeight="1" x14ac:dyDescent="0.25">
      <c r="A792" s="25" t="s">
        <v>77</v>
      </c>
      <c r="B792" s="26" t="str">
        <f ca="1">IFERROR(INDEX(UNSPSCDes,MATCH(INDIRECT(ADDRESS(ROW(),COLUMN()-1,4)),UNSPSCCode,0)),IF(INDIRECT(ADDRESS(ROW(),COLUMN()-1,4))="44122003","Carpetas",""))</f>
        <v>Carpetas</v>
      </c>
      <c r="C792" s="58" t="str">
        <f>IFERROR(VLOOKUP("UD",'Informacion '!P:Q,2,FALSE),"")</f>
        <v>Unidad</v>
      </c>
      <c r="D792" s="25">
        <v>100</v>
      </c>
      <c r="E792" s="28">
        <v>191.16</v>
      </c>
      <c r="F792" s="27">
        <f t="shared" ca="1" si="29"/>
        <v>19116</v>
      </c>
    </row>
    <row r="793" spans="1:6" ht="14.25" customHeight="1" x14ac:dyDescent="0.25">
      <c r="A793" s="25" t="s">
        <v>77</v>
      </c>
      <c r="B793" s="26" t="str">
        <f ca="1">IFERROR(INDEX(UNSPSCDes,MATCH(INDIRECT(ADDRESS(ROW(),COLUMN()-1,4)),UNSPSCCode,0)),IF(INDIRECT(ADDRESS(ROW(),COLUMN()-1,4))="44122003","Carpetas",""))</f>
        <v>Carpetas</v>
      </c>
      <c r="C793" s="58" t="str">
        <f>IFERROR(VLOOKUP("UD",'Informacion '!P:Q,2,FALSE),"")</f>
        <v>Unidad</v>
      </c>
      <c r="D793" s="25">
        <v>100</v>
      </c>
      <c r="E793" s="28">
        <v>206.05</v>
      </c>
      <c r="F793" s="27">
        <f t="shared" ca="1" si="29"/>
        <v>20605</v>
      </c>
    </row>
    <row r="794" spans="1:6" ht="14.25" customHeight="1" x14ac:dyDescent="0.25">
      <c r="A794" s="25" t="s">
        <v>431</v>
      </c>
      <c r="B794" s="26" t="str">
        <f ca="1">IFERROR(INDEX(UNSPSCDes,MATCH(INDIRECT(ADDRESS(ROW(),COLUMN()-1,4)),UNSPSCCode,0)),IF(INDIRECT(ADDRESS(ROW(),COLUMN()-1,4))="31201512","Cinta transparente",""))</f>
        <v>Cinta transparente</v>
      </c>
      <c r="C794" s="58" t="str">
        <f>IFERROR(VLOOKUP("UD",'Informacion '!P:Q,2,FALSE),"")</f>
        <v>Unidad</v>
      </c>
      <c r="D794" s="25">
        <v>100</v>
      </c>
      <c r="E794" s="28">
        <v>51.92</v>
      </c>
      <c r="F794" s="27">
        <f t="shared" ca="1" si="29"/>
        <v>5192</v>
      </c>
    </row>
    <row r="795" spans="1:6" ht="14.25" customHeight="1" x14ac:dyDescent="0.25">
      <c r="A795" s="25" t="s">
        <v>431</v>
      </c>
      <c r="B795" s="26" t="str">
        <f ca="1">IFERROR(INDEX(UNSPSCDes,MATCH(INDIRECT(ADDRESS(ROW(),COLUMN()-1,4)),UNSPSCCode,0)),IF(INDIRECT(ADDRESS(ROW(),COLUMN()-1,4))="31201512","Cinta transparente",""))</f>
        <v>Cinta transparente</v>
      </c>
      <c r="C795" s="58" t="str">
        <f>IFERROR(VLOOKUP("PAQ",'Informacion '!P:Q,2,FALSE),"")</f>
        <v>Paquete</v>
      </c>
      <c r="D795" s="25">
        <v>100</v>
      </c>
      <c r="E795" s="28">
        <v>1233.01</v>
      </c>
      <c r="F795" s="27">
        <f t="shared" ca="1" si="29"/>
        <v>123301</v>
      </c>
    </row>
    <row r="796" spans="1:6" ht="14.25" customHeight="1" x14ac:dyDescent="0.25">
      <c r="A796" s="25" t="s">
        <v>400</v>
      </c>
      <c r="B796" s="26" t="str">
        <f ca="1">IFERROR(INDEX(UNSPSCDes,MATCH(INDIRECT(ADDRESS(ROW(),COLUMN()-1,4)),UNSPSCCode,0)),IF(INDIRECT(ADDRESS(ROW(),COLUMN()-1,4))="44122106","Alfileres o taches",""))</f>
        <v>Alfileres o taches</v>
      </c>
      <c r="C796" s="58" t="str">
        <f>IFERROR(VLOOKUP("CAJ",'Informacion '!P:Q,2,FALSE),"")</f>
        <v>Caja</v>
      </c>
      <c r="D796" s="25">
        <v>100</v>
      </c>
      <c r="E796" s="28">
        <v>77.55</v>
      </c>
      <c r="F796" s="27">
        <f t="shared" ca="1" si="29"/>
        <v>7755</v>
      </c>
    </row>
    <row r="797" spans="1:6" ht="14.25" customHeight="1" x14ac:dyDescent="0.25">
      <c r="A797" s="25" t="s">
        <v>431</v>
      </c>
      <c r="B797" s="26" t="str">
        <f ca="1">IFERROR(INDEX(UNSPSCDes,MATCH(INDIRECT(ADDRESS(ROW(),COLUMN()-1,4)),UNSPSCCode,0)),IF(INDIRECT(ADDRESS(ROW(),COLUMN()-1,4))="31201512","Cinta transparente",""))</f>
        <v>Cinta transparente</v>
      </c>
      <c r="C797" s="58" t="str">
        <f>IFERROR(VLOOKUP("UD",'Informacion '!P:Q,2,FALSE),"")</f>
        <v>Unidad</v>
      </c>
      <c r="D797" s="25">
        <v>100</v>
      </c>
      <c r="E797" s="28">
        <v>33.57</v>
      </c>
      <c r="F797" s="27">
        <f t="shared" ca="1" si="29"/>
        <v>3357</v>
      </c>
    </row>
    <row r="798" spans="1:6" ht="14.25" customHeight="1" x14ac:dyDescent="0.25">
      <c r="A798" s="25" t="s">
        <v>429</v>
      </c>
      <c r="B798" s="26" t="str">
        <f ca="1">IFERROR(INDEX(UNSPSCDes,MATCH(INDIRECT(ADDRESS(ROW(),COLUMN()-1,4)),UNSPSCCode,0)),IF(INDIRECT(ADDRESS(ROW(),COLUMN()-1,4))="31201505","Cinta doble faz",""))</f>
        <v>Cinta doble faz</v>
      </c>
      <c r="C798" s="58" t="str">
        <f>IFERROR(VLOOKUP("PAQ",'Informacion '!P:Q,2,FALSE),"")</f>
        <v>Paquete</v>
      </c>
      <c r="D798" s="25">
        <v>100</v>
      </c>
      <c r="E798" s="28">
        <v>1144.05</v>
      </c>
      <c r="F798" s="27">
        <f t="shared" ca="1" si="29"/>
        <v>114405</v>
      </c>
    </row>
    <row r="799" spans="1:6" ht="14.25" customHeight="1" x14ac:dyDescent="0.25">
      <c r="A799" s="25" t="s">
        <v>1089</v>
      </c>
      <c r="B799" s="26" t="str">
        <f ca="1">IFERROR(INDEX(UNSPSCDes,MATCH(INDIRECT(ADDRESS(ROW(),COLUMN()-1,4)),UNSPSCCode,0)),IF(INDIRECT(ADDRESS(ROW(),COLUMN()-1,4))="44122105","Clips para carpetas o bulldog",""))</f>
        <v>Clips para carpetas o bulldog</v>
      </c>
      <c r="C799" s="58" t="str">
        <f>IFERROR(VLOOKUP("CAJ",'Informacion '!P:Q,2,FALSE),"")</f>
        <v>Caja</v>
      </c>
      <c r="D799" s="25">
        <v>100</v>
      </c>
      <c r="E799" s="28">
        <v>206.05</v>
      </c>
      <c r="F799" s="27">
        <f t="shared" ca="1" si="29"/>
        <v>20605</v>
      </c>
    </row>
    <row r="800" spans="1:6" ht="14.25" customHeight="1" x14ac:dyDescent="0.25">
      <c r="A800" s="25" t="s">
        <v>894</v>
      </c>
      <c r="B800" s="26" t="str">
        <f ca="1">IFERROR(INDEX(UNSPSCDes,MATCH(INDIRECT(ADDRESS(ROW(),COLUMN()-1,4)),UNSPSCCode,0)),IF(INDIRECT(ADDRESS(ROW(),COLUMN()-1,4))="44122104","Clips para papel",""))</f>
        <v>Clips para papel</v>
      </c>
      <c r="C800" s="58" t="str">
        <f>IFERROR(VLOOKUP("CAJ",'Informacion '!P:Q,2,FALSE),"")</f>
        <v>Caja</v>
      </c>
      <c r="D800" s="25">
        <v>100</v>
      </c>
      <c r="E800" s="28">
        <v>46.08</v>
      </c>
      <c r="F800" s="27">
        <f t="shared" ca="1" si="29"/>
        <v>4608</v>
      </c>
    </row>
    <row r="801" spans="1:6" ht="14.25" customHeight="1" x14ac:dyDescent="0.25">
      <c r="A801" s="25" t="s">
        <v>894</v>
      </c>
      <c r="B801" s="26" t="str">
        <f ca="1">IFERROR(INDEX(UNSPSCDes,MATCH(INDIRECT(ADDRESS(ROW(),COLUMN()-1,4)),UNSPSCCode,0)),IF(INDIRECT(ADDRESS(ROW(),COLUMN()-1,4))="44122104","Clips para papel",""))</f>
        <v>Clips para papel</v>
      </c>
      <c r="C801" s="58" t="str">
        <f>IFERROR(VLOOKUP("CAJ",'Informacion '!P:Q,2,FALSE),"")</f>
        <v>Caja</v>
      </c>
      <c r="D801" s="25">
        <v>100</v>
      </c>
      <c r="E801" s="28">
        <v>23.06</v>
      </c>
      <c r="F801" s="27">
        <f t="shared" ca="1" si="29"/>
        <v>2306</v>
      </c>
    </row>
    <row r="802" spans="1:6" ht="14.25" customHeight="1" x14ac:dyDescent="0.25">
      <c r="A802" s="25" t="s">
        <v>894</v>
      </c>
      <c r="B802" s="26" t="str">
        <f ca="1">IFERROR(INDEX(UNSPSCDes,MATCH(INDIRECT(ADDRESS(ROW(),COLUMN()-1,4)),UNSPSCCode,0)),IF(INDIRECT(ADDRESS(ROW(),COLUMN()-1,4))="44122104","Clips para papel",""))</f>
        <v>Clips para papel</v>
      </c>
      <c r="C802" s="58" t="str">
        <f>IFERROR(VLOOKUP("CAJ",'Informacion '!P:Q,2,FALSE),"")</f>
        <v>Caja</v>
      </c>
      <c r="D802" s="25">
        <v>100</v>
      </c>
      <c r="E802" s="28">
        <v>17.7</v>
      </c>
      <c r="F802" s="27">
        <f t="shared" ca="1" si="29"/>
        <v>1770</v>
      </c>
    </row>
    <row r="803" spans="1:6" ht="14.25" customHeight="1" x14ac:dyDescent="0.25">
      <c r="A803" s="25" t="s">
        <v>675</v>
      </c>
      <c r="B803" s="26" t="str">
        <f ca="1">IFERROR(INDEX(UNSPSCDes,MATCH(INDIRECT(ADDRESS(ROW(),COLUMN()-1,4)),UNSPSCCode,0)),IF(INDIRECT(ADDRESS(ROW(),COLUMN()-1,4))="27112819","Cuchillas de corte para encuadernación",""))</f>
        <v>Cuchillas de corte para encuadernación</v>
      </c>
      <c r="C803" s="58" t="str">
        <f>IFERROR(VLOOKUP("UD",'Informacion '!P:Q,2,FALSE),"")</f>
        <v>Unidad</v>
      </c>
      <c r="D803" s="25">
        <v>25</v>
      </c>
      <c r="E803" s="28">
        <v>230.01</v>
      </c>
      <c r="F803" s="27">
        <f t="shared" ca="1" si="29"/>
        <v>5750.25</v>
      </c>
    </row>
    <row r="804" spans="1:6" ht="14.25" customHeight="1" x14ac:dyDescent="0.25">
      <c r="A804" s="25" t="s">
        <v>719</v>
      </c>
      <c r="B804" s="26" t="str">
        <f ca="1">IFERROR(INDEX(UNSPSCDes,MATCH(INDIRECT(ADDRESS(ROW(),COLUMN()-1,4)),UNSPSCCode,0)),IF(INDIRECT(ADDRESS(ROW(),COLUMN()-1,4))="44121605","Dispensadores de cinta",""))</f>
        <v>Dispensadores de cinta</v>
      </c>
      <c r="C804" s="58" t="str">
        <f>IFERROR(VLOOKUP("UD",'Informacion '!P:Q,2,FALSE),"")</f>
        <v>Unidad</v>
      </c>
      <c r="D804" s="25">
        <v>100</v>
      </c>
      <c r="E804" s="28">
        <v>167.56</v>
      </c>
      <c r="F804" s="27">
        <f t="shared" ca="1" si="29"/>
        <v>16756</v>
      </c>
    </row>
    <row r="805" spans="1:6" ht="14.25" customHeight="1" x14ac:dyDescent="0.25">
      <c r="A805" s="25" t="s">
        <v>532</v>
      </c>
      <c r="B805" s="26" t="str">
        <f ca="1">IFERROR(INDEX(UNSPSCDes,MATCH(INDIRECT(ADDRESS(ROW(),COLUMN()-1,4)),UNSPSCCode,0)),IF(INDIRECT(ADDRESS(ROW(),COLUMN()-1,4))="31201603","Gomas",""))</f>
        <v>Gomas</v>
      </c>
      <c r="C805" s="58" t="str">
        <f>IFERROR(VLOOKUP("CAJ",'Informacion '!P:Q,2,FALSE),"")</f>
        <v>Caja</v>
      </c>
      <c r="D805" s="25">
        <v>300</v>
      </c>
      <c r="E805" s="28">
        <v>65</v>
      </c>
      <c r="F805" s="27">
        <f t="shared" ca="1" si="29"/>
        <v>19500</v>
      </c>
    </row>
    <row r="806" spans="1:6" ht="14.25" customHeight="1" x14ac:dyDescent="0.25">
      <c r="A806" s="25" t="s">
        <v>1202</v>
      </c>
      <c r="B806" s="26" t="str">
        <f ca="1">IFERROR(INDEX(UNSPSCDes,MATCH(INDIRECT(ADDRESS(ROW(),COLUMN()-1,4)),UNSPSCCode,0)),IF(INDIRECT(ADDRESS(ROW(),COLUMN()-1,4))="60121526","Bolígrafos para caligrafía",""))</f>
        <v>Bolígrafos para caligrafía</v>
      </c>
      <c r="C806" s="58" t="str">
        <f>IFERROR(VLOOKUP("CAJ",'Informacion '!P:Q,2,FALSE),"")</f>
        <v>Caja</v>
      </c>
      <c r="D806" s="25">
        <v>1200</v>
      </c>
      <c r="E806" s="28">
        <v>40</v>
      </c>
      <c r="F806" s="27">
        <f t="shared" ca="1" si="29"/>
        <v>48000</v>
      </c>
    </row>
    <row r="807" spans="1:6" ht="14.25" customHeight="1" x14ac:dyDescent="0.25">
      <c r="A807" s="25" t="s">
        <v>499</v>
      </c>
      <c r="B807" s="26" t="str">
        <f ca="1">IFERROR(INDEX(UNSPSCDes,MATCH(INDIRECT(ADDRESS(ROW(),COLUMN()-1,4)),UNSPSCCode,0)),IF(INDIRECT(ADDRESS(ROW(),COLUMN()-1,4))="44122011","Folders",""))</f>
        <v>Folders</v>
      </c>
      <c r="C807" s="58" t="str">
        <f>IFERROR(VLOOKUP("CAJ",'Informacion '!P:Q,2,FALSE),"")</f>
        <v>Caja</v>
      </c>
      <c r="D807" s="25">
        <v>100</v>
      </c>
      <c r="E807" s="28">
        <v>1680</v>
      </c>
      <c r="F807" s="27">
        <f t="shared" ca="1" si="29"/>
        <v>168000</v>
      </c>
    </row>
    <row r="808" spans="1:6" ht="14.25" customHeight="1" x14ac:dyDescent="0.25">
      <c r="A808" s="25" t="s">
        <v>499</v>
      </c>
      <c r="B808" s="26" t="str">
        <f ca="1">IFERROR(INDEX(UNSPSCDes,MATCH(INDIRECT(ADDRESS(ROW(),COLUMN()-1,4)),UNSPSCCode,0)),IF(INDIRECT(ADDRESS(ROW(),COLUMN()-1,4))="44122011","Folders",""))</f>
        <v>Folders</v>
      </c>
      <c r="C808" s="58" t="str">
        <f>IFERROR(VLOOKUP("CAJ",'Informacion '!P:Q,2,FALSE),"")</f>
        <v>Caja</v>
      </c>
      <c r="D808" s="25">
        <v>100</v>
      </c>
      <c r="E808" s="28">
        <v>1955.83</v>
      </c>
      <c r="F808" s="27">
        <f t="shared" ca="1" si="29"/>
        <v>195583</v>
      </c>
    </row>
    <row r="809" spans="1:6" ht="14.25" customHeight="1" x14ac:dyDescent="0.25">
      <c r="A809" s="25" t="s">
        <v>499</v>
      </c>
      <c r="B809" s="26" t="str">
        <f ca="1">IFERROR(INDEX(UNSPSCDes,MATCH(INDIRECT(ADDRESS(ROW(),COLUMN()-1,4)),UNSPSCCode,0)),IF(INDIRECT(ADDRESS(ROW(),COLUMN()-1,4))="44122011","Folders",""))</f>
        <v>Folders</v>
      </c>
      <c r="C809" s="58" t="str">
        <f>IFERROR(VLOOKUP("CAJ",'Informacion '!P:Q,2,FALSE),"")</f>
        <v>Caja</v>
      </c>
      <c r="D809" s="25">
        <v>100</v>
      </c>
      <c r="E809" s="28">
        <v>446.04</v>
      </c>
      <c r="F809" s="27">
        <f t="shared" ca="1" si="29"/>
        <v>44604</v>
      </c>
    </row>
    <row r="810" spans="1:6" ht="14.25" customHeight="1" x14ac:dyDescent="0.25">
      <c r="A810" s="25" t="s">
        <v>474</v>
      </c>
      <c r="B810" s="26" t="str">
        <f ca="1">IFERROR(INDEX(UNSPSCDes,MATCH(INDIRECT(ADDRESS(ROW(),COLUMN()-1,4)),UNSPSCCode,0)),IF(INDIRECT(ADDRESS(ROW(),COLUMN()-1,4))="60121532","Borradores de goma moldeable",""))</f>
        <v>Borradores de goma moldeable</v>
      </c>
      <c r="C810" s="58" t="str">
        <f>IFERROR(VLOOKUP("UD",'Informacion '!P:Q,2,FALSE),"")</f>
        <v>Unidad</v>
      </c>
      <c r="D810" s="25">
        <v>100</v>
      </c>
      <c r="E810" s="28">
        <v>54.28</v>
      </c>
      <c r="F810" s="27">
        <f t="shared" ca="1" si="29"/>
        <v>5428</v>
      </c>
    </row>
    <row r="811" spans="1:6" ht="14.25" customHeight="1" x14ac:dyDescent="0.25">
      <c r="A811" s="25" t="s">
        <v>419</v>
      </c>
      <c r="B811" s="26" t="str">
        <f ca="1">IFERROR(INDEX(UNSPSCDes,MATCH(INDIRECT(ADDRESS(ROW(),COLUMN()-1,4)),UNSPSCCode,0)),IF(INDIRECT(ADDRESS(ROW(),COLUMN()-1,4))="44101707","Unidades de grapadoras",""))</f>
        <v>Unidades de grapadoras</v>
      </c>
      <c r="C811" s="58" t="str">
        <f>IFERROR(VLOOKUP("UD",'Informacion '!P:Q,2,FALSE),"")</f>
        <v>Unidad</v>
      </c>
      <c r="D811" s="25">
        <v>100</v>
      </c>
      <c r="E811" s="28">
        <v>464.92</v>
      </c>
      <c r="F811" s="27">
        <f t="shared" ca="1" si="29"/>
        <v>46492</v>
      </c>
    </row>
    <row r="812" spans="1:6" ht="14.25" customHeight="1" x14ac:dyDescent="0.25">
      <c r="A812" s="25" t="s">
        <v>332</v>
      </c>
      <c r="B812" s="26" t="str">
        <f ca="1">IFERROR(INDEX(UNSPSCDes,MATCH(INDIRECT(ADDRESS(ROW(),COLUMN()-1,4)),UNSPSCCode,0)),IF(INDIRECT(ADDRESS(ROW(),COLUMN()-1,4))="60121522","Bolígrafos de base acuosa",""))</f>
        <v>Bolígrafos de base acuosa</v>
      </c>
      <c r="C812" s="58" t="str">
        <f>IFERROR(VLOOKUP("CAJ",'Informacion '!P:Q,2,FALSE),"")</f>
        <v>Caja</v>
      </c>
      <c r="D812" s="25">
        <v>100</v>
      </c>
      <c r="E812" s="28">
        <v>120</v>
      </c>
      <c r="F812" s="27">
        <f t="shared" ca="1" si="29"/>
        <v>12000</v>
      </c>
    </row>
    <row r="813" spans="1:6" ht="14.25" customHeight="1" x14ac:dyDescent="0.25">
      <c r="A813" s="25" t="s">
        <v>800</v>
      </c>
      <c r="B813" s="26" t="str">
        <f ca="1">IFERROR(INDEX(UNSPSCDes,MATCH(INDIRECT(ADDRESS(ROW(),COLUMN()-1,4)),UNSPSCCode,0)),IF(INDIRECT(ADDRESS(ROW(),COLUMN()-1,4))="44121706","Lápices de madera",""))</f>
        <v>Lápices de madera</v>
      </c>
      <c r="C813" s="58" t="str">
        <f>IFERROR(VLOOKUP("CAJ",'Informacion '!P:Q,2,FALSE),"")</f>
        <v>Caja</v>
      </c>
      <c r="D813" s="25">
        <v>150</v>
      </c>
      <c r="E813" s="28">
        <v>70</v>
      </c>
      <c r="F813" s="27">
        <f t="shared" ca="1" si="29"/>
        <v>10500</v>
      </c>
    </row>
    <row r="814" spans="1:6" ht="14.25" customHeight="1" x14ac:dyDescent="0.25">
      <c r="A814" s="25" t="s">
        <v>430</v>
      </c>
      <c r="B814" s="26" t="str">
        <f ca="1">IFERROR(INDEX(UNSPSCDes,MATCH(INDIRECT(ADDRESS(ROW(),COLUMN()-1,4)),UNSPSCCode,0)),IF(INDIRECT(ADDRESS(ROW(),COLUMN()-1,4))="44102002","Bolsas de laminadores",""))</f>
        <v>Bolsas de laminadores</v>
      </c>
      <c r="C814" s="58" t="str">
        <f>IFERROR(VLOOKUP("CAJ",'Informacion '!P:Q,2,FALSE),"")</f>
        <v>Caja</v>
      </c>
      <c r="D814" s="25">
        <v>1</v>
      </c>
      <c r="E814" s="28">
        <v>500</v>
      </c>
      <c r="F814" s="27">
        <f t="shared" ca="1" si="29"/>
        <v>500</v>
      </c>
    </row>
    <row r="815" spans="1:6" ht="14.25" customHeight="1" x14ac:dyDescent="0.25">
      <c r="A815" s="25" t="s">
        <v>208</v>
      </c>
      <c r="B815" s="26" t="str">
        <f ca="1">IFERROR(INDEX(UNSPSCDes,MATCH(INDIRECT(ADDRESS(ROW(),COLUMN()-1,4)),UNSPSCCode,0)),IF(INDIRECT(ADDRESS(ROW(),COLUMN()-1,4))="14111810","Formatos o libros de personal",""))</f>
        <v>Formatos o libros de personal</v>
      </c>
      <c r="C815" s="58" t="str">
        <f>IFERROR(VLOOKUP("UD",'Informacion '!P:Q,2,FALSE),"")</f>
        <v>Unidad</v>
      </c>
      <c r="D815" s="25">
        <v>100</v>
      </c>
      <c r="E815" s="28">
        <v>258</v>
      </c>
      <c r="F815" s="27">
        <f t="shared" ca="1" si="29"/>
        <v>25800</v>
      </c>
    </row>
    <row r="816" spans="1:6" ht="14.25" customHeight="1" x14ac:dyDescent="0.25">
      <c r="A816" s="25" t="s">
        <v>208</v>
      </c>
      <c r="B816" s="26" t="str">
        <f ca="1">IFERROR(INDEX(UNSPSCDes,MATCH(INDIRECT(ADDRESS(ROW(),COLUMN()-1,4)),UNSPSCCode,0)),IF(INDIRECT(ADDRESS(ROW(),COLUMN()-1,4))="14111810","Formatos o libros de personal",""))</f>
        <v>Formatos o libros de personal</v>
      </c>
      <c r="C816" s="58" t="str">
        <f>IFERROR(VLOOKUP("UD",'Informacion '!P:Q,2,FALSE),"")</f>
        <v>Unidad</v>
      </c>
      <c r="D816" s="25">
        <v>100</v>
      </c>
      <c r="E816" s="28">
        <v>352</v>
      </c>
      <c r="F816" s="27">
        <f t="shared" ca="1" si="29"/>
        <v>35200</v>
      </c>
    </row>
    <row r="817" spans="1:6" ht="14.25" customHeight="1" x14ac:dyDescent="0.25">
      <c r="A817" s="25" t="s">
        <v>799</v>
      </c>
      <c r="B817" s="26" t="str">
        <f ca="1">IFERROR(INDEX(UNSPSCDes,MATCH(INDIRECT(ADDRESS(ROW(),COLUMN()-1,4)),UNSPSCCode,0)),IF(INDIRECT(ADDRESS(ROW(),COLUMN()-1,4))="44121716","Resaltadores",""))</f>
        <v>Resaltadores</v>
      </c>
      <c r="C817" s="58" t="str">
        <f>IFERROR(VLOOKUP("CAJ",'Informacion '!P:Q,2,FALSE),"")</f>
        <v>Caja</v>
      </c>
      <c r="D817" s="25">
        <v>100</v>
      </c>
      <c r="E817" s="28">
        <v>778.08</v>
      </c>
      <c r="F817" s="27">
        <f t="shared" ca="1" si="29"/>
        <v>77808</v>
      </c>
    </row>
    <row r="818" spans="1:6" ht="14.25" customHeight="1" x14ac:dyDescent="0.25">
      <c r="A818" s="25" t="s">
        <v>799</v>
      </c>
      <c r="B818" s="26" t="str">
        <f ca="1">IFERROR(INDEX(UNSPSCDes,MATCH(INDIRECT(ADDRESS(ROW(),COLUMN()-1,4)),UNSPSCCode,0)),IF(INDIRECT(ADDRESS(ROW(),COLUMN()-1,4))="44121716","Resaltadores",""))</f>
        <v>Resaltadores</v>
      </c>
      <c r="C818" s="58" t="str">
        <f>IFERROR(VLOOKUP("UD",'Informacion '!P:Q,2,FALSE),"")</f>
        <v>Unidad</v>
      </c>
      <c r="D818" s="25">
        <v>75</v>
      </c>
      <c r="E818" s="28">
        <v>67.260000000000005</v>
      </c>
      <c r="F818" s="27">
        <f t="shared" ca="1" si="29"/>
        <v>5044.5</v>
      </c>
    </row>
    <row r="819" spans="1:6" ht="14.25" customHeight="1" x14ac:dyDescent="0.25">
      <c r="A819" s="25" t="s">
        <v>799</v>
      </c>
      <c r="B819" s="26" t="str">
        <f ca="1">IFERROR(INDEX(UNSPSCDes,MATCH(INDIRECT(ADDRESS(ROW(),COLUMN()-1,4)),UNSPSCCode,0)),IF(INDIRECT(ADDRESS(ROW(),COLUMN()-1,4))="44121716","Resaltadores",""))</f>
        <v>Resaltadores</v>
      </c>
      <c r="C819" s="58" t="str">
        <f>IFERROR(VLOOKUP("UD",'Informacion '!P:Q,2,FALSE),"")</f>
        <v>Unidad</v>
      </c>
      <c r="D819" s="25">
        <v>75</v>
      </c>
      <c r="E819" s="28">
        <v>67.260000000000005</v>
      </c>
      <c r="F819" s="27">
        <f t="shared" ca="1" si="29"/>
        <v>5044.5</v>
      </c>
    </row>
    <row r="820" spans="1:6" ht="14.25" customHeight="1" x14ac:dyDescent="0.25">
      <c r="A820" s="25" t="s">
        <v>139</v>
      </c>
      <c r="B820" s="26" t="str">
        <f ca="1">IFERROR(INDEX(UNSPSCDes,MATCH(INDIRECT(ADDRESS(ROW(),COLUMN()-1,4)),UNSPSCCode,0)),IF(INDIRECT(ADDRESS(ROW(),COLUMN()-1,4))="44121708","Marcadores",""))</f>
        <v>Marcadores</v>
      </c>
      <c r="C820" s="58" t="str">
        <f>IFERROR(VLOOKUP("UD",'Informacion '!P:Q,2,FALSE),"")</f>
        <v>Unidad</v>
      </c>
      <c r="D820" s="25">
        <v>75</v>
      </c>
      <c r="E820" s="28">
        <v>67.260000000000005</v>
      </c>
      <c r="F820" s="27">
        <f t="shared" ca="1" si="29"/>
        <v>5044.5</v>
      </c>
    </row>
    <row r="821" spans="1:6" ht="14.25" customHeight="1" x14ac:dyDescent="0.25">
      <c r="A821" s="25" t="s">
        <v>139</v>
      </c>
      <c r="B821" s="26" t="str">
        <f ca="1">IFERROR(INDEX(UNSPSCDes,MATCH(INDIRECT(ADDRESS(ROW(),COLUMN()-1,4)),UNSPSCCode,0)),IF(INDIRECT(ADDRESS(ROW(),COLUMN()-1,4))="44121708","Marcadores",""))</f>
        <v>Marcadores</v>
      </c>
      <c r="C821" s="58" t="str">
        <f>IFERROR(VLOOKUP("UD",'Informacion '!P:Q,2,FALSE),"")</f>
        <v>Unidad</v>
      </c>
      <c r="D821" s="25">
        <v>75</v>
      </c>
      <c r="E821" s="28">
        <v>67.260000000000005</v>
      </c>
      <c r="F821" s="27">
        <f t="shared" ca="1" si="29"/>
        <v>5044.5</v>
      </c>
    </row>
    <row r="822" spans="1:6" ht="14.25" customHeight="1" x14ac:dyDescent="0.25">
      <c r="A822" s="25" t="s">
        <v>226</v>
      </c>
      <c r="B822" s="26" t="str">
        <f ca="1">IFERROR(INDEX(UNSPSCDes,MATCH(INDIRECT(ADDRESS(ROW(),COLUMN()-1,4)),UNSPSCCode,0)),IF(INDIRECT(ADDRESS(ROW(),COLUMN()-1,4))="44101602","Máquinas perforadoras o para unir papel",""))</f>
        <v>Máquinas perforadoras o para unir papel</v>
      </c>
      <c r="C822" s="58" t="str">
        <f>IFERROR(VLOOKUP("UD",'Informacion '!P:Q,2,FALSE),"")</f>
        <v>Unidad</v>
      </c>
      <c r="D822" s="25">
        <v>25</v>
      </c>
      <c r="E822" s="28">
        <v>359.9</v>
      </c>
      <c r="F822" s="27">
        <f t="shared" ref="F822:F839" ca="1" si="30">INDIRECT(ADDRESS(ROW(),COLUMN()-2,4))*INDIRECT(ADDRESS(ROW(),COLUMN()-1,4))</f>
        <v>8997.5</v>
      </c>
    </row>
    <row r="823" spans="1:6" ht="14.25" customHeight="1" x14ac:dyDescent="0.25">
      <c r="A823" s="25" t="s">
        <v>590</v>
      </c>
      <c r="B823" s="26" t="str">
        <f ca="1">IFERROR(INDEX(UNSPSCDes,MATCH(INDIRECT(ADDRESS(ROW(),COLUMN()-1,4)),UNSPSCCode,0)),IF(INDIRECT(ADDRESS(ROW(),COLUMN()-1,4))="44111911","Tableros blancos interactivos o accesorios",""))</f>
        <v>Tableros blancos interactivos o accesorios</v>
      </c>
      <c r="C823" s="58" t="str">
        <f>IFERROR(VLOOKUP("UD",'Informacion '!P:Q,2,FALSE),"")</f>
        <v>Unidad</v>
      </c>
      <c r="D823" s="25">
        <v>15</v>
      </c>
      <c r="E823" s="28">
        <v>2025</v>
      </c>
      <c r="F823" s="27">
        <f t="shared" ca="1" si="30"/>
        <v>30375</v>
      </c>
    </row>
    <row r="824" spans="1:6" ht="14.25" customHeight="1" x14ac:dyDescent="0.25">
      <c r="A824" s="25" t="s">
        <v>590</v>
      </c>
      <c r="B824" s="26" t="str">
        <f ca="1">IFERROR(INDEX(UNSPSCDes,MATCH(INDIRECT(ADDRESS(ROW(),COLUMN()-1,4)),UNSPSCCode,0)),IF(INDIRECT(ADDRESS(ROW(),COLUMN()-1,4))="44111911","Tableros blancos interactivos o accesorios",""))</f>
        <v>Tableros blancos interactivos o accesorios</v>
      </c>
      <c r="C824" s="58" t="str">
        <f>IFERROR(VLOOKUP("UD",'Informacion '!P:Q,2,FALSE),"")</f>
        <v>Unidad</v>
      </c>
      <c r="D824" s="25">
        <v>15</v>
      </c>
      <c r="E824" s="28">
        <v>887</v>
      </c>
      <c r="F824" s="27">
        <f t="shared" ca="1" si="30"/>
        <v>13305</v>
      </c>
    </row>
    <row r="825" spans="1:6" ht="14.25" customHeight="1" x14ac:dyDescent="0.25">
      <c r="A825" s="25" t="s">
        <v>580</v>
      </c>
      <c r="B825" s="26" t="str">
        <f ca="1">IFERROR(INDEX(UNSPSCDes,MATCH(INDIRECT(ADDRESS(ROW(),COLUMN()-1,4)),UNSPSCCode,0)),IF(INDIRECT(ADDRESS(ROW(),COLUMN()-1,4))="44121628","Contenedores o dispensadores de clips",""))</f>
        <v>Contenedores o dispensadores de clips</v>
      </c>
      <c r="C825" s="58" t="str">
        <f>IFERROR(VLOOKUP("UD",'Informacion '!P:Q,2,FALSE),"")</f>
        <v>Unidad</v>
      </c>
      <c r="D825" s="25">
        <v>100</v>
      </c>
      <c r="E825" s="28">
        <v>47.2</v>
      </c>
      <c r="F825" s="27">
        <f t="shared" ca="1" si="30"/>
        <v>4720</v>
      </c>
    </row>
    <row r="826" spans="1:6" ht="14.25" customHeight="1" x14ac:dyDescent="0.25">
      <c r="A826" s="25" t="s">
        <v>580</v>
      </c>
      <c r="B826" s="26" t="str">
        <f ca="1">IFERROR(INDEX(UNSPSCDes,MATCH(INDIRECT(ADDRESS(ROW(),COLUMN()-1,4)),UNSPSCCode,0)),IF(INDIRECT(ADDRESS(ROW(),COLUMN()-1,4))="44121628","Contenedores o dispensadores de clips",""))</f>
        <v>Contenedores o dispensadores de clips</v>
      </c>
      <c r="C826" s="58" t="str">
        <f>IFERROR(VLOOKUP("UD",'Informacion '!P:Q,2,FALSE),"")</f>
        <v>Unidad</v>
      </c>
      <c r="D826" s="25">
        <v>100</v>
      </c>
      <c r="E826" s="28">
        <v>42.17</v>
      </c>
      <c r="F826" s="27">
        <f t="shared" ca="1" si="30"/>
        <v>4217</v>
      </c>
    </row>
    <row r="827" spans="1:6" ht="14.25" customHeight="1" x14ac:dyDescent="0.25">
      <c r="A827" s="25" t="s">
        <v>580</v>
      </c>
      <c r="B827" s="26" t="str">
        <f ca="1">IFERROR(INDEX(UNSPSCDes,MATCH(INDIRECT(ADDRESS(ROW(),COLUMN()-1,4)),UNSPSCCode,0)),IF(INDIRECT(ADDRESS(ROW(),COLUMN()-1,4))="44121628","Contenedores o dispensadores de clips",""))</f>
        <v>Contenedores o dispensadores de clips</v>
      </c>
      <c r="C827" s="58" t="str">
        <f>IFERROR(VLOOKUP("UD",'Informacion '!P:Q,2,FALSE),"")</f>
        <v>Unidad</v>
      </c>
      <c r="D827" s="25">
        <v>100</v>
      </c>
      <c r="E827" s="28">
        <v>12.15</v>
      </c>
      <c r="F827" s="27">
        <f t="shared" ca="1" si="30"/>
        <v>1215</v>
      </c>
    </row>
    <row r="828" spans="1:6" ht="14.25" customHeight="1" x14ac:dyDescent="0.25">
      <c r="A828" s="25" t="s">
        <v>42</v>
      </c>
      <c r="B828" s="26" t="str">
        <f ca="1">IFERROR(INDEX(UNSPSCDes,MATCH(INDIRECT(ADDRESS(ROW(),COLUMN()-1,4)),UNSPSCCode,0)),IF(INDIRECT(ADDRESS(ROW(),COLUMN()-1,4))="44111509","Sujetadores de esferos o lápices",""))</f>
        <v>Sujetadores de esferos o lápices</v>
      </c>
      <c r="C828" s="58" t="str">
        <f>IFERROR(VLOOKUP("UD",'Informacion '!P:Q,2,FALSE),"")</f>
        <v>Unidad</v>
      </c>
      <c r="D828" s="25">
        <v>100</v>
      </c>
      <c r="E828" s="28">
        <v>147.5</v>
      </c>
      <c r="F828" s="27">
        <f t="shared" ca="1" si="30"/>
        <v>14750</v>
      </c>
    </row>
    <row r="829" spans="1:6" ht="14.25" customHeight="1" x14ac:dyDescent="0.25">
      <c r="A829" s="25" t="s">
        <v>105</v>
      </c>
      <c r="B829" s="26" t="str">
        <f ca="1">IFERROR(INDEX(UNSPSCDes,MATCH(INDIRECT(ADDRESS(ROW(),COLUMN()-1,4)),UNSPSCCode,0)),IF(INDIRECT(ADDRESS(ROW(),COLUMN()-1,4))="44122002","Protectores de hojas",""))</f>
        <v>Protectores de hojas</v>
      </c>
      <c r="C829" s="58" t="str">
        <f>IFERROR(VLOOKUP("PAQ",'Informacion '!P:Q,2,FALSE),"")</f>
        <v>Paquete</v>
      </c>
      <c r="D829" s="25">
        <v>200</v>
      </c>
      <c r="E829" s="28">
        <v>325.68</v>
      </c>
      <c r="F829" s="27">
        <f t="shared" ca="1" si="30"/>
        <v>65136</v>
      </c>
    </row>
    <row r="830" spans="1:6" ht="14.25" customHeight="1" x14ac:dyDescent="0.25">
      <c r="A830" s="25" t="s">
        <v>940</v>
      </c>
      <c r="B830" s="26" t="str">
        <f ca="1">IFERROR(INDEX(UNSPSCDes,MATCH(INDIRECT(ADDRESS(ROW(),COLUMN()-1,4)),UNSPSCCode,0)),IF(INDIRECT(ADDRESS(ROW(),COLUMN()-1,4))="41111604","Reglas",""))</f>
        <v>Reglas</v>
      </c>
      <c r="C830" s="58" t="str">
        <f>IFERROR(VLOOKUP("UD",'Informacion '!P:Q,2,FALSE),"")</f>
        <v>Unidad</v>
      </c>
      <c r="D830" s="25">
        <v>100</v>
      </c>
      <c r="E830" s="28">
        <v>17.7</v>
      </c>
      <c r="F830" s="27">
        <f t="shared" ca="1" si="30"/>
        <v>1770</v>
      </c>
    </row>
    <row r="831" spans="1:6" ht="14.25" customHeight="1" x14ac:dyDescent="0.25">
      <c r="A831" s="25" t="s">
        <v>489</v>
      </c>
      <c r="B831" s="26" t="str">
        <f ca="1">IFERROR(INDEX(UNSPSCDes,MATCH(INDIRECT(ADDRESS(ROW(),COLUMN()-1,4)),UNSPSCCode,0)),IF(INDIRECT(ADDRESS(ROW(),COLUMN()-1,4))="44121619","Tajalápices manuales.",""))</f>
        <v>Tajalápices manuales.</v>
      </c>
      <c r="C831" s="58" t="str">
        <f>IFERROR(VLOOKUP("UD",'Informacion '!P:Q,2,FALSE),"")</f>
        <v>Unidad</v>
      </c>
      <c r="D831" s="25">
        <v>25</v>
      </c>
      <c r="E831" s="28">
        <v>22.42</v>
      </c>
      <c r="F831" s="27">
        <f t="shared" ca="1" si="30"/>
        <v>560.5</v>
      </c>
    </row>
    <row r="832" spans="1:6" ht="14.25" customHeight="1" x14ac:dyDescent="0.25">
      <c r="A832" s="25" t="s">
        <v>1035</v>
      </c>
      <c r="B832" s="26" t="str">
        <f ca="1">IFERROR(INDEX(UNSPSCDes,MATCH(INDIRECT(ADDRESS(ROW(),COLUMN()-1,4)),UNSPSCCode,0)),IF(INDIRECT(ADDRESS(ROW(),COLUMN()-1,4))="44121506","Sobres estándar",""))</f>
        <v>Sobres estándar</v>
      </c>
      <c r="C832" s="58" t="str">
        <f>IFERROR(VLOOKUP("CAJ",'Informacion '!P:Q,2,FALSE),"")</f>
        <v>Caja</v>
      </c>
      <c r="D832" s="25">
        <v>5</v>
      </c>
      <c r="E832" s="28">
        <v>2253.8000000000002</v>
      </c>
      <c r="F832" s="27">
        <f t="shared" ca="1" si="30"/>
        <v>11269</v>
      </c>
    </row>
    <row r="833" spans="1:10" ht="14.25" customHeight="1" x14ac:dyDescent="0.25">
      <c r="A833" s="25" t="s">
        <v>364</v>
      </c>
      <c r="B833" s="26" t="str">
        <f ca="1">IFERROR(INDEX(UNSPSCDes,MATCH(INDIRECT(ADDRESS(ROW(),COLUMN()-1,4)),UNSPSCCode,0)),IF(INDIRECT(ADDRESS(ROW(),COLUMN()-1,4))="60121152","Tablillas de escritura",""))</f>
        <v>Tablillas de escritura</v>
      </c>
      <c r="C833" s="58" t="str">
        <f>IFERROR(VLOOKUP("UD",'Informacion '!P:Q,2,FALSE),"")</f>
        <v>Unidad</v>
      </c>
      <c r="D833" s="25">
        <v>100</v>
      </c>
      <c r="E833" s="28">
        <v>129.80000000000001</v>
      </c>
      <c r="F833" s="27">
        <f t="shared" ca="1" si="30"/>
        <v>12980.000000000002</v>
      </c>
    </row>
    <row r="834" spans="1:10" ht="14.25" customHeight="1" x14ac:dyDescent="0.25">
      <c r="A834" s="25" t="s">
        <v>969</v>
      </c>
      <c r="B834" s="26" t="str">
        <f ca="1">IFERROR(INDEX(UNSPSCDes,MATCH(INDIRECT(ADDRESS(ROW(),COLUMN()-1,4)),UNSPSCCode,0)),IF(INDIRECT(ADDRESS(ROW(),COLUMN()-1,4))="12171703","Tintas",""))</f>
        <v>Tintas</v>
      </c>
      <c r="C834" s="58" t="str">
        <f>IFERROR(VLOOKUP("UD",'Informacion '!P:Q,2,FALSE),"")</f>
        <v>Unidad</v>
      </c>
      <c r="D834" s="25">
        <v>300</v>
      </c>
      <c r="E834" s="28">
        <v>62.25</v>
      </c>
      <c r="F834" s="27">
        <f t="shared" ca="1" si="30"/>
        <v>18675</v>
      </c>
    </row>
    <row r="835" spans="1:10" ht="14.25" customHeight="1" x14ac:dyDescent="0.25">
      <c r="A835" s="25" t="s">
        <v>581</v>
      </c>
      <c r="B835" s="26" t="str">
        <f ca="1">IFERROR(INDEX(UNSPSCDes,MATCH(INDIRECT(ADDRESS(ROW(),COLUMN()-1,4)),UNSPSCCode,0)),IF(INDIRECT(ADDRESS(ROW(),COLUMN()-1,4))="44121618","Tijeras",""))</f>
        <v>Tijeras</v>
      </c>
      <c r="C835" s="58" t="str">
        <f>IFERROR(VLOOKUP("UD",'Informacion '!P:Q,2,FALSE),"")</f>
        <v>Unidad</v>
      </c>
      <c r="D835" s="25">
        <v>100</v>
      </c>
      <c r="E835" s="28">
        <v>61.36</v>
      </c>
      <c r="F835" s="27">
        <f t="shared" ca="1" si="30"/>
        <v>6136</v>
      </c>
    </row>
    <row r="836" spans="1:10" ht="14.25" customHeight="1" x14ac:dyDescent="0.25">
      <c r="A836" s="25" t="s">
        <v>1041</v>
      </c>
      <c r="B836" s="26" t="str">
        <f ca="1">IFERROR(INDEX(UNSPSCDes,MATCH(INDIRECT(ADDRESS(ROW(),COLUMN()-1,4)),UNSPSCCode,0)),IF(INDIRECT(ADDRESS(ROW(),COLUMN()-1,4))="11111606","Pizarra",""))</f>
        <v>Pizarra</v>
      </c>
      <c r="C836" s="58" t="str">
        <f>IFERROR(VLOOKUP("UD",'Informacion '!P:Q,2,FALSE),"")</f>
        <v>Unidad</v>
      </c>
      <c r="D836" s="25">
        <v>30</v>
      </c>
      <c r="E836" s="28">
        <v>800</v>
      </c>
      <c r="F836" s="27">
        <f t="shared" ca="1" si="30"/>
        <v>24000</v>
      </c>
    </row>
    <row r="837" spans="1:10" ht="14.25" customHeight="1" x14ac:dyDescent="0.25">
      <c r="A837" s="25" t="s">
        <v>1041</v>
      </c>
      <c r="B837" s="26" t="str">
        <f ca="1">IFERROR(INDEX(UNSPSCDes,MATCH(INDIRECT(ADDRESS(ROW(),COLUMN()-1,4)),UNSPSCCode,0)),IF(INDIRECT(ADDRESS(ROW(),COLUMN()-1,4))="11111606","Pizarra",""))</f>
        <v>Pizarra</v>
      </c>
      <c r="C837" s="58" t="str">
        <f>IFERROR(VLOOKUP("UD",'Informacion '!P:Q,2,FALSE),"")</f>
        <v>Unidad</v>
      </c>
      <c r="D837" s="25">
        <v>30</v>
      </c>
      <c r="E837" s="28">
        <v>2750</v>
      </c>
      <c r="F837" s="27">
        <f t="shared" ca="1" si="30"/>
        <v>82500</v>
      </c>
    </row>
    <row r="838" spans="1:10" ht="14.25" customHeight="1" x14ac:dyDescent="0.25">
      <c r="A838" s="25" t="s">
        <v>202</v>
      </c>
      <c r="B838" s="26" t="str">
        <f ca="1">IFERROR(INDEX(UNSPSCDes,MATCH(INDIRECT(ADDRESS(ROW(),COLUMN()-1,4)),UNSPSCCode,0)),IF(INDIRECT(ADDRESS(ROW(),COLUMN()-1,4))="44111503","Organizadores o bandejas para el escritorio",""))</f>
        <v>Organizadores o bandejas para el escritorio</v>
      </c>
      <c r="C838" s="58" t="str">
        <f>IFERROR(VLOOKUP("UD",'Informacion '!P:Q,2,FALSE),"")</f>
        <v>Unidad</v>
      </c>
      <c r="D838" s="25">
        <v>100</v>
      </c>
      <c r="E838" s="28">
        <v>208.86</v>
      </c>
      <c r="F838" s="27">
        <f t="shared" ca="1" si="30"/>
        <v>20886</v>
      </c>
    </row>
    <row r="839" spans="1:10" ht="14.25" customHeight="1" x14ac:dyDescent="0.25">
      <c r="A839" s="25" t="s">
        <v>417</v>
      </c>
      <c r="B839" s="26" t="str">
        <f ca="1">IFERROR(INDEX(UNSPSCDes,MATCH(INDIRECT(ADDRESS(ROW(),COLUMN()-1,4)),UNSPSCCode,0)),IF(INDIRECT(ADDRESS(ROW(),COLUMN()-1,4))="44122101","Cauchos",""))</f>
        <v>Cauchos</v>
      </c>
      <c r="C839" s="58" t="str">
        <f>IFERROR(VLOOKUP("CAJ",'Informacion '!P:Q,2,FALSE),"")</f>
        <v>Caja</v>
      </c>
      <c r="D839" s="25">
        <v>50</v>
      </c>
      <c r="E839" s="28">
        <v>34.22</v>
      </c>
      <c r="F839" s="27">
        <f t="shared" ca="1" si="30"/>
        <v>1711</v>
      </c>
    </row>
    <row r="840" spans="1:10" ht="14.25" customHeight="1" x14ac:dyDescent="0.25">
      <c r="E840" s="30" t="s">
        <v>816</v>
      </c>
      <c r="F840" s="31">
        <f ca="1">SUM(Table32[MONTO TOTAL ESTIMADO])</f>
        <v>1390612.75</v>
      </c>
      <c r="H840" s="21" t="str">
        <f>C783</f>
        <v>Bienes</v>
      </c>
      <c r="I840" s="21" t="str">
        <f>E783</f>
        <v>Sí</v>
      </c>
      <c r="J840" s="21" t="str">
        <f>D783</f>
        <v>Compras Menores</v>
      </c>
    </row>
    <row r="842" spans="1:10" ht="33.950000000000003" customHeight="1" x14ac:dyDescent="0.25">
      <c r="A842" s="22" t="s">
        <v>1051</v>
      </c>
      <c r="B842" s="22" t="s">
        <v>11</v>
      </c>
      <c r="C842" s="22" t="s">
        <v>751</v>
      </c>
      <c r="D842" s="22" t="s">
        <v>930</v>
      </c>
      <c r="E842" s="22" t="s">
        <v>699</v>
      </c>
      <c r="F842" s="22" t="s">
        <v>710</v>
      </c>
    </row>
    <row r="843" spans="1:10" ht="14.25" customHeight="1" x14ac:dyDescent="0.25">
      <c r="A843" s="23" t="s">
        <v>1222</v>
      </c>
      <c r="B843" s="23" t="s">
        <v>1222</v>
      </c>
      <c r="C843" s="23" t="s">
        <v>1155</v>
      </c>
      <c r="D843" s="23" t="s">
        <v>1128</v>
      </c>
      <c r="E843" s="23" t="s">
        <v>561</v>
      </c>
      <c r="F843" s="23" t="s">
        <v>436</v>
      </c>
    </row>
    <row r="844" spans="1:10" ht="14.25" customHeight="1" x14ac:dyDescent="0.25">
      <c r="A844" s="68" t="s">
        <v>965</v>
      </c>
      <c r="B844" s="24" t="s">
        <v>543</v>
      </c>
      <c r="C844" s="54">
        <v>46162</v>
      </c>
      <c r="D844" s="68" t="s">
        <v>598</v>
      </c>
      <c r="E844" s="56" t="s">
        <v>858</v>
      </c>
      <c r="F844" s="57" t="s">
        <v>184</v>
      </c>
    </row>
    <row r="845" spans="1:10" ht="14.25" customHeight="1" x14ac:dyDescent="0.25">
      <c r="A845" s="69"/>
      <c r="B845" s="24" t="s">
        <v>112</v>
      </c>
      <c r="C845" s="55">
        <f>IF(C844="","",IF(AND(MONTH(C844)&gt;=1,MONTH(C844)&lt;=3),1,IF(AND(MONTH(C844)&gt;=4,MONTH(C844)&lt;=6),2,IF(AND(MONTH(C844)&gt;=7,MONTH(C844)&lt;=9),3,4))))</f>
        <v>2</v>
      </c>
      <c r="D845" s="69"/>
      <c r="E845" s="56" t="s">
        <v>143</v>
      </c>
      <c r="F845" s="57"/>
    </row>
    <row r="846" spans="1:10" ht="14.25" customHeight="1" x14ac:dyDescent="0.25">
      <c r="A846" s="69"/>
      <c r="B846" s="24" t="s">
        <v>844</v>
      </c>
      <c r="C846" s="54">
        <v>46233</v>
      </c>
      <c r="D846" s="69"/>
      <c r="E846" s="56" t="s">
        <v>183</v>
      </c>
      <c r="F846" s="57"/>
    </row>
    <row r="847" spans="1:10" ht="14.25" customHeight="1" x14ac:dyDescent="0.25">
      <c r="A847" s="69"/>
      <c r="B847" s="24" t="s">
        <v>112</v>
      </c>
      <c r="C847" s="55">
        <f>IF(C846="","",IF(AND(MONTH(C846)&gt;=1,MONTH(C846)&lt;=3),1,IF(AND(MONTH(C846)&gt;=4,MONTH(C846)&lt;=6),2,IF(AND(MONTH(C846)&gt;=7,MONTH(C846)&lt;=9),3,4))))</f>
        <v>3</v>
      </c>
      <c r="D847" s="69"/>
      <c r="E847" s="56" t="s">
        <v>865</v>
      </c>
      <c r="F847" s="57"/>
    </row>
    <row r="849" spans="1:10" ht="14.25" customHeight="1" x14ac:dyDescent="0.25">
      <c r="A849" s="29" t="s">
        <v>1017</v>
      </c>
      <c r="B849" s="29" t="s">
        <v>1042</v>
      </c>
      <c r="C849" s="29" t="s">
        <v>1011</v>
      </c>
      <c r="D849" s="29" t="s">
        <v>985</v>
      </c>
      <c r="E849" s="29" t="s">
        <v>449</v>
      </c>
      <c r="F849" s="29" t="s">
        <v>989</v>
      </c>
    </row>
    <row r="850" spans="1:10" ht="14.25" customHeight="1" x14ac:dyDescent="0.25">
      <c r="A850" s="25" t="s">
        <v>304</v>
      </c>
      <c r="B850" s="26" t="str">
        <f ca="1">IFERROR(INDEX(UNSPSCDes,MATCH(INDIRECT(ADDRESS(ROW(),COLUMN()-1,4)),UNSPSCCode,0)),IF(INDIRECT(ADDRESS(ROW(),COLUMN()-1,4))="14111704","Papel higiénico",""))</f>
        <v>Papel higiénico</v>
      </c>
      <c r="C850" s="58" t="str">
        <f>IFERROR(VLOOKUP("PAQ",'Informacion '!P:Q,2,FALSE),"")</f>
        <v>Paquete</v>
      </c>
      <c r="D850" s="25">
        <v>400</v>
      </c>
      <c r="E850" s="28">
        <v>1600</v>
      </c>
      <c r="F850" s="27">
        <f t="shared" ref="F850:F855" ca="1" si="31">INDIRECT(ADDRESS(ROW(),COLUMN()-2,4))*INDIRECT(ADDRESS(ROW(),COLUMN()-1,4))</f>
        <v>640000</v>
      </c>
    </row>
    <row r="851" spans="1:10" ht="14.25" customHeight="1" x14ac:dyDescent="0.25">
      <c r="A851" s="25" t="s">
        <v>304</v>
      </c>
      <c r="B851" s="26" t="str">
        <f ca="1">IFERROR(INDEX(UNSPSCDes,MATCH(INDIRECT(ADDRESS(ROW(),COLUMN()-1,4)),UNSPSCCode,0)),IF(INDIRECT(ADDRESS(ROW(),COLUMN()-1,4))="14111704","Papel higiénico",""))</f>
        <v>Papel higiénico</v>
      </c>
      <c r="C851" s="58" t="str">
        <f>IFERROR(VLOOKUP("PAQ",'Informacion '!P:Q,2,FALSE),"")</f>
        <v>Paquete</v>
      </c>
      <c r="D851" s="25">
        <v>200</v>
      </c>
      <c r="E851" s="28">
        <v>850</v>
      </c>
      <c r="F851" s="27">
        <f t="shared" ca="1" si="31"/>
        <v>170000</v>
      </c>
    </row>
    <row r="852" spans="1:10" ht="14.25" customHeight="1" x14ac:dyDescent="0.25">
      <c r="A852" s="25" t="s">
        <v>520</v>
      </c>
      <c r="B852" s="26" t="str">
        <f ca="1">IFERROR(INDEX(UNSPSCDes,MATCH(INDIRECT(ADDRESS(ROW(),COLUMN()-1,4)),UNSPSCCode,0)),IF(INDIRECT(ADDRESS(ROW(),COLUMN()-1,4))="14111703","Toallas de papel",""))</f>
        <v>Toallas de papel</v>
      </c>
      <c r="C852" s="58" t="str">
        <f>IFERROR(VLOOKUP("PAQ",'Informacion '!P:Q,2,FALSE),"")</f>
        <v>Paquete</v>
      </c>
      <c r="D852" s="25">
        <v>150</v>
      </c>
      <c r="E852" s="28">
        <v>950</v>
      </c>
      <c r="F852" s="27">
        <f t="shared" ca="1" si="31"/>
        <v>142500</v>
      </c>
    </row>
    <row r="853" spans="1:10" ht="14.25" customHeight="1" x14ac:dyDescent="0.25">
      <c r="A853" s="25" t="s">
        <v>520</v>
      </c>
      <c r="B853" s="26" t="str">
        <f ca="1">IFERROR(INDEX(UNSPSCDes,MATCH(INDIRECT(ADDRESS(ROW(),COLUMN()-1,4)),UNSPSCCode,0)),IF(INDIRECT(ADDRESS(ROW(),COLUMN()-1,4))="14111703","Toallas de papel",""))</f>
        <v>Toallas de papel</v>
      </c>
      <c r="C853" s="58" t="str">
        <f>IFERROR(VLOOKUP("PAQ",'Informacion '!P:Q,2,FALSE),"")</f>
        <v>Paquete</v>
      </c>
      <c r="D853" s="25">
        <v>100</v>
      </c>
      <c r="E853" s="28">
        <v>3300</v>
      </c>
      <c r="F853" s="27">
        <f t="shared" ca="1" si="31"/>
        <v>330000</v>
      </c>
    </row>
    <row r="854" spans="1:10" ht="14.25" customHeight="1" x14ac:dyDescent="0.25">
      <c r="A854" s="25" t="s">
        <v>191</v>
      </c>
      <c r="B854" s="26" t="str">
        <f ca="1">IFERROR(INDEX(UNSPSCDes,MATCH(INDIRECT(ADDRESS(ROW(),COLUMN()-1,4)),UNSPSCCode,0)),IF(INDIRECT(ADDRESS(ROW(),COLUMN()-1,4))="14111705","Servilletas de papel",""))</f>
        <v>Servilletas de papel</v>
      </c>
      <c r="C854" s="58" t="str">
        <f>IFERROR(VLOOKUP("PAQ",'Informacion '!P:Q,2,FALSE),"")</f>
        <v>Paquete</v>
      </c>
      <c r="D854" s="25">
        <v>500</v>
      </c>
      <c r="E854" s="28">
        <v>160</v>
      </c>
      <c r="F854" s="27">
        <f t="shared" ca="1" si="31"/>
        <v>80000</v>
      </c>
    </row>
    <row r="855" spans="1:10" ht="14.25" customHeight="1" x14ac:dyDescent="0.25">
      <c r="A855" s="25" t="s">
        <v>191</v>
      </c>
      <c r="B855" s="26" t="str">
        <f ca="1">IFERROR(INDEX(UNSPSCDes,MATCH(INDIRECT(ADDRESS(ROW(),COLUMN()-1,4)),UNSPSCCode,0)),IF(INDIRECT(ADDRESS(ROW(),COLUMN()-1,4))="14111705","Servilletas de papel",""))</f>
        <v>Servilletas de papel</v>
      </c>
      <c r="C855" s="58" t="str">
        <f>IFERROR(VLOOKUP("PAQ",'Informacion '!P:Q,2,FALSE),"")</f>
        <v>Paquete</v>
      </c>
      <c r="D855" s="25">
        <v>250</v>
      </c>
      <c r="E855" s="28">
        <v>95</v>
      </c>
      <c r="F855" s="27">
        <f t="shared" ca="1" si="31"/>
        <v>23750</v>
      </c>
    </row>
    <row r="856" spans="1:10" ht="14.25" customHeight="1" x14ac:dyDescent="0.25">
      <c r="E856" s="30" t="s">
        <v>816</v>
      </c>
      <c r="F856" s="31">
        <f ca="1">SUM(Table33[MONTO TOTAL ESTIMADO])</f>
        <v>1386250</v>
      </c>
      <c r="H856" s="21" t="str">
        <f>C843</f>
        <v>Bienes</v>
      </c>
      <c r="I856" s="21" t="str">
        <f>E843</f>
        <v>Sí</v>
      </c>
      <c r="J856" s="21" t="str">
        <f>D843</f>
        <v>Compras Menores</v>
      </c>
    </row>
    <row r="858" spans="1:10" ht="33.950000000000003" customHeight="1" x14ac:dyDescent="0.25">
      <c r="A858" s="22" t="s">
        <v>1051</v>
      </c>
      <c r="B858" s="22" t="s">
        <v>11</v>
      </c>
      <c r="C858" s="22" t="s">
        <v>751</v>
      </c>
      <c r="D858" s="22" t="s">
        <v>930</v>
      </c>
      <c r="E858" s="22" t="s">
        <v>699</v>
      </c>
      <c r="F858" s="22" t="s">
        <v>710</v>
      </c>
    </row>
    <row r="859" spans="1:10" ht="14.25" customHeight="1" x14ac:dyDescent="0.25">
      <c r="A859" s="23" t="s">
        <v>351</v>
      </c>
      <c r="B859" s="23" t="s">
        <v>351</v>
      </c>
      <c r="C859" s="23" t="s">
        <v>438</v>
      </c>
      <c r="D859" s="23" t="s">
        <v>1128</v>
      </c>
      <c r="E859" s="23" t="s">
        <v>1156</v>
      </c>
      <c r="F859" s="23" t="s">
        <v>436</v>
      </c>
    </row>
    <row r="860" spans="1:10" ht="14.25" customHeight="1" x14ac:dyDescent="0.25">
      <c r="A860" s="68" t="s">
        <v>965</v>
      </c>
      <c r="B860" s="24" t="s">
        <v>543</v>
      </c>
      <c r="C860" s="54">
        <v>46236</v>
      </c>
      <c r="D860" s="68" t="s">
        <v>598</v>
      </c>
      <c r="E860" s="56" t="s">
        <v>858</v>
      </c>
      <c r="F860" s="57" t="s">
        <v>184</v>
      </c>
    </row>
    <row r="861" spans="1:10" ht="14.25" customHeight="1" x14ac:dyDescent="0.25">
      <c r="A861" s="69"/>
      <c r="B861" s="24" t="s">
        <v>112</v>
      </c>
      <c r="C861" s="55">
        <f>IF(C860="","",IF(AND(MONTH(C860)&gt;=1,MONTH(C860)&lt;=3),1,IF(AND(MONTH(C860)&gt;=4,MONTH(C860)&lt;=6),2,IF(AND(MONTH(C860)&gt;=7,MONTH(C860)&lt;=9),3,4))))</f>
        <v>3</v>
      </c>
      <c r="D861" s="69"/>
      <c r="E861" s="56" t="s">
        <v>143</v>
      </c>
      <c r="F861" s="57"/>
    </row>
    <row r="862" spans="1:10" ht="14.25" customHeight="1" x14ac:dyDescent="0.25">
      <c r="A862" s="69"/>
      <c r="B862" s="24" t="s">
        <v>844</v>
      </c>
      <c r="C862" s="54">
        <v>46295</v>
      </c>
      <c r="D862" s="69"/>
      <c r="E862" s="56" t="s">
        <v>183</v>
      </c>
      <c r="F862" s="57"/>
    </row>
    <row r="863" spans="1:10" ht="14.25" customHeight="1" x14ac:dyDescent="0.25">
      <c r="A863" s="69"/>
      <c r="B863" s="24" t="s">
        <v>112</v>
      </c>
      <c r="C863" s="55">
        <f>IF(C862="","",IF(AND(MONTH(C862)&gt;=1,MONTH(C862)&lt;=3),1,IF(AND(MONTH(C862)&gt;=4,MONTH(C862)&lt;=6),2,IF(AND(MONTH(C862)&gt;=7,MONTH(C862)&lt;=9),3,4))))</f>
        <v>3</v>
      </c>
      <c r="D863" s="69"/>
      <c r="E863" s="56" t="s">
        <v>865</v>
      </c>
      <c r="F863" s="57"/>
    </row>
    <row r="865" spans="1:10" ht="14.25" customHeight="1" x14ac:dyDescent="0.25">
      <c r="A865" s="29" t="s">
        <v>1017</v>
      </c>
      <c r="B865" s="29" t="s">
        <v>1042</v>
      </c>
      <c r="C865" s="29" t="s">
        <v>1011</v>
      </c>
      <c r="D865" s="29" t="s">
        <v>985</v>
      </c>
      <c r="E865" s="29" t="s">
        <v>449</v>
      </c>
      <c r="F865" s="29" t="s">
        <v>989</v>
      </c>
    </row>
    <row r="866" spans="1:10" ht="14.25" customHeight="1" x14ac:dyDescent="0.25">
      <c r="A866" s="25" t="s">
        <v>87</v>
      </c>
      <c r="B866" s="26" t="str">
        <f ca="1">IFERROR(INDEX(UNSPSCDes,MATCH(INDIRECT(ADDRESS(ROW(),COLUMN()-1,4)),UNSPSCCode,0)),IF(INDIRECT(ADDRESS(ROW(),COLUMN()-1,4))="91111502","Servicios de lavandería",""))</f>
        <v>Servicios de lavandería</v>
      </c>
      <c r="C866" s="58" t="str">
        <f>IFERROR(VLOOKUP("UD",'Informacion '!P:Q,2,FALSE),"")</f>
        <v>Unidad</v>
      </c>
      <c r="D866" s="25">
        <v>1</v>
      </c>
      <c r="E866" s="28">
        <v>479000</v>
      </c>
      <c r="F866" s="27">
        <f ca="1">INDIRECT(ADDRESS(ROW(),COLUMN()-2,4))*INDIRECT(ADDRESS(ROW(),COLUMN()-1,4))</f>
        <v>479000</v>
      </c>
    </row>
    <row r="867" spans="1:10" ht="14.25" customHeight="1" x14ac:dyDescent="0.25">
      <c r="E867" s="30" t="s">
        <v>816</v>
      </c>
      <c r="F867" s="31">
        <f ca="1">SUM(Table34[MONTO TOTAL ESTIMADO])</f>
        <v>479000</v>
      </c>
      <c r="H867" s="21" t="str">
        <f>C859</f>
        <v>Servicios</v>
      </c>
      <c r="I867" s="21" t="str">
        <f>E859</f>
        <v>No</v>
      </c>
      <c r="J867" s="21" t="str">
        <f>D859</f>
        <v>Compras Menores</v>
      </c>
    </row>
    <row r="869" spans="1:10" ht="33.950000000000003" customHeight="1" x14ac:dyDescent="0.25">
      <c r="A869" s="22" t="s">
        <v>1051</v>
      </c>
      <c r="B869" s="22" t="s">
        <v>11</v>
      </c>
      <c r="C869" s="22" t="s">
        <v>751</v>
      </c>
      <c r="D869" s="22" t="s">
        <v>930</v>
      </c>
      <c r="E869" s="22" t="s">
        <v>699</v>
      </c>
      <c r="F869" s="22" t="s">
        <v>710</v>
      </c>
    </row>
    <row r="870" spans="1:10" ht="14.25" customHeight="1" x14ac:dyDescent="0.25">
      <c r="A870" s="23" t="s">
        <v>271</v>
      </c>
      <c r="B870" s="23" t="s">
        <v>271</v>
      </c>
      <c r="C870" s="23" t="s">
        <v>438</v>
      </c>
      <c r="D870" s="23" t="s">
        <v>1128</v>
      </c>
      <c r="E870" s="23" t="s">
        <v>385</v>
      </c>
      <c r="F870" s="23" t="s">
        <v>436</v>
      </c>
    </row>
    <row r="871" spans="1:10" ht="14.25" customHeight="1" x14ac:dyDescent="0.25">
      <c r="A871" s="68" t="s">
        <v>965</v>
      </c>
      <c r="B871" s="24" t="s">
        <v>543</v>
      </c>
      <c r="C871" s="54">
        <v>46114</v>
      </c>
      <c r="D871" s="68" t="s">
        <v>598</v>
      </c>
      <c r="E871" s="56" t="s">
        <v>858</v>
      </c>
      <c r="F871" s="57" t="s">
        <v>184</v>
      </c>
    </row>
    <row r="872" spans="1:10" ht="14.25" customHeight="1" x14ac:dyDescent="0.25">
      <c r="A872" s="69"/>
      <c r="B872" s="24" t="s">
        <v>112</v>
      </c>
      <c r="C872" s="55">
        <f>IF(C871="","",IF(AND(MONTH(C871)&gt;=1,MONTH(C871)&lt;=3),1,IF(AND(MONTH(C871)&gt;=4,MONTH(C871)&lt;=6),2,IF(AND(MONTH(C871)&gt;=7,MONTH(C871)&lt;=9),3,4))))</f>
        <v>2</v>
      </c>
      <c r="D872" s="69"/>
      <c r="E872" s="56" t="s">
        <v>143</v>
      </c>
      <c r="F872" s="57"/>
    </row>
    <row r="873" spans="1:10" ht="14.25" customHeight="1" x14ac:dyDescent="0.25">
      <c r="A873" s="69"/>
      <c r="B873" s="24" t="s">
        <v>844</v>
      </c>
      <c r="C873" s="54">
        <v>46203</v>
      </c>
      <c r="D873" s="69"/>
      <c r="E873" s="56" t="s">
        <v>183</v>
      </c>
      <c r="F873" s="57"/>
    </row>
    <row r="874" spans="1:10" ht="14.25" customHeight="1" x14ac:dyDescent="0.25">
      <c r="A874" s="69"/>
      <c r="B874" s="24" t="s">
        <v>112</v>
      </c>
      <c r="C874" s="55">
        <f>IF(C873="","",IF(AND(MONTH(C873)&gt;=1,MONTH(C873)&lt;=3),1,IF(AND(MONTH(C873)&gt;=4,MONTH(C873)&lt;=6),2,IF(AND(MONTH(C873)&gt;=7,MONTH(C873)&lt;=9),3,4))))</f>
        <v>2</v>
      </c>
      <c r="D874" s="69"/>
      <c r="E874" s="56" t="s">
        <v>865</v>
      </c>
      <c r="F874" s="57"/>
    </row>
    <row r="876" spans="1:10" ht="14.25" customHeight="1" x14ac:dyDescent="0.25">
      <c r="A876" s="29" t="s">
        <v>1017</v>
      </c>
      <c r="B876" s="29" t="s">
        <v>1042</v>
      </c>
      <c r="C876" s="29" t="s">
        <v>1011</v>
      </c>
      <c r="D876" s="29" t="s">
        <v>985</v>
      </c>
      <c r="E876" s="29" t="s">
        <v>449</v>
      </c>
      <c r="F876" s="29" t="s">
        <v>989</v>
      </c>
    </row>
    <row r="877" spans="1:10" ht="14.25" customHeight="1" x14ac:dyDescent="0.25">
      <c r="A877" s="25" t="s">
        <v>938</v>
      </c>
      <c r="B877" s="26" t="str">
        <f ca="1">IFERROR(INDEX(UNSPSCDes,MATCH(INDIRECT(ADDRESS(ROW(),COLUMN()-1,4)),UNSPSCCode,0)),IF(INDIRECT(ADDRESS(ROW(),COLUMN()-1,4))="52151504","Tazas o vasos o tapas desechables para uso doméstico",""))</f>
        <v>Tazas o vasos o tapas desechables para uso doméstico</v>
      </c>
      <c r="C877" s="58" t="str">
        <f>IFERROR(VLOOKUP("PAQ",'Informacion '!P:Q,2,FALSE),"")</f>
        <v>Paquete</v>
      </c>
      <c r="D877" s="25">
        <v>2000</v>
      </c>
      <c r="E877" s="28">
        <v>300</v>
      </c>
      <c r="F877" s="27">
        <f ca="1">INDIRECT(ADDRESS(ROW(),COLUMN()-2,4))*INDIRECT(ADDRESS(ROW(),COLUMN()-1,4))</f>
        <v>600000</v>
      </c>
    </row>
    <row r="878" spans="1:10" ht="14.25" customHeight="1" x14ac:dyDescent="0.25">
      <c r="A878" s="25" t="s">
        <v>938</v>
      </c>
      <c r="B878" s="26" t="str">
        <f ca="1">IFERROR(INDEX(UNSPSCDes,MATCH(INDIRECT(ADDRESS(ROW(),COLUMN()-1,4)),UNSPSCCode,0)),IF(INDIRECT(ADDRESS(ROW(),COLUMN()-1,4))="52151504","Tazas o vasos o tapas desechables para uso doméstico",""))</f>
        <v>Tazas o vasos o tapas desechables para uso doméstico</v>
      </c>
      <c r="C878" s="58" t="str">
        <f>IFERROR(VLOOKUP("PAQ",'Informacion '!P:Q,2,FALSE),"")</f>
        <v>Paquete</v>
      </c>
      <c r="D878" s="25">
        <v>2000</v>
      </c>
      <c r="E878" s="28">
        <v>300</v>
      </c>
      <c r="F878" s="27">
        <f ca="1">INDIRECT(ADDRESS(ROW(),COLUMN()-2,4))*INDIRECT(ADDRESS(ROW(),COLUMN()-1,4))</f>
        <v>600000</v>
      </c>
    </row>
    <row r="879" spans="1:10" ht="14.25" customHeight="1" x14ac:dyDescent="0.25">
      <c r="E879" s="30" t="s">
        <v>816</v>
      </c>
      <c r="F879" s="31">
        <f ca="1">SUM(Table35[MONTO TOTAL ESTIMADO])</f>
        <v>1200000</v>
      </c>
      <c r="H879" s="21" t="str">
        <f>C870</f>
        <v>Servicios</v>
      </c>
      <c r="I879" s="21" t="str">
        <f>E870</f>
        <v>MIPYME Mujeres</v>
      </c>
      <c r="J879" s="21" t="str">
        <f>D870</f>
        <v>Compras Menores</v>
      </c>
    </row>
    <row r="881" spans="1:10" ht="33.950000000000003" customHeight="1" x14ac:dyDescent="0.25">
      <c r="A881" s="22" t="s">
        <v>1051</v>
      </c>
      <c r="B881" s="22" t="s">
        <v>11</v>
      </c>
      <c r="C881" s="22" t="s">
        <v>751</v>
      </c>
      <c r="D881" s="22" t="s">
        <v>930</v>
      </c>
      <c r="E881" s="22" t="s">
        <v>699</v>
      </c>
      <c r="F881" s="22" t="s">
        <v>710</v>
      </c>
    </row>
    <row r="882" spans="1:10" ht="14.25" customHeight="1" x14ac:dyDescent="0.25">
      <c r="A882" s="23" t="s">
        <v>271</v>
      </c>
      <c r="B882" s="23" t="s">
        <v>271</v>
      </c>
      <c r="C882" s="23" t="s">
        <v>438</v>
      </c>
      <c r="D882" s="23" t="s">
        <v>1128</v>
      </c>
      <c r="E882" s="23" t="s">
        <v>385</v>
      </c>
      <c r="F882" s="23" t="s">
        <v>436</v>
      </c>
    </row>
    <row r="883" spans="1:10" ht="14.25" customHeight="1" x14ac:dyDescent="0.25">
      <c r="A883" s="68" t="s">
        <v>965</v>
      </c>
      <c r="B883" s="24" t="s">
        <v>543</v>
      </c>
      <c r="C883" s="54">
        <v>46297</v>
      </c>
      <c r="D883" s="68" t="s">
        <v>598</v>
      </c>
      <c r="E883" s="56" t="s">
        <v>858</v>
      </c>
      <c r="F883" s="57" t="s">
        <v>184</v>
      </c>
    </row>
    <row r="884" spans="1:10" ht="14.25" customHeight="1" x14ac:dyDescent="0.25">
      <c r="A884" s="69"/>
      <c r="B884" s="24" t="s">
        <v>112</v>
      </c>
      <c r="C884" s="55">
        <f>IF(C883="","",IF(AND(MONTH(C883)&gt;=1,MONTH(C883)&lt;=3),1,IF(AND(MONTH(C883)&gt;=4,MONTH(C883)&lt;=6),2,IF(AND(MONTH(C883)&gt;=7,MONTH(C883)&lt;=9),3,4))))</f>
        <v>4</v>
      </c>
      <c r="D884" s="69"/>
      <c r="E884" s="56" t="s">
        <v>143</v>
      </c>
      <c r="F884" s="57"/>
    </row>
    <row r="885" spans="1:10" ht="14.25" customHeight="1" x14ac:dyDescent="0.25">
      <c r="A885" s="69"/>
      <c r="B885" s="24" t="s">
        <v>844</v>
      </c>
      <c r="C885" s="54">
        <v>46322</v>
      </c>
      <c r="D885" s="69"/>
      <c r="E885" s="56" t="s">
        <v>183</v>
      </c>
      <c r="F885" s="57"/>
    </row>
    <row r="886" spans="1:10" ht="14.25" customHeight="1" x14ac:dyDescent="0.25">
      <c r="A886" s="69"/>
      <c r="B886" s="24" t="s">
        <v>112</v>
      </c>
      <c r="C886" s="55">
        <f>IF(C885="","",IF(AND(MONTH(C885)&gt;=1,MONTH(C885)&lt;=3),1,IF(AND(MONTH(C885)&gt;=4,MONTH(C885)&lt;=6),2,IF(AND(MONTH(C885)&gt;=7,MONTH(C885)&lt;=9),3,4))))</f>
        <v>4</v>
      </c>
      <c r="D886" s="69"/>
      <c r="E886" s="56" t="s">
        <v>865</v>
      </c>
      <c r="F886" s="57"/>
    </row>
    <row r="888" spans="1:10" ht="14.25" customHeight="1" x14ac:dyDescent="0.25">
      <c r="A888" s="29" t="s">
        <v>1017</v>
      </c>
      <c r="B888" s="29" t="s">
        <v>1042</v>
      </c>
      <c r="C888" s="29" t="s">
        <v>1011</v>
      </c>
      <c r="D888" s="29" t="s">
        <v>985</v>
      </c>
      <c r="E888" s="29" t="s">
        <v>449</v>
      </c>
      <c r="F888" s="29" t="s">
        <v>989</v>
      </c>
    </row>
    <row r="889" spans="1:10" ht="14.25" customHeight="1" x14ac:dyDescent="0.25">
      <c r="A889" s="25" t="s">
        <v>938</v>
      </c>
      <c r="B889" s="26" t="str">
        <f ca="1">IFERROR(INDEX(UNSPSCDes,MATCH(INDIRECT(ADDRESS(ROW(),COLUMN()-1,4)),UNSPSCCode,0)),IF(INDIRECT(ADDRESS(ROW(),COLUMN()-1,4))="52151504","Tazas o vasos o tapas desechables para uso doméstico",""))</f>
        <v>Tazas o vasos o tapas desechables para uso doméstico</v>
      </c>
      <c r="C889" s="58" t="str">
        <f>IFERROR(VLOOKUP("PAQ",'Informacion '!P:Q,2,FALSE),"")</f>
        <v>Paquete</v>
      </c>
      <c r="D889" s="25">
        <v>2000</v>
      </c>
      <c r="E889" s="28">
        <v>300</v>
      </c>
      <c r="F889" s="27">
        <f ca="1">INDIRECT(ADDRESS(ROW(),COLUMN()-2,4))*INDIRECT(ADDRESS(ROW(),COLUMN()-1,4))</f>
        <v>600000</v>
      </c>
    </row>
    <row r="890" spans="1:10" ht="14.25" customHeight="1" x14ac:dyDescent="0.25">
      <c r="A890" s="25" t="s">
        <v>938</v>
      </c>
      <c r="B890" s="26" t="str">
        <f ca="1">IFERROR(INDEX(UNSPSCDes,MATCH(INDIRECT(ADDRESS(ROW(),COLUMN()-1,4)),UNSPSCCode,0)),IF(INDIRECT(ADDRESS(ROW(),COLUMN()-1,4))="52151504","Tazas o vasos o tapas desechables para uso doméstico",""))</f>
        <v>Tazas o vasos o tapas desechables para uso doméstico</v>
      </c>
      <c r="C890" s="58" t="str">
        <f>IFERROR(VLOOKUP("PAQ",'Informacion '!P:Q,2,FALSE),"")</f>
        <v>Paquete</v>
      </c>
      <c r="D890" s="25">
        <v>2000</v>
      </c>
      <c r="E890" s="28">
        <v>300</v>
      </c>
      <c r="F890" s="27">
        <f ca="1">INDIRECT(ADDRESS(ROW(),COLUMN()-2,4))*INDIRECT(ADDRESS(ROW(),COLUMN()-1,4))</f>
        <v>600000</v>
      </c>
    </row>
    <row r="891" spans="1:10" ht="14.25" customHeight="1" x14ac:dyDescent="0.25">
      <c r="E891" s="30" t="s">
        <v>816</v>
      </c>
      <c r="F891" s="31">
        <f ca="1">SUM(Table36[MONTO TOTAL ESTIMADO])</f>
        <v>1200000</v>
      </c>
      <c r="H891" s="21" t="str">
        <f>C882</f>
        <v>Servicios</v>
      </c>
      <c r="I891" s="21" t="str">
        <f>E882</f>
        <v>MIPYME Mujeres</v>
      </c>
      <c r="J891" s="21" t="str">
        <f>D882</f>
        <v>Compras Menores</v>
      </c>
    </row>
    <row r="893" spans="1:10" ht="33.950000000000003" customHeight="1" x14ac:dyDescent="0.25">
      <c r="A893" s="22" t="s">
        <v>1051</v>
      </c>
      <c r="B893" s="22" t="s">
        <v>11</v>
      </c>
      <c r="C893" s="22" t="s">
        <v>751</v>
      </c>
      <c r="D893" s="22" t="s">
        <v>930</v>
      </c>
      <c r="E893" s="22" t="s">
        <v>699</v>
      </c>
      <c r="F893" s="22" t="s">
        <v>710</v>
      </c>
    </row>
    <row r="894" spans="1:10" ht="14.25" customHeight="1" x14ac:dyDescent="0.25">
      <c r="A894" s="23" t="s">
        <v>271</v>
      </c>
      <c r="B894" s="23" t="s">
        <v>271</v>
      </c>
      <c r="C894" s="23" t="s">
        <v>1155</v>
      </c>
      <c r="D894" s="23" t="s">
        <v>1128</v>
      </c>
      <c r="E894" s="23" t="s">
        <v>385</v>
      </c>
      <c r="F894" s="23" t="s">
        <v>436</v>
      </c>
    </row>
    <row r="895" spans="1:10" ht="14.25" customHeight="1" x14ac:dyDescent="0.25">
      <c r="A895" s="68" t="s">
        <v>965</v>
      </c>
      <c r="B895" s="24" t="s">
        <v>543</v>
      </c>
      <c r="C895" s="54">
        <v>46205</v>
      </c>
      <c r="D895" s="68" t="s">
        <v>598</v>
      </c>
      <c r="E895" s="56" t="s">
        <v>858</v>
      </c>
      <c r="F895" s="57" t="s">
        <v>184</v>
      </c>
    </row>
    <row r="896" spans="1:10" ht="14.25" customHeight="1" x14ac:dyDescent="0.25">
      <c r="A896" s="69"/>
      <c r="B896" s="24" t="s">
        <v>112</v>
      </c>
      <c r="C896" s="55">
        <f>IF(C895="","",IF(AND(MONTH(C895)&gt;=1,MONTH(C895)&lt;=3),1,IF(AND(MONTH(C895)&gt;=4,MONTH(C895)&lt;=6),2,IF(AND(MONTH(C895)&gt;=7,MONTH(C895)&lt;=9),3,4))))</f>
        <v>3</v>
      </c>
      <c r="D896" s="69"/>
      <c r="E896" s="56" t="s">
        <v>143</v>
      </c>
      <c r="F896" s="57"/>
    </row>
    <row r="897" spans="1:10" ht="14.25" customHeight="1" x14ac:dyDescent="0.25">
      <c r="A897" s="69"/>
      <c r="B897" s="24" t="s">
        <v>844</v>
      </c>
      <c r="C897" s="54">
        <v>46261</v>
      </c>
      <c r="D897" s="69"/>
      <c r="E897" s="56" t="s">
        <v>183</v>
      </c>
      <c r="F897" s="57"/>
    </row>
    <row r="898" spans="1:10" ht="14.25" customHeight="1" x14ac:dyDescent="0.25">
      <c r="A898" s="69"/>
      <c r="B898" s="24" t="s">
        <v>112</v>
      </c>
      <c r="C898" s="55">
        <f>IF(C897="","",IF(AND(MONTH(C897)&gt;=1,MONTH(C897)&lt;=3),1,IF(AND(MONTH(C897)&gt;=4,MONTH(C897)&lt;=6),2,IF(AND(MONTH(C897)&gt;=7,MONTH(C897)&lt;=9),3,4))))</f>
        <v>3</v>
      </c>
      <c r="D898" s="69"/>
      <c r="E898" s="56" t="s">
        <v>865</v>
      </c>
      <c r="F898" s="57"/>
    </row>
    <row r="900" spans="1:10" ht="14.25" customHeight="1" x14ac:dyDescent="0.25">
      <c r="A900" s="29" t="s">
        <v>1017</v>
      </c>
      <c r="B900" s="29" t="s">
        <v>1042</v>
      </c>
      <c r="C900" s="29" t="s">
        <v>1011</v>
      </c>
      <c r="D900" s="29" t="s">
        <v>985</v>
      </c>
      <c r="E900" s="29" t="s">
        <v>449</v>
      </c>
      <c r="F900" s="29" t="s">
        <v>989</v>
      </c>
    </row>
    <row r="901" spans="1:10" ht="14.25" customHeight="1" x14ac:dyDescent="0.25">
      <c r="A901" s="25" t="s">
        <v>938</v>
      </c>
      <c r="B901" s="26" t="str">
        <f ca="1">IFERROR(INDEX(UNSPSCDes,MATCH(INDIRECT(ADDRESS(ROW(),COLUMN()-1,4)),UNSPSCCode,0)),IF(INDIRECT(ADDRESS(ROW(),COLUMN()-1,4))="52151504","Tazas o vasos o tapas desechables para uso doméstico",""))</f>
        <v>Tazas o vasos o tapas desechables para uso doméstico</v>
      </c>
      <c r="C901" s="58" t="str">
        <f>IFERROR(VLOOKUP("PAQ",'Informacion '!P:Q,2,FALSE),"")</f>
        <v>Paquete</v>
      </c>
      <c r="D901" s="25">
        <v>2000</v>
      </c>
      <c r="E901" s="28">
        <v>300</v>
      </c>
      <c r="F901" s="27">
        <f ca="1">INDIRECT(ADDRESS(ROW(),COLUMN()-2,4))*INDIRECT(ADDRESS(ROW(),COLUMN()-1,4))</f>
        <v>600000</v>
      </c>
    </row>
    <row r="902" spans="1:10" ht="14.25" customHeight="1" x14ac:dyDescent="0.25">
      <c r="A902" s="25" t="s">
        <v>938</v>
      </c>
      <c r="B902" s="26" t="str">
        <f ca="1">IFERROR(INDEX(UNSPSCDes,MATCH(INDIRECT(ADDRESS(ROW(),COLUMN()-1,4)),UNSPSCCode,0)),IF(INDIRECT(ADDRESS(ROW(),COLUMN()-1,4))="52151504","Tazas o vasos o tapas desechables para uso doméstico",""))</f>
        <v>Tazas o vasos o tapas desechables para uso doméstico</v>
      </c>
      <c r="C902" s="58" t="str">
        <f>IFERROR(VLOOKUP("PAQ",'Informacion '!P:Q,2,FALSE),"")</f>
        <v>Paquete</v>
      </c>
      <c r="D902" s="25">
        <v>2000</v>
      </c>
      <c r="E902" s="28">
        <v>300</v>
      </c>
      <c r="F902" s="27">
        <f ca="1">INDIRECT(ADDRESS(ROW(),COLUMN()-2,4))*INDIRECT(ADDRESS(ROW(),COLUMN()-1,4))</f>
        <v>600000</v>
      </c>
    </row>
    <row r="903" spans="1:10" ht="14.25" customHeight="1" x14ac:dyDescent="0.25">
      <c r="E903" s="30" t="s">
        <v>816</v>
      </c>
      <c r="F903" s="31">
        <f ca="1">SUM(Table37[MONTO TOTAL ESTIMADO])</f>
        <v>1200000</v>
      </c>
      <c r="H903" s="21" t="str">
        <f>C894</f>
        <v>Bienes</v>
      </c>
      <c r="I903" s="21" t="str">
        <f>E894</f>
        <v>MIPYME Mujeres</v>
      </c>
      <c r="J903" s="21" t="str">
        <f>D894</f>
        <v>Compras Menores</v>
      </c>
    </row>
    <row r="905" spans="1:10" ht="33.950000000000003" customHeight="1" x14ac:dyDescent="0.25">
      <c r="A905" s="22" t="s">
        <v>1051</v>
      </c>
      <c r="B905" s="22" t="s">
        <v>11</v>
      </c>
      <c r="C905" s="22" t="s">
        <v>751</v>
      </c>
      <c r="D905" s="22" t="s">
        <v>930</v>
      </c>
      <c r="E905" s="22" t="s">
        <v>699</v>
      </c>
      <c r="F905" s="22" t="s">
        <v>710</v>
      </c>
    </row>
    <row r="906" spans="1:10" ht="14.25" customHeight="1" x14ac:dyDescent="0.25">
      <c r="A906" s="23" t="s">
        <v>548</v>
      </c>
      <c r="B906" s="23" t="s">
        <v>548</v>
      </c>
      <c r="C906" s="23" t="s">
        <v>438</v>
      </c>
      <c r="D906" s="23" t="s">
        <v>270</v>
      </c>
      <c r="E906" s="23" t="s">
        <v>1156</v>
      </c>
      <c r="F906" s="23" t="s">
        <v>436</v>
      </c>
    </row>
    <row r="907" spans="1:10" ht="14.25" customHeight="1" x14ac:dyDescent="0.25">
      <c r="A907" s="68" t="s">
        <v>965</v>
      </c>
      <c r="B907" s="24" t="s">
        <v>543</v>
      </c>
      <c r="C907" s="54">
        <v>46114</v>
      </c>
      <c r="D907" s="68" t="s">
        <v>598</v>
      </c>
      <c r="E907" s="56" t="s">
        <v>858</v>
      </c>
      <c r="F907" s="57"/>
    </row>
    <row r="908" spans="1:10" ht="14.25" customHeight="1" x14ac:dyDescent="0.25">
      <c r="A908" s="69"/>
      <c r="B908" s="24" t="s">
        <v>112</v>
      </c>
      <c r="C908" s="55">
        <f>IF(C907="","",IF(AND(MONTH(C907)&gt;=1,MONTH(C907)&lt;=3),1,IF(AND(MONTH(C907)&gt;=4,MONTH(C907)&lt;=6),2,IF(AND(MONTH(C907)&gt;=7,MONTH(C907)&lt;=9),3,4))))</f>
        <v>2</v>
      </c>
      <c r="D908" s="69"/>
      <c r="E908" s="56" t="s">
        <v>143</v>
      </c>
      <c r="F908" s="57"/>
    </row>
    <row r="909" spans="1:10" ht="14.25" customHeight="1" x14ac:dyDescent="0.25">
      <c r="A909" s="69"/>
      <c r="B909" s="24" t="s">
        <v>844</v>
      </c>
      <c r="C909" s="54">
        <v>46203</v>
      </c>
      <c r="D909" s="69"/>
      <c r="E909" s="56" t="s">
        <v>183</v>
      </c>
      <c r="F909" s="57"/>
    </row>
    <row r="910" spans="1:10" ht="14.25" customHeight="1" x14ac:dyDescent="0.25">
      <c r="A910" s="69"/>
      <c r="B910" s="24" t="s">
        <v>112</v>
      </c>
      <c r="C910" s="55">
        <f>IF(C909="","",IF(AND(MONTH(C909)&gt;=1,MONTH(C909)&lt;=3),1,IF(AND(MONTH(C909)&gt;=4,MONTH(C909)&lt;=6),2,IF(AND(MONTH(C909)&gt;=7,MONTH(C909)&lt;=9),3,4))))</f>
        <v>2</v>
      </c>
      <c r="D910" s="69"/>
      <c r="E910" s="56" t="s">
        <v>865</v>
      </c>
      <c r="F910" s="57"/>
    </row>
    <row r="912" spans="1:10" ht="14.25" customHeight="1" x14ac:dyDescent="0.25">
      <c r="A912" s="29" t="s">
        <v>1017</v>
      </c>
      <c r="B912" s="29" t="s">
        <v>1042</v>
      </c>
      <c r="C912" s="29" t="s">
        <v>1011</v>
      </c>
      <c r="D912" s="29" t="s">
        <v>985</v>
      </c>
      <c r="E912" s="29" t="s">
        <v>449</v>
      </c>
      <c r="F912" s="29" t="s">
        <v>989</v>
      </c>
    </row>
    <row r="913" spans="1:10" ht="14.25" customHeight="1" x14ac:dyDescent="0.25">
      <c r="A913" s="25" t="s">
        <v>999</v>
      </c>
      <c r="B913" s="26" t="str">
        <f ca="1">IFERROR(INDEX(UNSPSCDes,MATCH(INDIRECT(ADDRESS(ROW(),COLUMN()-1,4)),UNSPSCCode,0)),IF(INDIRECT(ADDRESS(ROW(),COLUMN()-1,4))="82101603","Publicidad en internet",""))</f>
        <v>Publicidad en internet</v>
      </c>
      <c r="C913" s="58" t="str">
        <f>IFERROR(VLOOKUP("UD",'Informacion '!P:Q,2,FALSE),"")</f>
        <v>Unidad</v>
      </c>
      <c r="D913" s="25">
        <v>1</v>
      </c>
      <c r="E913" s="28">
        <v>5000000</v>
      </c>
      <c r="F913" s="27">
        <f ca="1">INDIRECT(ADDRESS(ROW(),COLUMN()-2,4))*INDIRECT(ADDRESS(ROW(),COLUMN()-1,4))</f>
        <v>5000000</v>
      </c>
    </row>
    <row r="914" spans="1:10" ht="14.25" customHeight="1" x14ac:dyDescent="0.25">
      <c r="A914" s="25" t="s">
        <v>972</v>
      </c>
      <c r="B914" s="26" t="str">
        <f ca="1">IFERROR(INDEX(UNSPSCDes,MATCH(INDIRECT(ADDRESS(ROW(),COLUMN()-1,4)),UNSPSCCode,0)),IF(INDIRECT(ADDRESS(ROW(),COLUMN()-1,4))="82101602","Publicidad en televisión",""))</f>
        <v>Publicidad en televisión</v>
      </c>
      <c r="C914" s="58" t="str">
        <f>IFERROR(VLOOKUP("UD",'Informacion '!P:Q,2,FALSE),"")</f>
        <v>Unidad</v>
      </c>
      <c r="D914" s="25">
        <v>1</v>
      </c>
      <c r="E914" s="28">
        <v>5000000</v>
      </c>
      <c r="F914" s="27">
        <f ca="1">INDIRECT(ADDRESS(ROW(),COLUMN()-2,4))*INDIRECT(ADDRESS(ROW(),COLUMN()-1,4))</f>
        <v>5000000</v>
      </c>
    </row>
    <row r="915" spans="1:10" ht="14.25" customHeight="1" x14ac:dyDescent="0.25">
      <c r="A915" s="25" t="s">
        <v>655</v>
      </c>
      <c r="B915" s="26" t="str">
        <f ca="1">IFERROR(INDEX(UNSPSCDes,MATCH(INDIRECT(ADDRESS(ROW(),COLUMN()-1,4)),UNSPSCCode,0)),IF(INDIRECT(ADDRESS(ROW(),COLUMN()-1,4))="82101601","Publicidad en radio",""))</f>
        <v>Publicidad en radio</v>
      </c>
      <c r="C915" s="58" t="str">
        <f>IFERROR(VLOOKUP("UD",'Informacion '!P:Q,2,FALSE),"")</f>
        <v>Unidad</v>
      </c>
      <c r="D915" s="25">
        <v>1</v>
      </c>
      <c r="E915" s="28">
        <v>2000000</v>
      </c>
      <c r="F915" s="27">
        <f ca="1">INDIRECT(ADDRESS(ROW(),COLUMN()-2,4))*INDIRECT(ADDRESS(ROW(),COLUMN()-1,4))</f>
        <v>2000000</v>
      </c>
    </row>
    <row r="916" spans="1:10" ht="14.25" customHeight="1" x14ac:dyDescent="0.25">
      <c r="E916" s="30" t="s">
        <v>816</v>
      </c>
      <c r="F916" s="31">
        <f ca="1">SUM(Table38[MONTO TOTAL ESTIMADO])</f>
        <v>12000000</v>
      </c>
      <c r="H916" s="21" t="str">
        <f>C906</f>
        <v>Servicios</v>
      </c>
      <c r="I916" s="21" t="str">
        <f>E906</f>
        <v>No</v>
      </c>
      <c r="J916" s="21" t="str">
        <f>D906</f>
        <v>Excepción - Contratación de publicidad a través de medios de comunicación social</v>
      </c>
    </row>
    <row r="918" spans="1:10" ht="33.950000000000003" customHeight="1" x14ac:dyDescent="0.25">
      <c r="A918" s="22" t="s">
        <v>1051</v>
      </c>
      <c r="B918" s="22" t="s">
        <v>11</v>
      </c>
      <c r="C918" s="22" t="s">
        <v>751</v>
      </c>
      <c r="D918" s="22" t="s">
        <v>930</v>
      </c>
      <c r="E918" s="22" t="s">
        <v>699</v>
      </c>
      <c r="F918" s="22" t="s">
        <v>710</v>
      </c>
    </row>
    <row r="919" spans="1:10" ht="14.25" customHeight="1" x14ac:dyDescent="0.25">
      <c r="A919" s="23" t="s">
        <v>125</v>
      </c>
      <c r="B919" s="23" t="s">
        <v>125</v>
      </c>
      <c r="C919" s="23" t="s">
        <v>1155</v>
      </c>
      <c r="D919" s="23" t="s">
        <v>116</v>
      </c>
      <c r="E919" s="23" t="s">
        <v>1156</v>
      </c>
      <c r="F919" s="23" t="s">
        <v>436</v>
      </c>
    </row>
    <row r="920" spans="1:10" ht="14.25" customHeight="1" x14ac:dyDescent="0.25">
      <c r="A920" s="68" t="s">
        <v>965</v>
      </c>
      <c r="B920" s="24" t="s">
        <v>543</v>
      </c>
      <c r="C920" s="54">
        <v>46057</v>
      </c>
      <c r="D920" s="68" t="s">
        <v>598</v>
      </c>
      <c r="E920" s="56" t="s">
        <v>858</v>
      </c>
      <c r="F920" s="57"/>
    </row>
    <row r="921" spans="1:10" ht="14.25" customHeight="1" x14ac:dyDescent="0.25">
      <c r="A921" s="69"/>
      <c r="B921" s="24" t="s">
        <v>112</v>
      </c>
      <c r="C921" s="55">
        <f>IF(C920="","",IF(AND(MONTH(C920)&gt;=1,MONTH(C920)&lt;=3),1,IF(AND(MONTH(C920)&gt;=4,MONTH(C920)&lt;=6),2,IF(AND(MONTH(C920)&gt;=7,MONTH(C920)&lt;=9),3,4))))</f>
        <v>1</v>
      </c>
      <c r="D921" s="69"/>
      <c r="E921" s="56" t="s">
        <v>143</v>
      </c>
      <c r="F921" s="57"/>
    </row>
    <row r="922" spans="1:10" ht="14.25" customHeight="1" x14ac:dyDescent="0.25">
      <c r="A922" s="69"/>
      <c r="B922" s="24" t="s">
        <v>844</v>
      </c>
      <c r="C922" s="54">
        <v>46081</v>
      </c>
      <c r="D922" s="69"/>
      <c r="E922" s="56" t="s">
        <v>183</v>
      </c>
      <c r="F922" s="57"/>
    </row>
    <row r="923" spans="1:10" ht="14.25" customHeight="1" x14ac:dyDescent="0.25">
      <c r="A923" s="69"/>
      <c r="B923" s="24" t="s">
        <v>112</v>
      </c>
      <c r="C923" s="55">
        <f>IF(C922="","",IF(AND(MONTH(C922)&gt;=1,MONTH(C922)&lt;=3),1,IF(AND(MONTH(C922)&gt;=4,MONTH(C922)&lt;=6),2,IF(AND(MONTH(C922)&gt;=7,MONTH(C922)&lt;=9),3,4))))</f>
        <v>1</v>
      </c>
      <c r="D923" s="69"/>
      <c r="E923" s="56" t="s">
        <v>865</v>
      </c>
      <c r="F923" s="57"/>
    </row>
    <row r="925" spans="1:10" ht="14.25" customHeight="1" x14ac:dyDescent="0.25">
      <c r="A925" s="29" t="s">
        <v>1017</v>
      </c>
      <c r="B925" s="29" t="s">
        <v>1042</v>
      </c>
      <c r="C925" s="29" t="s">
        <v>1011</v>
      </c>
      <c r="D925" s="29" t="s">
        <v>985</v>
      </c>
      <c r="E925" s="29" t="s">
        <v>449</v>
      </c>
      <c r="F925" s="29" t="s">
        <v>989</v>
      </c>
    </row>
    <row r="926" spans="1:10" ht="14.25" customHeight="1" x14ac:dyDescent="0.25">
      <c r="A926" s="25" t="s">
        <v>1057</v>
      </c>
      <c r="B926" s="26" t="str">
        <f ca="1">IFERROR(INDEX(UNSPSCDes,MATCH(INDIRECT(ADDRESS(ROW(),COLUMN()-1,4)),UNSPSCCode,0)),IF(INDIRECT(ADDRESS(ROW(),COLUMN()-1,4))="52152102","Vasos para beber para uso doméstico",""))</f>
        <v>Vasos para beber para uso doméstico</v>
      </c>
      <c r="C926" s="58" t="str">
        <f>IFERROR(VLOOKUP("UD",'Informacion '!P:Q,2,FALSE),"")</f>
        <v>Unidad</v>
      </c>
      <c r="D926" s="25">
        <v>350</v>
      </c>
      <c r="E926" s="28">
        <v>225</v>
      </c>
      <c r="F926" s="27">
        <f t="shared" ref="F926:F942" ca="1" si="32">INDIRECT(ADDRESS(ROW(),COLUMN()-2,4))*INDIRECT(ADDRESS(ROW(),COLUMN()-1,4))</f>
        <v>78750</v>
      </c>
    </row>
    <row r="927" spans="1:10" ht="14.25" customHeight="1" x14ac:dyDescent="0.25">
      <c r="A927" s="25" t="s">
        <v>1213</v>
      </c>
      <c r="B927" s="26" t="str">
        <f ca="1">IFERROR(INDEX(UNSPSCDes,MATCH(INDIRECT(ADDRESS(ROW(),COLUMN()-1,4)),UNSPSCCode,0)),IF(INDIRECT(ADDRESS(ROW(),COLUMN()-1,4))="52152008","Teteras o cafeteras para uso doméstico",""))</f>
        <v>Teteras o cafeteras para uso doméstico</v>
      </c>
      <c r="C927" s="58" t="str">
        <f>IFERROR(VLOOKUP("UD",'Informacion '!P:Q,2,FALSE),"")</f>
        <v>Unidad</v>
      </c>
      <c r="D927" s="25">
        <v>35</v>
      </c>
      <c r="E927" s="28">
        <v>300</v>
      </c>
      <c r="F927" s="27">
        <f t="shared" ca="1" si="32"/>
        <v>10500</v>
      </c>
    </row>
    <row r="928" spans="1:10" ht="14.25" customHeight="1" x14ac:dyDescent="0.25">
      <c r="A928" s="25" t="s">
        <v>1213</v>
      </c>
      <c r="B928" s="26" t="str">
        <f ca="1">IFERROR(INDEX(UNSPSCDes,MATCH(INDIRECT(ADDRESS(ROW(),COLUMN()-1,4)),UNSPSCCode,0)),IF(INDIRECT(ADDRESS(ROW(),COLUMN()-1,4))="52152008","Teteras o cafeteras para uso doméstico",""))</f>
        <v>Teteras o cafeteras para uso doméstico</v>
      </c>
      <c r="C928" s="58" t="str">
        <f>IFERROR(VLOOKUP("UD",'Informacion '!P:Q,2,FALSE),"")</f>
        <v>Unidad</v>
      </c>
      <c r="D928" s="25">
        <v>25</v>
      </c>
      <c r="E928" s="28">
        <v>700</v>
      </c>
      <c r="F928" s="27">
        <f t="shared" ca="1" si="32"/>
        <v>17500</v>
      </c>
    </row>
    <row r="929" spans="1:10" ht="14.25" customHeight="1" x14ac:dyDescent="0.25">
      <c r="A929" s="25" t="s">
        <v>23</v>
      </c>
      <c r="B929" s="26" t="str">
        <f ca="1">IFERROR(INDEX(UNSPSCDes,MATCH(INDIRECT(ADDRESS(ROW(),COLUMN()-1,4)),UNSPSCCode,0)),IF(INDIRECT(ADDRESS(ROW(),COLUMN()-1,4))="52152104","Copas para uso doméstico",""))</f>
        <v>Copas para uso doméstico</v>
      </c>
      <c r="C929" s="58" t="str">
        <f>IFERROR(VLOOKUP("UD",'Informacion '!P:Q,2,FALSE),"")</f>
        <v>Unidad</v>
      </c>
      <c r="D929" s="25">
        <v>200</v>
      </c>
      <c r="E929" s="28">
        <v>263</v>
      </c>
      <c r="F929" s="27">
        <f t="shared" ca="1" si="32"/>
        <v>52600</v>
      </c>
    </row>
    <row r="930" spans="1:10" ht="14.25" customHeight="1" x14ac:dyDescent="0.25">
      <c r="A930" s="25" t="s">
        <v>1170</v>
      </c>
      <c r="B930" s="26" t="str">
        <f ca="1">IFERROR(INDEX(UNSPSCDes,MATCH(INDIRECT(ADDRESS(ROW(),COLUMN()-1,4)),UNSPSCCode,0)),IF(INDIRECT(ADDRESS(ROW(),COLUMN()-1,4))="52152001","Jarras para uso doméstico",""))</f>
        <v>Jarras para uso doméstico</v>
      </c>
      <c r="C930" s="58" t="str">
        <f>IFERROR(VLOOKUP("UD",'Informacion '!P:Q,2,FALSE),"")</f>
        <v>Unidad</v>
      </c>
      <c r="D930" s="25">
        <v>50</v>
      </c>
      <c r="E930" s="28">
        <v>650</v>
      </c>
      <c r="F930" s="27">
        <f t="shared" ca="1" si="32"/>
        <v>32500</v>
      </c>
    </row>
    <row r="931" spans="1:10" ht="14.25" customHeight="1" x14ac:dyDescent="0.25">
      <c r="A931" s="25" t="s">
        <v>724</v>
      </c>
      <c r="B931" s="26" t="str">
        <f ca="1">IFERROR(INDEX(UNSPSCDes,MATCH(INDIRECT(ADDRESS(ROW(),COLUMN()-1,4)),UNSPSCCode,0)),IF(INDIRECT(ADDRESS(ROW(),COLUMN()-1,4))="52152101","Tazas de café o té para uso doméstico",""))</f>
        <v>Tazas de café o té para uso doméstico</v>
      </c>
      <c r="C931" s="58" t="str">
        <f>IFERROR(VLOOKUP("UD",'Informacion '!P:Q,2,FALSE),"")</f>
        <v>Unidad</v>
      </c>
      <c r="D931" s="25">
        <v>150</v>
      </c>
      <c r="E931" s="28">
        <v>375</v>
      </c>
      <c r="F931" s="27">
        <f t="shared" ca="1" si="32"/>
        <v>56250</v>
      </c>
    </row>
    <row r="932" spans="1:10" ht="14.25" customHeight="1" x14ac:dyDescent="0.25">
      <c r="A932" s="25" t="s">
        <v>1160</v>
      </c>
      <c r="B932" s="26" t="str">
        <f ca="1">IFERROR(INDEX(UNSPSCDes,MATCH(INDIRECT(ADDRESS(ROW(),COLUMN()-1,4)),UNSPSCCode,0)),IF(INDIRECT(ADDRESS(ROW(),COLUMN()-1,4))="52151704","Cucharas para uso doméstico",""))</f>
        <v>Cucharas para uso doméstico</v>
      </c>
      <c r="C932" s="58" t="str">
        <f>IFERROR(VLOOKUP("UD",'Informacion '!P:Q,2,FALSE),"")</f>
        <v>Unidad</v>
      </c>
      <c r="D932" s="25">
        <v>250</v>
      </c>
      <c r="E932" s="28">
        <v>200</v>
      </c>
      <c r="F932" s="27">
        <f t="shared" ca="1" si="32"/>
        <v>50000</v>
      </c>
    </row>
    <row r="933" spans="1:10" ht="14.25" customHeight="1" x14ac:dyDescent="0.25">
      <c r="A933" s="25" t="s">
        <v>646</v>
      </c>
      <c r="B933" s="26" t="str">
        <f ca="1">IFERROR(INDEX(UNSPSCDes,MATCH(INDIRECT(ADDRESS(ROW(),COLUMN()-1,4)),UNSPSCCode,0)),IF(INDIRECT(ADDRESS(ROW(),COLUMN()-1,4))="52152002","Contenedores para almacenar alimentos para uso doméstico",""))</f>
        <v>Contenedores para almacenar alimentos para uso doméstico</v>
      </c>
      <c r="C933" s="58" t="str">
        <f>IFERROR(VLOOKUP("UD",'Informacion '!P:Q,2,FALSE),"")</f>
        <v>Unidad</v>
      </c>
      <c r="D933" s="25">
        <v>20</v>
      </c>
      <c r="E933" s="28">
        <v>235</v>
      </c>
      <c r="F933" s="27">
        <f t="shared" ca="1" si="32"/>
        <v>4700</v>
      </c>
    </row>
    <row r="934" spans="1:10" ht="14.25" customHeight="1" x14ac:dyDescent="0.25">
      <c r="A934" s="25" t="s">
        <v>30</v>
      </c>
      <c r="B934" s="26" t="str">
        <f ca="1">IFERROR(INDEX(UNSPSCDes,MATCH(INDIRECT(ADDRESS(ROW(),COLUMN()-1,4)),UNSPSCCode,0)),IF(INDIRECT(ADDRESS(ROW(),COLUMN()-1,4))="30181510","servilletero",""))</f>
        <v>servilletero</v>
      </c>
      <c r="C934" s="58" t="str">
        <f>IFERROR(VLOOKUP("UD",'Informacion '!P:Q,2,FALSE),"")</f>
        <v>Unidad</v>
      </c>
      <c r="D934" s="25">
        <v>20</v>
      </c>
      <c r="E934" s="28">
        <v>300</v>
      </c>
      <c r="F934" s="27">
        <f t="shared" ca="1" si="32"/>
        <v>6000</v>
      </c>
    </row>
    <row r="935" spans="1:10" ht="14.25" customHeight="1" x14ac:dyDescent="0.25">
      <c r="A935" s="25" t="s">
        <v>646</v>
      </c>
      <c r="B935" s="26" t="str">
        <f ca="1">IFERROR(INDEX(UNSPSCDes,MATCH(INDIRECT(ADDRESS(ROW(),COLUMN()-1,4)),UNSPSCCode,0)),IF(INDIRECT(ADDRESS(ROW(),COLUMN()-1,4))="52152002","Contenedores para almacenar alimentos para uso doméstico",""))</f>
        <v>Contenedores para almacenar alimentos para uso doméstico</v>
      </c>
      <c r="C935" s="58" t="str">
        <f>IFERROR(VLOOKUP("UD",'Informacion '!P:Q,2,FALSE),"")</f>
        <v>Unidad</v>
      </c>
      <c r="D935" s="25">
        <v>100</v>
      </c>
      <c r="E935" s="28">
        <v>180</v>
      </c>
      <c r="F935" s="27">
        <f t="shared" ca="1" si="32"/>
        <v>18000</v>
      </c>
    </row>
    <row r="936" spans="1:10" ht="14.25" customHeight="1" x14ac:dyDescent="0.25">
      <c r="A936" s="25" t="s">
        <v>1170</v>
      </c>
      <c r="B936" s="26" t="str">
        <f ca="1">IFERROR(INDEX(UNSPSCDes,MATCH(INDIRECT(ADDRESS(ROW(),COLUMN()-1,4)),UNSPSCCode,0)),IF(INDIRECT(ADDRESS(ROW(),COLUMN()-1,4))="52152001","Jarras para uso doméstico",""))</f>
        <v>Jarras para uso doméstico</v>
      </c>
      <c r="C936" s="58" t="str">
        <f>IFERROR(VLOOKUP("UD",'Informacion '!P:Q,2,FALSE),"")</f>
        <v>Unidad</v>
      </c>
      <c r="D936" s="25">
        <v>20</v>
      </c>
      <c r="E936" s="28">
        <v>1675</v>
      </c>
      <c r="F936" s="27">
        <f t="shared" ca="1" si="32"/>
        <v>33500</v>
      </c>
    </row>
    <row r="937" spans="1:10" ht="14.25" customHeight="1" x14ac:dyDescent="0.25">
      <c r="A937" s="25" t="s">
        <v>173</v>
      </c>
      <c r="B937" s="26" t="str">
        <f ca="1">IFERROR(INDEX(UNSPSCDes,MATCH(INDIRECT(ADDRESS(ROW(),COLUMN()-1,4)),UNSPSCCode,0)),IF(INDIRECT(ADDRESS(ROW(),COLUMN()-1,4))="48101909","Teteras o cafeteras para servicio de comidas",""))</f>
        <v>Teteras o cafeteras para servicio de comidas</v>
      </c>
      <c r="C937" s="58" t="str">
        <f>IFERROR(VLOOKUP("UD",'Informacion '!P:Q,2,FALSE),"")</f>
        <v>Unidad</v>
      </c>
      <c r="D937" s="25">
        <v>30</v>
      </c>
      <c r="E937" s="28">
        <v>630</v>
      </c>
      <c r="F937" s="27">
        <f t="shared" ca="1" si="32"/>
        <v>18900</v>
      </c>
    </row>
    <row r="938" spans="1:10" ht="14.25" customHeight="1" x14ac:dyDescent="0.25">
      <c r="A938" s="25" t="s">
        <v>173</v>
      </c>
      <c r="B938" s="26" t="str">
        <f ca="1">IFERROR(INDEX(UNSPSCDes,MATCH(INDIRECT(ADDRESS(ROW(),COLUMN()-1,4)),UNSPSCCode,0)),IF(INDIRECT(ADDRESS(ROW(),COLUMN()-1,4))="48101909","Teteras o cafeteras para servicio de comidas",""))</f>
        <v>Teteras o cafeteras para servicio de comidas</v>
      </c>
      <c r="C938" s="58" t="str">
        <f>IFERROR(VLOOKUP("UD",'Informacion '!P:Q,2,FALSE),"")</f>
        <v>Unidad</v>
      </c>
      <c r="D938" s="25">
        <v>20</v>
      </c>
      <c r="E938" s="28">
        <v>420</v>
      </c>
      <c r="F938" s="27">
        <f t="shared" ca="1" si="32"/>
        <v>8400</v>
      </c>
    </row>
    <row r="939" spans="1:10" ht="14.25" customHeight="1" x14ac:dyDescent="0.25">
      <c r="A939" s="25" t="s">
        <v>325</v>
      </c>
      <c r="B939" s="26" t="str">
        <f ca="1">IFERROR(INDEX(UNSPSCDes,MATCH(INDIRECT(ADDRESS(ROW(),COLUMN()-1,4)),UNSPSCCode,0)),IF(INDIRECT(ADDRESS(ROW(),COLUMN()-1,4))="49101613","Cristales de vidrio",""))</f>
        <v>Cristales de vidrio</v>
      </c>
      <c r="C939" s="58" t="str">
        <f>IFERROR(VLOOKUP("UD",'Informacion '!P:Q,2,FALSE),"")</f>
        <v>Unidad</v>
      </c>
      <c r="D939" s="25">
        <v>20</v>
      </c>
      <c r="E939" s="28">
        <v>2330</v>
      </c>
      <c r="F939" s="27">
        <f t="shared" ca="1" si="32"/>
        <v>46600</v>
      </c>
    </row>
    <row r="940" spans="1:10" ht="14.25" customHeight="1" x14ac:dyDescent="0.25">
      <c r="A940" s="25" t="s">
        <v>325</v>
      </c>
      <c r="B940" s="26" t="str">
        <f ca="1">IFERROR(INDEX(UNSPSCDes,MATCH(INDIRECT(ADDRESS(ROW(),COLUMN()-1,4)),UNSPSCCode,0)),IF(INDIRECT(ADDRESS(ROW(),COLUMN()-1,4))="49101613","Cristales de vidrio",""))</f>
        <v>Cristales de vidrio</v>
      </c>
      <c r="C940" s="58" t="str">
        <f>IFERROR(VLOOKUP("UD",'Informacion '!P:Q,2,FALSE),"")</f>
        <v>Unidad</v>
      </c>
      <c r="D940" s="25">
        <v>25</v>
      </c>
      <c r="E940" s="28">
        <v>75</v>
      </c>
      <c r="F940" s="27">
        <f t="shared" ca="1" si="32"/>
        <v>1875</v>
      </c>
    </row>
    <row r="941" spans="1:10" ht="14.25" customHeight="1" x14ac:dyDescent="0.25">
      <c r="A941" s="25" t="s">
        <v>1028</v>
      </c>
      <c r="B941" s="26" t="str">
        <f ca="1">IFERROR(INDEX(UNSPSCDes,MATCH(INDIRECT(ADDRESS(ROW(),COLUMN()-1,4)),UNSPSCCode,0)),IF(INDIRECT(ADDRESS(ROW(),COLUMN()-1,4))="52121606","Individuales de mesa",""))</f>
        <v>Individuales de mesa</v>
      </c>
      <c r="C941" s="58" t="str">
        <f>IFERROR(VLOOKUP("UD",'Informacion '!P:Q,2,FALSE),"")</f>
        <v>Unidad</v>
      </c>
      <c r="D941" s="25">
        <v>40</v>
      </c>
      <c r="E941" s="28">
        <v>325</v>
      </c>
      <c r="F941" s="27">
        <f t="shared" ca="1" si="32"/>
        <v>13000</v>
      </c>
    </row>
    <row r="942" spans="1:10" ht="14.25" customHeight="1" x14ac:dyDescent="0.25">
      <c r="A942" s="25" t="s">
        <v>173</v>
      </c>
      <c r="B942" s="26" t="str">
        <f ca="1">IFERROR(INDEX(UNSPSCDes,MATCH(INDIRECT(ADDRESS(ROW(),COLUMN()-1,4)),UNSPSCCode,0)),IF(INDIRECT(ADDRESS(ROW(),COLUMN()-1,4))="48101909","Teteras o cafeteras para servicio de comidas",""))</f>
        <v>Teteras o cafeteras para servicio de comidas</v>
      </c>
      <c r="C942" s="58" t="str">
        <f>IFERROR(VLOOKUP("UD",'Informacion '!P:Q,2,FALSE),"")</f>
        <v>Unidad</v>
      </c>
      <c r="D942" s="25">
        <v>20</v>
      </c>
      <c r="E942" s="28">
        <v>1350</v>
      </c>
      <c r="F942" s="27">
        <f t="shared" ca="1" si="32"/>
        <v>27000</v>
      </c>
    </row>
    <row r="943" spans="1:10" ht="14.25" customHeight="1" x14ac:dyDescent="0.25">
      <c r="E943" s="30" t="s">
        <v>816</v>
      </c>
      <c r="F943" s="31">
        <f ca="1">SUM(Table39[MONTO TOTAL ESTIMADO])</f>
        <v>476075</v>
      </c>
      <c r="H943" s="21" t="str">
        <f>C919</f>
        <v>Bienes</v>
      </c>
      <c r="I943" s="21" t="str">
        <f>E919</f>
        <v>No</v>
      </c>
      <c r="J943" s="21" t="str">
        <f>D919</f>
        <v>Comparacion de Precios</v>
      </c>
    </row>
    <row r="945" spans="1:10" ht="33.950000000000003" customHeight="1" x14ac:dyDescent="0.25">
      <c r="A945" s="22" t="s">
        <v>1051</v>
      </c>
      <c r="B945" s="22" t="s">
        <v>11</v>
      </c>
      <c r="C945" s="22" t="s">
        <v>751</v>
      </c>
      <c r="D945" s="22" t="s">
        <v>930</v>
      </c>
      <c r="E945" s="22" t="s">
        <v>699</v>
      </c>
      <c r="F945" s="22" t="s">
        <v>710</v>
      </c>
    </row>
    <row r="946" spans="1:10" ht="14.25" customHeight="1" x14ac:dyDescent="0.25">
      <c r="A946" s="23" t="s">
        <v>1198</v>
      </c>
      <c r="B946" s="23" t="s">
        <v>1198</v>
      </c>
      <c r="C946" s="23" t="s">
        <v>438</v>
      </c>
      <c r="D946" s="23" t="s">
        <v>464</v>
      </c>
      <c r="E946" s="23" t="s">
        <v>1156</v>
      </c>
      <c r="F946" s="23" t="s">
        <v>436</v>
      </c>
    </row>
    <row r="947" spans="1:10" ht="14.25" customHeight="1" x14ac:dyDescent="0.25">
      <c r="A947" s="68" t="s">
        <v>965</v>
      </c>
      <c r="B947" s="24" t="s">
        <v>543</v>
      </c>
      <c r="C947" s="54">
        <v>46114</v>
      </c>
      <c r="D947" s="68" t="s">
        <v>598</v>
      </c>
      <c r="E947" s="56" t="s">
        <v>858</v>
      </c>
      <c r="F947" s="57"/>
    </row>
    <row r="948" spans="1:10" ht="14.25" customHeight="1" x14ac:dyDescent="0.25">
      <c r="A948" s="69"/>
      <c r="B948" s="24" t="s">
        <v>112</v>
      </c>
      <c r="C948" s="55">
        <f>IF(C947="","",IF(AND(MONTH(C947)&gt;=1,MONTH(C947)&lt;=3),1,IF(AND(MONTH(C947)&gt;=4,MONTH(C947)&lt;=6),2,IF(AND(MONTH(C947)&gt;=7,MONTH(C947)&lt;=9),3,4))))</f>
        <v>2</v>
      </c>
      <c r="D948" s="69"/>
      <c r="E948" s="56" t="s">
        <v>143</v>
      </c>
      <c r="F948" s="57"/>
    </row>
    <row r="949" spans="1:10" ht="14.25" customHeight="1" x14ac:dyDescent="0.25">
      <c r="A949" s="69"/>
      <c r="B949" s="24" t="s">
        <v>844</v>
      </c>
      <c r="C949" s="54">
        <v>46203</v>
      </c>
      <c r="D949" s="69"/>
      <c r="E949" s="56" t="s">
        <v>183</v>
      </c>
      <c r="F949" s="57"/>
    </row>
    <row r="950" spans="1:10" ht="14.25" customHeight="1" x14ac:dyDescent="0.25">
      <c r="A950" s="69"/>
      <c r="B950" s="24" t="s">
        <v>112</v>
      </c>
      <c r="C950" s="55">
        <f>IF(C949="","",IF(AND(MONTH(C949)&gt;=1,MONTH(C949)&lt;=3),1,IF(AND(MONTH(C949)&gt;=4,MONTH(C949)&lt;=6),2,IF(AND(MONTH(C949)&gt;=7,MONTH(C949)&lt;=9),3,4))))</f>
        <v>2</v>
      </c>
      <c r="D950" s="69"/>
      <c r="E950" s="56" t="s">
        <v>865</v>
      </c>
      <c r="F950" s="57"/>
    </row>
    <row r="952" spans="1:10" ht="14.25" customHeight="1" x14ac:dyDescent="0.25">
      <c r="A952" s="29" t="s">
        <v>1017</v>
      </c>
      <c r="B952" s="29" t="s">
        <v>1042</v>
      </c>
      <c r="C952" s="29" t="s">
        <v>1011</v>
      </c>
      <c r="D952" s="29" t="s">
        <v>985</v>
      </c>
      <c r="E952" s="29" t="s">
        <v>449</v>
      </c>
      <c r="F952" s="29" t="s">
        <v>989</v>
      </c>
    </row>
    <row r="953" spans="1:10" ht="14.25" customHeight="1" x14ac:dyDescent="0.25">
      <c r="A953" s="25" t="s">
        <v>456</v>
      </c>
      <c r="B953" s="26" t="str">
        <f ca="1">IFERROR(INDEX(UNSPSCDes,MATCH(INDIRECT(ADDRESS(ROW(),COLUMN()-1,4)),UNSPSCCode,0)),IF(INDIRECT(ADDRESS(ROW(),COLUMN()-1,4))="82131603","Servicios de producción de vídeos",""))</f>
        <v>Servicios de producción de vídeos</v>
      </c>
      <c r="C953" s="58" t="str">
        <f>IFERROR(VLOOKUP("UD",'Informacion '!P:Q,2,FALSE),"")</f>
        <v>Unidad</v>
      </c>
      <c r="D953" s="25">
        <v>1</v>
      </c>
      <c r="E953" s="28">
        <v>1800000</v>
      </c>
      <c r="F953" s="27">
        <f ca="1">INDIRECT(ADDRESS(ROW(),COLUMN()-2,4))*INDIRECT(ADDRESS(ROW(),COLUMN()-1,4))</f>
        <v>1800000</v>
      </c>
    </row>
    <row r="954" spans="1:10" ht="14.25" customHeight="1" x14ac:dyDescent="0.25">
      <c r="E954" s="30" t="s">
        <v>816</v>
      </c>
      <c r="F954" s="31">
        <f ca="1">SUM(Table40[MONTO TOTAL ESTIMADO])</f>
        <v>1800000</v>
      </c>
      <c r="H954" s="21" t="str">
        <f>C946</f>
        <v>Servicios</v>
      </c>
      <c r="I954" s="21" t="str">
        <f>E946</f>
        <v>No</v>
      </c>
      <c r="J954" s="21" t="str">
        <f>D946</f>
        <v>Excepción - Obras científicas, técnicas, artísticas, o restauración  de monumentos históricos</v>
      </c>
    </row>
    <row r="956" spans="1:10" ht="33.950000000000003" customHeight="1" x14ac:dyDescent="0.25">
      <c r="A956" s="22" t="s">
        <v>1051</v>
      </c>
      <c r="B956" s="22" t="s">
        <v>11</v>
      </c>
      <c r="C956" s="22" t="s">
        <v>751</v>
      </c>
      <c r="D956" s="22" t="s">
        <v>930</v>
      </c>
      <c r="E956" s="22" t="s">
        <v>699</v>
      </c>
      <c r="F956" s="22" t="s">
        <v>710</v>
      </c>
    </row>
    <row r="957" spans="1:10" ht="14.25" customHeight="1" x14ac:dyDescent="0.25">
      <c r="A957" s="23" t="s">
        <v>1198</v>
      </c>
      <c r="B957" s="23" t="s">
        <v>1198</v>
      </c>
      <c r="C957" s="23" t="s">
        <v>438</v>
      </c>
      <c r="D957" s="23" t="s">
        <v>464</v>
      </c>
      <c r="E957" s="23" t="s">
        <v>1156</v>
      </c>
      <c r="F957" s="23" t="s">
        <v>436</v>
      </c>
    </row>
    <row r="958" spans="1:10" ht="14.25" customHeight="1" x14ac:dyDescent="0.25">
      <c r="A958" s="68" t="s">
        <v>965</v>
      </c>
      <c r="B958" s="24" t="s">
        <v>543</v>
      </c>
      <c r="C958" s="54">
        <v>46297</v>
      </c>
      <c r="D958" s="68" t="s">
        <v>598</v>
      </c>
      <c r="E958" s="56" t="s">
        <v>858</v>
      </c>
      <c r="F958" s="57"/>
    </row>
    <row r="959" spans="1:10" ht="14.25" customHeight="1" x14ac:dyDescent="0.25">
      <c r="A959" s="69"/>
      <c r="B959" s="24" t="s">
        <v>112</v>
      </c>
      <c r="C959" s="55">
        <f>IF(C958="","",IF(AND(MONTH(C958)&gt;=1,MONTH(C958)&lt;=3),1,IF(AND(MONTH(C958)&gt;=4,MONTH(C958)&lt;=6),2,IF(AND(MONTH(C958)&gt;=7,MONTH(C958)&lt;=9),3,4))))</f>
        <v>4</v>
      </c>
      <c r="D959" s="69"/>
      <c r="E959" s="56" t="s">
        <v>143</v>
      </c>
      <c r="F959" s="57"/>
    </row>
    <row r="960" spans="1:10" ht="14.25" customHeight="1" x14ac:dyDescent="0.25">
      <c r="A960" s="69"/>
      <c r="B960" s="24" t="s">
        <v>844</v>
      </c>
      <c r="C960" s="54">
        <v>46325</v>
      </c>
      <c r="D960" s="69"/>
      <c r="E960" s="56" t="s">
        <v>183</v>
      </c>
      <c r="F960" s="57"/>
    </row>
    <row r="961" spans="1:10" ht="14.25" customHeight="1" x14ac:dyDescent="0.25">
      <c r="A961" s="69"/>
      <c r="B961" s="24" t="s">
        <v>112</v>
      </c>
      <c r="C961" s="55">
        <f>IF(C960="","",IF(AND(MONTH(C960)&gt;=1,MONTH(C960)&lt;=3),1,IF(AND(MONTH(C960)&gt;=4,MONTH(C960)&lt;=6),2,IF(AND(MONTH(C960)&gt;=7,MONTH(C960)&lt;=9),3,4))))</f>
        <v>4</v>
      </c>
      <c r="D961" s="69"/>
      <c r="E961" s="56" t="s">
        <v>865</v>
      </c>
      <c r="F961" s="57"/>
    </row>
    <row r="963" spans="1:10" ht="14.25" customHeight="1" x14ac:dyDescent="0.25">
      <c r="A963" s="29" t="s">
        <v>1017</v>
      </c>
      <c r="B963" s="29" t="s">
        <v>1042</v>
      </c>
      <c r="C963" s="29" t="s">
        <v>1011</v>
      </c>
      <c r="D963" s="29" t="s">
        <v>985</v>
      </c>
      <c r="E963" s="29" t="s">
        <v>449</v>
      </c>
      <c r="F963" s="29" t="s">
        <v>989</v>
      </c>
    </row>
    <row r="964" spans="1:10" ht="14.25" customHeight="1" x14ac:dyDescent="0.25">
      <c r="A964" s="25" t="s">
        <v>456</v>
      </c>
      <c r="B964" s="26" t="str">
        <f ca="1">IFERROR(INDEX(UNSPSCDes,MATCH(INDIRECT(ADDRESS(ROW(),COLUMN()-1,4)),UNSPSCCode,0)),IF(INDIRECT(ADDRESS(ROW(),COLUMN()-1,4))="82131603","Servicios de producción de vídeos",""))</f>
        <v>Servicios de producción de vídeos</v>
      </c>
      <c r="C964" s="58" t="str">
        <f>IFERROR(VLOOKUP("UD",'Informacion '!P:Q,2,FALSE),"")</f>
        <v>Unidad</v>
      </c>
      <c r="D964" s="25">
        <v>1</v>
      </c>
      <c r="E964" s="28">
        <v>1800000</v>
      </c>
      <c r="F964" s="27">
        <f ca="1">INDIRECT(ADDRESS(ROW(),COLUMN()-2,4))*INDIRECT(ADDRESS(ROW(),COLUMN()-1,4))</f>
        <v>1800000</v>
      </c>
    </row>
    <row r="965" spans="1:10" ht="14.25" customHeight="1" x14ac:dyDescent="0.25">
      <c r="E965" s="30" t="s">
        <v>816</v>
      </c>
      <c r="F965" s="31">
        <f ca="1">SUM(Table41[MONTO TOTAL ESTIMADO])</f>
        <v>1800000</v>
      </c>
      <c r="H965" s="21" t="str">
        <f>C957</f>
        <v>Servicios</v>
      </c>
      <c r="I965" s="21" t="str">
        <f>E957</f>
        <v>No</v>
      </c>
      <c r="J965" s="21" t="str">
        <f>D957</f>
        <v>Excepción - Obras científicas, técnicas, artísticas, o restauración  de monumentos históricos</v>
      </c>
    </row>
    <row r="967" spans="1:10" ht="33.950000000000003" customHeight="1" x14ac:dyDescent="0.25">
      <c r="A967" s="22" t="s">
        <v>1051</v>
      </c>
      <c r="B967" s="22" t="s">
        <v>11</v>
      </c>
      <c r="C967" s="22" t="s">
        <v>751</v>
      </c>
      <c r="D967" s="22" t="s">
        <v>930</v>
      </c>
      <c r="E967" s="22" t="s">
        <v>699</v>
      </c>
      <c r="F967" s="22" t="s">
        <v>710</v>
      </c>
    </row>
    <row r="968" spans="1:10" ht="14.25" customHeight="1" x14ac:dyDescent="0.25">
      <c r="A968" s="23" t="s">
        <v>452</v>
      </c>
      <c r="B968" s="23" t="s">
        <v>452</v>
      </c>
      <c r="C968" s="23" t="s">
        <v>1155</v>
      </c>
      <c r="D968" s="23" t="s">
        <v>146</v>
      </c>
      <c r="E968" s="23" t="s">
        <v>1156</v>
      </c>
      <c r="F968" s="23" t="s">
        <v>436</v>
      </c>
    </row>
    <row r="969" spans="1:10" ht="14.25" customHeight="1" x14ac:dyDescent="0.25">
      <c r="A969" s="68" t="s">
        <v>965</v>
      </c>
      <c r="B969" s="24" t="s">
        <v>543</v>
      </c>
      <c r="C969" s="54">
        <v>46121</v>
      </c>
      <c r="D969" s="68" t="s">
        <v>598</v>
      </c>
      <c r="E969" s="56" t="s">
        <v>858</v>
      </c>
      <c r="F969" s="57" t="s">
        <v>184</v>
      </c>
    </row>
    <row r="970" spans="1:10" ht="14.25" customHeight="1" x14ac:dyDescent="0.25">
      <c r="A970" s="69"/>
      <c r="B970" s="24" t="s">
        <v>112</v>
      </c>
      <c r="C970" s="55">
        <f>IF(C969="","",IF(AND(MONTH(C969)&gt;=1,MONTH(C969)&lt;=3),1,IF(AND(MONTH(C969)&gt;=4,MONTH(C969)&lt;=6),2,IF(AND(MONTH(C969)&gt;=7,MONTH(C969)&lt;=9),3,4))))</f>
        <v>2</v>
      </c>
      <c r="D970" s="69"/>
      <c r="E970" s="56" t="s">
        <v>143</v>
      </c>
      <c r="F970" s="57"/>
    </row>
    <row r="971" spans="1:10" ht="14.25" customHeight="1" x14ac:dyDescent="0.25">
      <c r="A971" s="69"/>
      <c r="B971" s="24" t="s">
        <v>844</v>
      </c>
      <c r="C971" s="54">
        <v>46203</v>
      </c>
      <c r="D971" s="69"/>
      <c r="E971" s="56" t="s">
        <v>183</v>
      </c>
      <c r="F971" s="57"/>
    </row>
    <row r="972" spans="1:10" ht="14.25" customHeight="1" x14ac:dyDescent="0.25">
      <c r="A972" s="69"/>
      <c r="B972" s="24" t="s">
        <v>112</v>
      </c>
      <c r="C972" s="55">
        <f>IF(C971="","",IF(AND(MONTH(C971)&gt;=1,MONTH(C971)&lt;=3),1,IF(AND(MONTH(C971)&gt;=4,MONTH(C971)&lt;=6),2,IF(AND(MONTH(C971)&gt;=7,MONTH(C971)&lt;=9),3,4))))</f>
        <v>2</v>
      </c>
      <c r="D972" s="69"/>
      <c r="E972" s="56" t="s">
        <v>865</v>
      </c>
      <c r="F972" s="57"/>
    </row>
    <row r="974" spans="1:10" ht="14.25" customHeight="1" x14ac:dyDescent="0.25">
      <c r="A974" s="29" t="s">
        <v>1017</v>
      </c>
      <c r="B974" s="29" t="s">
        <v>1042</v>
      </c>
      <c r="C974" s="29" t="s">
        <v>1011</v>
      </c>
      <c r="D974" s="29" t="s">
        <v>985</v>
      </c>
      <c r="E974" s="29" t="s">
        <v>449</v>
      </c>
      <c r="F974" s="29" t="s">
        <v>989</v>
      </c>
    </row>
    <row r="975" spans="1:10" ht="14.25" customHeight="1" x14ac:dyDescent="0.25">
      <c r="A975" s="25" t="s">
        <v>1111</v>
      </c>
      <c r="B975" s="26" t="str">
        <f ca="1">IFERROR(INDEX(UNSPSCDes,MATCH(INDIRECT(ADDRESS(ROW(),COLUMN()-1,4)),UNSPSCCode,0)),IF(INDIRECT(ADDRESS(ROW(),COLUMN()-1,4))="25202003","Unidades de la fuente de alimentación de avión",""))</f>
        <v>Unidades de la fuente de alimentación de avión</v>
      </c>
      <c r="C975" s="58" t="str">
        <f>IFERROR(VLOOKUP("UD",'Informacion '!P:Q,2,FALSE),"")</f>
        <v>Unidad</v>
      </c>
      <c r="D975" s="25">
        <v>1</v>
      </c>
      <c r="E975" s="28">
        <v>2600000</v>
      </c>
      <c r="F975" s="27">
        <f ca="1">INDIRECT(ADDRESS(ROW(),COLUMN()-2,4))*INDIRECT(ADDRESS(ROW(),COLUMN()-1,4))</f>
        <v>2600000</v>
      </c>
    </row>
    <row r="976" spans="1:10" ht="14.25" customHeight="1" x14ac:dyDescent="0.25">
      <c r="A976" s="25" t="s">
        <v>1111</v>
      </c>
      <c r="B976" s="26" t="str">
        <f ca="1">IFERROR(INDEX(UNSPSCDes,MATCH(INDIRECT(ADDRESS(ROW(),COLUMN()-1,4)),UNSPSCCode,0)),IF(INDIRECT(ADDRESS(ROW(),COLUMN()-1,4))="25202003","Unidades de la fuente de alimentación de avión",""))</f>
        <v>Unidades de la fuente de alimentación de avión</v>
      </c>
      <c r="C976" s="58" t="str">
        <f>IFERROR(VLOOKUP("UD",'Informacion '!P:Q,2,FALSE),"")</f>
        <v>Unidad</v>
      </c>
      <c r="D976" s="25">
        <v>1</v>
      </c>
      <c r="E976" s="28">
        <v>2600000</v>
      </c>
      <c r="F976" s="27">
        <f ca="1">INDIRECT(ADDRESS(ROW(),COLUMN()-2,4))*INDIRECT(ADDRESS(ROW(),COLUMN()-1,4))</f>
        <v>2600000</v>
      </c>
    </row>
    <row r="977" spans="1:10" ht="14.25" customHeight="1" x14ac:dyDescent="0.25">
      <c r="A977" s="25" t="s">
        <v>1111</v>
      </c>
      <c r="B977" s="26" t="str">
        <f ca="1">IFERROR(INDEX(UNSPSCDes,MATCH(INDIRECT(ADDRESS(ROW(),COLUMN()-1,4)),UNSPSCCode,0)),IF(INDIRECT(ADDRESS(ROW(),COLUMN()-1,4))="25202003","Unidades de la fuente de alimentación de avión",""))</f>
        <v>Unidades de la fuente de alimentación de avión</v>
      </c>
      <c r="C977" s="58" t="str">
        <f>IFERROR(VLOOKUP("UD",'Informacion '!P:Q,2,FALSE),"")</f>
        <v>Unidad</v>
      </c>
      <c r="D977" s="25">
        <v>1</v>
      </c>
      <c r="E977" s="28">
        <v>2600000</v>
      </c>
      <c r="F977" s="27">
        <f ca="1">INDIRECT(ADDRESS(ROW(),COLUMN()-2,4))*INDIRECT(ADDRESS(ROW(),COLUMN()-1,4))</f>
        <v>2600000</v>
      </c>
    </row>
    <row r="978" spans="1:10" ht="14.25" customHeight="1" x14ac:dyDescent="0.25">
      <c r="A978" s="25" t="s">
        <v>1111</v>
      </c>
      <c r="B978" s="26" t="str">
        <f ca="1">IFERROR(INDEX(UNSPSCDes,MATCH(INDIRECT(ADDRESS(ROW(),COLUMN()-1,4)),UNSPSCCode,0)),IF(INDIRECT(ADDRESS(ROW(),COLUMN()-1,4))="25202003","Unidades de la fuente de alimentación de avión",""))</f>
        <v>Unidades de la fuente de alimentación de avión</v>
      </c>
      <c r="C978" s="58" t="str">
        <f>IFERROR(VLOOKUP("UD",'Informacion '!P:Q,2,FALSE),"")</f>
        <v>Unidad</v>
      </c>
      <c r="D978" s="25">
        <v>1</v>
      </c>
      <c r="E978" s="28">
        <v>1500000</v>
      </c>
      <c r="F978" s="27">
        <f ca="1">INDIRECT(ADDRESS(ROW(),COLUMN()-2,4))*INDIRECT(ADDRESS(ROW(),COLUMN()-1,4))</f>
        <v>1500000</v>
      </c>
    </row>
    <row r="979" spans="1:10" ht="14.25" customHeight="1" x14ac:dyDescent="0.25">
      <c r="E979" s="30" t="s">
        <v>816</v>
      </c>
      <c r="F979" s="31">
        <f ca="1">SUM(Table42[MONTO TOTAL ESTIMADO])</f>
        <v>9300000</v>
      </c>
      <c r="H979" s="21" t="str">
        <f>C968</f>
        <v>Bienes</v>
      </c>
      <c r="I979" s="21" t="str">
        <f>E968</f>
        <v>No</v>
      </c>
      <c r="J979" s="21" t="str">
        <f>D968</f>
        <v>Licitacion Publica</v>
      </c>
    </row>
    <row r="981" spans="1:10" ht="33.950000000000003" customHeight="1" x14ac:dyDescent="0.25">
      <c r="A981" s="22" t="s">
        <v>1051</v>
      </c>
      <c r="B981" s="22" t="s">
        <v>11</v>
      </c>
      <c r="C981" s="22" t="s">
        <v>751</v>
      </c>
      <c r="D981" s="22" t="s">
        <v>930</v>
      </c>
      <c r="E981" s="22" t="s">
        <v>699</v>
      </c>
      <c r="F981" s="22" t="s">
        <v>710</v>
      </c>
    </row>
    <row r="982" spans="1:10" ht="14.25" customHeight="1" x14ac:dyDescent="0.25">
      <c r="A982" s="23" t="s">
        <v>1090</v>
      </c>
      <c r="B982" s="23" t="s">
        <v>1090</v>
      </c>
      <c r="C982" s="23" t="s">
        <v>438</v>
      </c>
      <c r="D982" s="23" t="s">
        <v>1128</v>
      </c>
      <c r="E982" s="23" t="s">
        <v>1156</v>
      </c>
      <c r="F982" s="23" t="s">
        <v>436</v>
      </c>
    </row>
    <row r="983" spans="1:10" ht="14.25" customHeight="1" x14ac:dyDescent="0.25">
      <c r="A983" s="68" t="s">
        <v>965</v>
      </c>
      <c r="B983" s="24" t="s">
        <v>543</v>
      </c>
      <c r="C983" s="54">
        <v>46114</v>
      </c>
      <c r="D983" s="68" t="s">
        <v>598</v>
      </c>
      <c r="E983" s="56" t="s">
        <v>858</v>
      </c>
      <c r="F983" s="57" t="s">
        <v>184</v>
      </c>
    </row>
    <row r="984" spans="1:10" ht="14.25" customHeight="1" x14ac:dyDescent="0.25">
      <c r="A984" s="69"/>
      <c r="B984" s="24" t="s">
        <v>112</v>
      </c>
      <c r="C984" s="55">
        <f>IF(C983="","",IF(AND(MONTH(C983)&gt;=1,MONTH(C983)&lt;=3),1,IF(AND(MONTH(C983)&gt;=4,MONTH(C983)&lt;=6),2,IF(AND(MONTH(C983)&gt;=7,MONTH(C983)&lt;=9),3,4))))</f>
        <v>2</v>
      </c>
      <c r="D984" s="69"/>
      <c r="E984" s="56" t="s">
        <v>143</v>
      </c>
      <c r="F984" s="57"/>
    </row>
    <row r="985" spans="1:10" ht="14.25" customHeight="1" x14ac:dyDescent="0.25">
      <c r="A985" s="69"/>
      <c r="B985" s="24" t="s">
        <v>844</v>
      </c>
      <c r="C985" s="54">
        <v>46199</v>
      </c>
      <c r="D985" s="69"/>
      <c r="E985" s="56" t="s">
        <v>183</v>
      </c>
      <c r="F985" s="57"/>
    </row>
    <row r="986" spans="1:10" ht="14.25" customHeight="1" x14ac:dyDescent="0.25">
      <c r="A986" s="69"/>
      <c r="B986" s="24" t="s">
        <v>112</v>
      </c>
      <c r="C986" s="55">
        <f>IF(C985="","",IF(AND(MONTH(C985)&gt;=1,MONTH(C985)&lt;=3),1,IF(AND(MONTH(C985)&gt;=4,MONTH(C985)&lt;=6),2,IF(AND(MONTH(C985)&gt;=7,MONTH(C985)&lt;=9),3,4))))</f>
        <v>2</v>
      </c>
      <c r="D986" s="69"/>
      <c r="E986" s="56" t="s">
        <v>865</v>
      </c>
      <c r="F986" s="57"/>
    </row>
    <row r="988" spans="1:10" ht="14.25" customHeight="1" x14ac:dyDescent="0.25">
      <c r="A988" s="29" t="s">
        <v>1017</v>
      </c>
      <c r="B988" s="29" t="s">
        <v>1042</v>
      </c>
      <c r="C988" s="29" t="s">
        <v>1011</v>
      </c>
      <c r="D988" s="29" t="s">
        <v>985</v>
      </c>
      <c r="E988" s="29" t="s">
        <v>449</v>
      </c>
      <c r="F988" s="29" t="s">
        <v>989</v>
      </c>
    </row>
    <row r="989" spans="1:10" ht="14.25" customHeight="1" x14ac:dyDescent="0.25">
      <c r="A989" s="25" t="s">
        <v>937</v>
      </c>
      <c r="B989" s="26" t="str">
        <f ca="1">IFERROR(INDEX(UNSPSCDes,MATCH(INDIRECT(ADDRESS(ROW(),COLUMN()-1,4)),UNSPSCCode,0)),IF(INDIRECT(ADDRESS(ROW(),COLUMN()-1,4))="21101511","Chorros de riego",""))</f>
        <v>Chorros de riego</v>
      </c>
      <c r="C989" s="58" t="str">
        <f>IFERROR(VLOOKUP("UD",'Informacion '!P:Q,2,FALSE),"")</f>
        <v>Unidad</v>
      </c>
      <c r="D989" s="25">
        <v>1</v>
      </c>
      <c r="E989" s="28">
        <v>600000</v>
      </c>
      <c r="F989" s="27">
        <f ca="1">INDIRECT(ADDRESS(ROW(),COLUMN()-2,4))*INDIRECT(ADDRESS(ROW(),COLUMN()-1,4))</f>
        <v>600000</v>
      </c>
    </row>
    <row r="990" spans="1:10" ht="14.25" customHeight="1" x14ac:dyDescent="0.25">
      <c r="E990" s="30" t="s">
        <v>816</v>
      </c>
      <c r="F990" s="31">
        <f ca="1">SUM(Table43[MONTO TOTAL ESTIMADO])</f>
        <v>600000</v>
      </c>
      <c r="H990" s="21" t="str">
        <f>C982</f>
        <v>Servicios</v>
      </c>
      <c r="I990" s="21" t="str">
        <f>E982</f>
        <v>No</v>
      </c>
      <c r="J990" s="21" t="str">
        <f>D982</f>
        <v>Compras Menores</v>
      </c>
    </row>
    <row r="992" spans="1:10" ht="33.950000000000003" customHeight="1" x14ac:dyDescent="0.25">
      <c r="A992" s="22" t="s">
        <v>1051</v>
      </c>
      <c r="B992" s="22" t="s">
        <v>11</v>
      </c>
      <c r="C992" s="22" t="s">
        <v>751</v>
      </c>
      <c r="D992" s="22" t="s">
        <v>930</v>
      </c>
      <c r="E992" s="22" t="s">
        <v>699</v>
      </c>
      <c r="F992" s="22" t="s">
        <v>710</v>
      </c>
    </row>
    <row r="993" spans="1:10" ht="14.25" customHeight="1" x14ac:dyDescent="0.25">
      <c r="A993" s="23" t="s">
        <v>1071</v>
      </c>
      <c r="B993" s="23" t="s">
        <v>1071</v>
      </c>
      <c r="C993" s="23" t="s">
        <v>438</v>
      </c>
      <c r="D993" s="23" t="s">
        <v>1128</v>
      </c>
      <c r="E993" s="23" t="s">
        <v>1156</v>
      </c>
      <c r="F993" s="23" t="s">
        <v>436</v>
      </c>
    </row>
    <row r="994" spans="1:10" ht="14.25" customHeight="1" x14ac:dyDescent="0.25">
      <c r="A994" s="68" t="s">
        <v>965</v>
      </c>
      <c r="B994" s="24" t="s">
        <v>543</v>
      </c>
      <c r="C994" s="54">
        <v>46144</v>
      </c>
      <c r="D994" s="68" t="s">
        <v>598</v>
      </c>
      <c r="E994" s="56" t="s">
        <v>858</v>
      </c>
      <c r="F994" s="57" t="s">
        <v>184</v>
      </c>
    </row>
    <row r="995" spans="1:10" ht="14.25" customHeight="1" x14ac:dyDescent="0.25">
      <c r="A995" s="69"/>
      <c r="B995" s="24" t="s">
        <v>112</v>
      </c>
      <c r="C995" s="55">
        <f>IF(C994="","",IF(AND(MONTH(C994)&gt;=1,MONTH(C994)&lt;=3),1,IF(AND(MONTH(C994)&gt;=4,MONTH(C994)&lt;=6),2,IF(AND(MONTH(C994)&gt;=7,MONTH(C994)&lt;=9),3,4))))</f>
        <v>2</v>
      </c>
      <c r="D995" s="69"/>
      <c r="E995" s="56" t="s">
        <v>143</v>
      </c>
      <c r="F995" s="57"/>
    </row>
    <row r="996" spans="1:10" ht="14.25" customHeight="1" x14ac:dyDescent="0.25">
      <c r="A996" s="69"/>
      <c r="B996" s="24" t="s">
        <v>844</v>
      </c>
      <c r="C996" s="54">
        <v>46172</v>
      </c>
      <c r="D996" s="69"/>
      <c r="E996" s="56" t="s">
        <v>183</v>
      </c>
      <c r="F996" s="57"/>
    </row>
    <row r="997" spans="1:10" ht="14.25" customHeight="1" x14ac:dyDescent="0.25">
      <c r="A997" s="69"/>
      <c r="B997" s="24" t="s">
        <v>112</v>
      </c>
      <c r="C997" s="55">
        <f>IF(C996="","",IF(AND(MONTH(C996)&gt;=1,MONTH(C996)&lt;=3),1,IF(AND(MONTH(C996)&gt;=4,MONTH(C996)&lt;=6),2,IF(AND(MONTH(C996)&gt;=7,MONTH(C996)&lt;=9),3,4))))</f>
        <v>2</v>
      </c>
      <c r="D997" s="69"/>
      <c r="E997" s="56" t="s">
        <v>865</v>
      </c>
      <c r="F997" s="57"/>
    </row>
    <row r="999" spans="1:10" ht="14.25" customHeight="1" x14ac:dyDescent="0.25">
      <c r="A999" s="29" t="s">
        <v>1017</v>
      </c>
      <c r="B999" s="29" t="s">
        <v>1042</v>
      </c>
      <c r="C999" s="29" t="s">
        <v>1011</v>
      </c>
      <c r="D999" s="29" t="s">
        <v>985</v>
      </c>
      <c r="E999" s="29" t="s">
        <v>449</v>
      </c>
      <c r="F999" s="29" t="s">
        <v>989</v>
      </c>
    </row>
    <row r="1000" spans="1:10" ht="14.25" customHeight="1" x14ac:dyDescent="0.25">
      <c r="A1000" s="25" t="s">
        <v>750</v>
      </c>
      <c r="B1000" s="26" t="str">
        <f ca="1">IFERROR(INDEX(UNSPSCDes,MATCH(INDIRECT(ADDRESS(ROW(),COLUMN()-1,4)),UNSPSCCode,0)),IF(INDIRECT(ADDRESS(ROW(),COLUMN()-1,4))="46191608","Sistema de supresión de incendios",""))</f>
        <v>Sistema de supresión de incendios</v>
      </c>
      <c r="C1000" s="58" t="str">
        <f>IFERROR(VLOOKUP("UD",'Informacion '!P:Q,2,FALSE),"")</f>
        <v>Unidad</v>
      </c>
      <c r="D1000" s="25">
        <v>1</v>
      </c>
      <c r="E1000" s="28">
        <v>1000000</v>
      </c>
      <c r="F1000" s="27">
        <f ca="1">INDIRECT(ADDRESS(ROW(),COLUMN()-2,4))*INDIRECT(ADDRESS(ROW(),COLUMN()-1,4))</f>
        <v>1000000</v>
      </c>
    </row>
    <row r="1001" spans="1:10" ht="14.25" customHeight="1" x14ac:dyDescent="0.25">
      <c r="A1001" s="25" t="s">
        <v>750</v>
      </c>
      <c r="B1001" s="26" t="str">
        <f ca="1">IFERROR(INDEX(UNSPSCDes,MATCH(INDIRECT(ADDRESS(ROW(),COLUMN()-1,4)),UNSPSCCode,0)),IF(INDIRECT(ADDRESS(ROW(),COLUMN()-1,4))="46191608","Sistema de supresión de incendios",""))</f>
        <v>Sistema de supresión de incendios</v>
      </c>
      <c r="C1001" s="58" t="str">
        <f>IFERROR(VLOOKUP("UD",'Informacion '!P:Q,2,FALSE),"")</f>
        <v>Unidad</v>
      </c>
      <c r="D1001" s="25">
        <v>1</v>
      </c>
      <c r="E1001" s="28">
        <v>500000</v>
      </c>
      <c r="F1001" s="27">
        <f ca="1">INDIRECT(ADDRESS(ROW(),COLUMN()-2,4))*INDIRECT(ADDRESS(ROW(),COLUMN()-1,4))</f>
        <v>500000</v>
      </c>
    </row>
    <row r="1002" spans="1:10" ht="14.25" customHeight="1" x14ac:dyDescent="0.25">
      <c r="E1002" s="30" t="s">
        <v>816</v>
      </c>
      <c r="F1002" s="31">
        <f ca="1">SUM(Table44[MONTO TOTAL ESTIMADO])</f>
        <v>1500000</v>
      </c>
      <c r="H1002" s="21" t="str">
        <f>C993</f>
        <v>Servicios</v>
      </c>
      <c r="I1002" s="21" t="str">
        <f>E993</f>
        <v>No</v>
      </c>
      <c r="J1002" s="21" t="str">
        <f>D993</f>
        <v>Compras Menores</v>
      </c>
    </row>
    <row r="1004" spans="1:10" ht="33.950000000000003" customHeight="1" x14ac:dyDescent="0.25">
      <c r="A1004" s="22" t="s">
        <v>1051</v>
      </c>
      <c r="B1004" s="22" t="s">
        <v>11</v>
      </c>
      <c r="C1004" s="22" t="s">
        <v>751</v>
      </c>
      <c r="D1004" s="22" t="s">
        <v>930</v>
      </c>
      <c r="E1004" s="22" t="s">
        <v>699</v>
      </c>
      <c r="F1004" s="22" t="s">
        <v>710</v>
      </c>
    </row>
    <row r="1005" spans="1:10" ht="14.25" customHeight="1" x14ac:dyDescent="0.25">
      <c r="A1005" s="23" t="s">
        <v>1071</v>
      </c>
      <c r="B1005" s="23" t="s">
        <v>1071</v>
      </c>
      <c r="C1005" s="23" t="s">
        <v>438</v>
      </c>
      <c r="D1005" s="23" t="s">
        <v>1128</v>
      </c>
      <c r="E1005" s="23" t="s">
        <v>1156</v>
      </c>
      <c r="F1005" s="23" t="s">
        <v>436</v>
      </c>
    </row>
    <row r="1006" spans="1:10" ht="14.25" customHeight="1" x14ac:dyDescent="0.25">
      <c r="A1006" s="68" t="s">
        <v>965</v>
      </c>
      <c r="B1006" s="24" t="s">
        <v>543</v>
      </c>
      <c r="C1006" s="54">
        <v>46268</v>
      </c>
      <c r="D1006" s="68" t="s">
        <v>598</v>
      </c>
      <c r="E1006" s="56" t="s">
        <v>858</v>
      </c>
      <c r="F1006" s="57" t="s">
        <v>184</v>
      </c>
    </row>
    <row r="1007" spans="1:10" ht="14.25" customHeight="1" x14ac:dyDescent="0.25">
      <c r="A1007" s="69"/>
      <c r="B1007" s="24" t="s">
        <v>112</v>
      </c>
      <c r="C1007" s="55">
        <f>IF(C1006="","",IF(AND(MONTH(C1006)&gt;=1,MONTH(C1006)&lt;=3),1,IF(AND(MONTH(C1006)&gt;=4,MONTH(C1006)&lt;=6),2,IF(AND(MONTH(C1006)&gt;=7,MONTH(C1006)&lt;=9),3,4))))</f>
        <v>3</v>
      </c>
      <c r="D1007" s="69"/>
      <c r="E1007" s="56" t="s">
        <v>143</v>
      </c>
      <c r="F1007" s="57"/>
    </row>
    <row r="1008" spans="1:10" ht="14.25" customHeight="1" x14ac:dyDescent="0.25">
      <c r="A1008" s="69"/>
      <c r="B1008" s="24" t="s">
        <v>844</v>
      </c>
      <c r="C1008" s="54">
        <v>46295</v>
      </c>
      <c r="D1008" s="69"/>
      <c r="E1008" s="56" t="s">
        <v>183</v>
      </c>
      <c r="F1008" s="57"/>
    </row>
    <row r="1009" spans="1:10" ht="14.25" customHeight="1" x14ac:dyDescent="0.25">
      <c r="A1009" s="69"/>
      <c r="B1009" s="24" t="s">
        <v>112</v>
      </c>
      <c r="C1009" s="55">
        <f>IF(C1008="","",IF(AND(MONTH(C1008)&gt;=1,MONTH(C1008)&lt;=3),1,IF(AND(MONTH(C1008)&gt;=4,MONTH(C1008)&lt;=6),2,IF(AND(MONTH(C1008)&gt;=7,MONTH(C1008)&lt;=9),3,4))))</f>
        <v>3</v>
      </c>
      <c r="D1009" s="69"/>
      <c r="E1009" s="56" t="s">
        <v>865</v>
      </c>
      <c r="F1009" s="57"/>
    </row>
    <row r="1011" spans="1:10" ht="14.25" customHeight="1" x14ac:dyDescent="0.25">
      <c r="A1011" s="29" t="s">
        <v>1017</v>
      </c>
      <c r="B1011" s="29" t="s">
        <v>1042</v>
      </c>
      <c r="C1011" s="29" t="s">
        <v>1011</v>
      </c>
      <c r="D1011" s="29" t="s">
        <v>985</v>
      </c>
      <c r="E1011" s="29" t="s">
        <v>449</v>
      </c>
      <c r="F1011" s="29" t="s">
        <v>989</v>
      </c>
    </row>
    <row r="1012" spans="1:10" ht="14.25" customHeight="1" x14ac:dyDescent="0.25">
      <c r="A1012" s="25" t="s">
        <v>750</v>
      </c>
      <c r="B1012" s="26" t="str">
        <f ca="1">IFERROR(INDEX(UNSPSCDes,MATCH(INDIRECT(ADDRESS(ROW(),COLUMN()-1,4)),UNSPSCCode,0)),IF(INDIRECT(ADDRESS(ROW(),COLUMN()-1,4))="46191608","Sistema de supresión de incendios",""))</f>
        <v>Sistema de supresión de incendios</v>
      </c>
      <c r="C1012" s="58" t="str">
        <f>IFERROR(VLOOKUP("UD",'Informacion '!P:Q,2,FALSE),"")</f>
        <v>Unidad</v>
      </c>
      <c r="D1012" s="25">
        <v>1</v>
      </c>
      <c r="E1012" s="28">
        <v>500000</v>
      </c>
      <c r="F1012" s="27">
        <f ca="1">INDIRECT(ADDRESS(ROW(),COLUMN()-2,4))*INDIRECT(ADDRESS(ROW(),COLUMN()-1,4))</f>
        <v>500000</v>
      </c>
    </row>
    <row r="1013" spans="1:10" ht="14.25" customHeight="1" x14ac:dyDescent="0.25">
      <c r="E1013" s="30" t="s">
        <v>816</v>
      </c>
      <c r="F1013" s="31">
        <f ca="1">SUM(Table45[MONTO TOTAL ESTIMADO])</f>
        <v>500000</v>
      </c>
      <c r="H1013" s="21" t="str">
        <f>C1005</f>
        <v>Servicios</v>
      </c>
      <c r="I1013" s="21" t="str">
        <f>E1005</f>
        <v>No</v>
      </c>
      <c r="J1013" s="21" t="str">
        <f>D1005</f>
        <v>Compras Menores</v>
      </c>
    </row>
    <row r="1015" spans="1:10" ht="33.950000000000003" customHeight="1" x14ac:dyDescent="0.25">
      <c r="A1015" s="22" t="s">
        <v>1051</v>
      </c>
      <c r="B1015" s="22" t="s">
        <v>11</v>
      </c>
      <c r="C1015" s="22" t="s">
        <v>751</v>
      </c>
      <c r="D1015" s="22" t="s">
        <v>930</v>
      </c>
      <c r="E1015" s="22" t="s">
        <v>699</v>
      </c>
      <c r="F1015" s="22" t="s">
        <v>710</v>
      </c>
    </row>
    <row r="1016" spans="1:10" ht="14.25" customHeight="1" x14ac:dyDescent="0.25">
      <c r="A1016" s="23" t="s">
        <v>303</v>
      </c>
      <c r="B1016" s="23" t="s">
        <v>303</v>
      </c>
      <c r="C1016" s="23" t="s">
        <v>1155</v>
      </c>
      <c r="D1016" s="23" t="s">
        <v>654</v>
      </c>
      <c r="E1016" s="23" t="s">
        <v>1156</v>
      </c>
      <c r="F1016" s="23" t="s">
        <v>436</v>
      </c>
    </row>
    <row r="1017" spans="1:10" ht="14.25" customHeight="1" x14ac:dyDescent="0.25">
      <c r="A1017" s="68" t="s">
        <v>965</v>
      </c>
      <c r="B1017" s="24" t="s">
        <v>543</v>
      </c>
      <c r="C1017" s="54">
        <v>46328</v>
      </c>
      <c r="D1017" s="68" t="s">
        <v>598</v>
      </c>
      <c r="E1017" s="56" t="s">
        <v>858</v>
      </c>
      <c r="F1017" s="57"/>
    </row>
    <row r="1018" spans="1:10" ht="14.25" customHeight="1" x14ac:dyDescent="0.25">
      <c r="A1018" s="69"/>
      <c r="B1018" s="24" t="s">
        <v>112</v>
      </c>
      <c r="C1018" s="55">
        <f>IF(C1017="","",IF(AND(MONTH(C1017)&gt;=1,MONTH(C1017)&lt;=3),1,IF(AND(MONTH(C1017)&gt;=4,MONTH(C1017)&lt;=6),2,IF(AND(MONTH(C1017)&gt;=7,MONTH(C1017)&lt;=9),3,4))))</f>
        <v>4</v>
      </c>
      <c r="D1018" s="69"/>
      <c r="E1018" s="56" t="s">
        <v>143</v>
      </c>
      <c r="F1018" s="57"/>
    </row>
    <row r="1019" spans="1:10" ht="14.25" customHeight="1" x14ac:dyDescent="0.25">
      <c r="A1019" s="69"/>
      <c r="B1019" s="24" t="s">
        <v>844</v>
      </c>
      <c r="C1019" s="54">
        <v>46356</v>
      </c>
      <c r="D1019" s="69"/>
      <c r="E1019" s="56" t="s">
        <v>183</v>
      </c>
      <c r="F1019" s="57"/>
    </row>
    <row r="1020" spans="1:10" ht="14.25" customHeight="1" x14ac:dyDescent="0.25">
      <c r="A1020" s="69"/>
      <c r="B1020" s="24" t="s">
        <v>112</v>
      </c>
      <c r="C1020" s="55">
        <f>IF(C1019="","",IF(AND(MONTH(C1019)&gt;=1,MONTH(C1019)&lt;=3),1,IF(AND(MONTH(C1019)&gt;=4,MONTH(C1019)&lt;=6),2,IF(AND(MONTH(C1019)&gt;=7,MONTH(C1019)&lt;=9),3,4))))</f>
        <v>4</v>
      </c>
      <c r="D1020" s="69"/>
      <c r="E1020" s="56" t="s">
        <v>865</v>
      </c>
      <c r="F1020" s="57"/>
    </row>
    <row r="1022" spans="1:10" ht="14.25" customHeight="1" x14ac:dyDescent="0.25">
      <c r="A1022" s="29" t="s">
        <v>1017</v>
      </c>
      <c r="B1022" s="29" t="s">
        <v>1042</v>
      </c>
      <c r="C1022" s="29" t="s">
        <v>1011</v>
      </c>
      <c r="D1022" s="29" t="s">
        <v>985</v>
      </c>
      <c r="E1022" s="29" t="s">
        <v>449</v>
      </c>
      <c r="F1022" s="29" t="s">
        <v>989</v>
      </c>
    </row>
    <row r="1023" spans="1:10" ht="14.25" customHeight="1" x14ac:dyDescent="0.25">
      <c r="A1023" s="25" t="s">
        <v>1040</v>
      </c>
      <c r="B1023" s="26" t="str">
        <f ca="1">IFERROR(INDEX(UNSPSCDes,MATCH(INDIRECT(ADDRESS(ROW(),COLUMN()-1,4)),UNSPSCCode,0)),IF(INDIRECT(ADDRESS(ROW(),COLUMN()-1,4))="43211714","Equipos de identificación biométrica",""))</f>
        <v>Equipos de identificación biométrica</v>
      </c>
      <c r="C1023" s="58" t="str">
        <f>IFERROR(VLOOKUP("UD",'Informacion '!P:Q,2,FALSE),"")</f>
        <v>Unidad</v>
      </c>
      <c r="D1023" s="25">
        <v>10</v>
      </c>
      <c r="E1023" s="28">
        <v>45000</v>
      </c>
      <c r="F1023" s="27">
        <f ca="1">INDIRECT(ADDRESS(ROW(),COLUMN()-2,4))*INDIRECT(ADDRESS(ROW(),COLUMN()-1,4))</f>
        <v>450000</v>
      </c>
    </row>
    <row r="1024" spans="1:10" ht="14.25" customHeight="1" x14ac:dyDescent="0.25">
      <c r="E1024" s="30" t="s">
        <v>816</v>
      </c>
      <c r="F1024" s="31">
        <f ca="1">SUM(Table46[MONTO TOTAL ESTIMADO])</f>
        <v>450000</v>
      </c>
      <c r="H1024" s="21" t="str">
        <f>C1016</f>
        <v>Bienes</v>
      </c>
      <c r="I1024" s="21" t="str">
        <f>E1016</f>
        <v>No</v>
      </c>
      <c r="J1024" s="21" t="str">
        <f>D1016</f>
        <v>Compras por debajo del Umbral</v>
      </c>
    </row>
    <row r="1026" spans="1:10" ht="33.950000000000003" customHeight="1" x14ac:dyDescent="0.25">
      <c r="A1026" s="22" t="s">
        <v>1051</v>
      </c>
      <c r="B1026" s="22" t="s">
        <v>11</v>
      </c>
      <c r="C1026" s="22" t="s">
        <v>751</v>
      </c>
      <c r="D1026" s="22" t="s">
        <v>930</v>
      </c>
      <c r="E1026" s="22" t="s">
        <v>699</v>
      </c>
      <c r="F1026" s="22" t="s">
        <v>710</v>
      </c>
    </row>
    <row r="1027" spans="1:10" ht="14.25" customHeight="1" x14ac:dyDescent="0.25">
      <c r="A1027" s="23" t="s">
        <v>1096</v>
      </c>
      <c r="B1027" s="23" t="s">
        <v>1096</v>
      </c>
      <c r="C1027" s="23" t="s">
        <v>1155</v>
      </c>
      <c r="D1027" s="23" t="s">
        <v>1128</v>
      </c>
      <c r="E1027" s="23" t="s">
        <v>561</v>
      </c>
      <c r="F1027" s="23" t="s">
        <v>436</v>
      </c>
    </row>
    <row r="1028" spans="1:10" ht="14.25" customHeight="1" x14ac:dyDescent="0.25">
      <c r="A1028" s="68" t="s">
        <v>965</v>
      </c>
      <c r="B1028" s="24" t="s">
        <v>543</v>
      </c>
      <c r="C1028" s="54">
        <v>46211</v>
      </c>
      <c r="D1028" s="68" t="s">
        <v>598</v>
      </c>
      <c r="E1028" s="56" t="s">
        <v>858</v>
      </c>
      <c r="F1028" s="57" t="s">
        <v>184</v>
      </c>
    </row>
    <row r="1029" spans="1:10" ht="14.25" customHeight="1" x14ac:dyDescent="0.25">
      <c r="A1029" s="69"/>
      <c r="B1029" s="24" t="s">
        <v>112</v>
      </c>
      <c r="C1029" s="55">
        <f>IF(C1028="","",IF(AND(MONTH(C1028)&gt;=1,MONTH(C1028)&lt;=3),1,IF(AND(MONTH(C1028)&gt;=4,MONTH(C1028)&lt;=6),2,IF(AND(MONTH(C1028)&gt;=7,MONTH(C1028)&lt;=9),3,4))))</f>
        <v>3</v>
      </c>
      <c r="D1029" s="69"/>
      <c r="E1029" s="56" t="s">
        <v>143</v>
      </c>
      <c r="F1029" s="57"/>
    </row>
    <row r="1030" spans="1:10" ht="14.25" customHeight="1" x14ac:dyDescent="0.25">
      <c r="A1030" s="69"/>
      <c r="B1030" s="24" t="s">
        <v>844</v>
      </c>
      <c r="C1030" s="54">
        <v>46225</v>
      </c>
      <c r="D1030" s="69"/>
      <c r="E1030" s="56" t="s">
        <v>183</v>
      </c>
      <c r="F1030" s="57"/>
    </row>
    <row r="1031" spans="1:10" ht="14.25" customHeight="1" x14ac:dyDescent="0.25">
      <c r="A1031" s="69"/>
      <c r="B1031" s="24" t="s">
        <v>112</v>
      </c>
      <c r="C1031" s="55">
        <f>IF(C1030="","",IF(AND(MONTH(C1030)&gt;=1,MONTH(C1030)&lt;=3),1,IF(AND(MONTH(C1030)&gt;=4,MONTH(C1030)&lt;=6),2,IF(AND(MONTH(C1030)&gt;=7,MONTH(C1030)&lt;=9),3,4))))</f>
        <v>3</v>
      </c>
      <c r="D1031" s="69"/>
      <c r="E1031" s="56" t="s">
        <v>865</v>
      </c>
      <c r="F1031" s="57"/>
    </row>
    <row r="1033" spans="1:10" ht="14.25" customHeight="1" x14ac:dyDescent="0.25">
      <c r="A1033" s="29" t="s">
        <v>1017</v>
      </c>
      <c r="B1033" s="29" t="s">
        <v>1042</v>
      </c>
      <c r="C1033" s="29" t="s">
        <v>1011</v>
      </c>
      <c r="D1033" s="29" t="s">
        <v>985</v>
      </c>
      <c r="E1033" s="29" t="s">
        <v>449</v>
      </c>
      <c r="F1033" s="29" t="s">
        <v>989</v>
      </c>
    </row>
    <row r="1034" spans="1:10" ht="14.25" customHeight="1" x14ac:dyDescent="0.25">
      <c r="A1034" s="25" t="s">
        <v>950</v>
      </c>
      <c r="B1034" s="26" t="str">
        <f ca="1">IFERROR(INDEX(UNSPSCDes,MATCH(INDIRECT(ADDRESS(ROW(),COLUMN()-1,4)),UNSPSCCode,0)),IF(INDIRECT(ADDRESS(ROW(),COLUMN()-1,4))="55121807","Porta productos de identificación o accesorios",""))</f>
        <v>Porta productos de identificación o accesorios</v>
      </c>
      <c r="C1034" s="58" t="str">
        <f>IFERROR(VLOOKUP("UD",'Informacion '!P:Q,2,FALSE),"")</f>
        <v>Unidad</v>
      </c>
      <c r="D1034" s="25">
        <v>500</v>
      </c>
      <c r="E1034" s="28">
        <v>115</v>
      </c>
      <c r="F1034" s="27">
        <f ca="1">INDIRECT(ADDRESS(ROW(),COLUMN()-2,4))*INDIRECT(ADDRESS(ROW(),COLUMN()-1,4))</f>
        <v>57500</v>
      </c>
    </row>
    <row r="1035" spans="1:10" ht="14.25" customHeight="1" x14ac:dyDescent="0.25">
      <c r="A1035" s="25" t="s">
        <v>236</v>
      </c>
      <c r="B1035" s="26" t="str">
        <f ca="1">IFERROR(INDEX(UNSPSCDes,MATCH(INDIRECT(ADDRESS(ROW(),COLUMN()-1,4)),UNSPSCCode,0)),IF(INDIRECT(ADDRESS(ROW(),COLUMN()-1,4))="55121804","Gafetes o porta gafetes",""))</f>
        <v>Gafetes o porta gafetes</v>
      </c>
      <c r="C1035" s="58" t="str">
        <f>IFERROR(VLOOKUP("UD",'Informacion '!P:Q,2,FALSE),"")</f>
        <v>Unidad</v>
      </c>
      <c r="D1035" s="25">
        <v>1000</v>
      </c>
      <c r="E1035" s="28">
        <v>100</v>
      </c>
      <c r="F1035" s="27">
        <f ca="1">INDIRECT(ADDRESS(ROW(),COLUMN()-2,4))*INDIRECT(ADDRESS(ROW(),COLUMN()-1,4))</f>
        <v>100000</v>
      </c>
    </row>
    <row r="1036" spans="1:10" ht="14.25" customHeight="1" x14ac:dyDescent="0.25">
      <c r="A1036" s="25" t="s">
        <v>950</v>
      </c>
      <c r="B1036" s="26" t="str">
        <f ca="1">IFERROR(INDEX(UNSPSCDes,MATCH(INDIRECT(ADDRESS(ROW(),COLUMN()-1,4)),UNSPSCCode,0)),IF(INDIRECT(ADDRESS(ROW(),COLUMN()-1,4))="55121807","Porta productos de identificación o accesorios",""))</f>
        <v>Porta productos de identificación o accesorios</v>
      </c>
      <c r="C1036" s="58" t="str">
        <f>IFERROR(VLOOKUP("UD",'Informacion '!P:Q,2,FALSE),"")</f>
        <v>Unidad</v>
      </c>
      <c r="D1036" s="25">
        <v>500</v>
      </c>
      <c r="E1036" s="28">
        <v>115</v>
      </c>
      <c r="F1036" s="27">
        <f ca="1">INDIRECT(ADDRESS(ROW(),COLUMN()-2,4))*INDIRECT(ADDRESS(ROW(),COLUMN()-1,4))</f>
        <v>57500</v>
      </c>
    </row>
    <row r="1037" spans="1:10" ht="14.25" customHeight="1" x14ac:dyDescent="0.25">
      <c r="A1037" s="25" t="s">
        <v>236</v>
      </c>
      <c r="B1037" s="26" t="str">
        <f ca="1">IFERROR(INDEX(UNSPSCDes,MATCH(INDIRECT(ADDRESS(ROW(),COLUMN()-1,4)),UNSPSCCode,0)),IF(INDIRECT(ADDRESS(ROW(),COLUMN()-1,4))="55121804","Gafetes o porta gafetes",""))</f>
        <v>Gafetes o porta gafetes</v>
      </c>
      <c r="C1037" s="58" t="str">
        <f>IFERROR(VLOOKUP("UD",'Informacion '!P:Q,2,FALSE),"")</f>
        <v>Unidad</v>
      </c>
      <c r="D1037" s="25">
        <v>1000</v>
      </c>
      <c r="E1037" s="28">
        <v>18</v>
      </c>
      <c r="F1037" s="27">
        <f ca="1">INDIRECT(ADDRESS(ROW(),COLUMN()-2,4))*INDIRECT(ADDRESS(ROW(),COLUMN()-1,4))</f>
        <v>18000</v>
      </c>
    </row>
    <row r="1038" spans="1:10" ht="14.25" customHeight="1" x14ac:dyDescent="0.25">
      <c r="A1038" s="25" t="s">
        <v>950</v>
      </c>
      <c r="B1038" s="26" t="str">
        <f ca="1">IFERROR(INDEX(UNSPSCDes,MATCH(INDIRECT(ADDRESS(ROW(),COLUMN()-1,4)),UNSPSCCode,0)),IF(INDIRECT(ADDRESS(ROW(),COLUMN()-1,4))="55121807","Porta productos de identificación o accesorios",""))</f>
        <v>Porta productos de identificación o accesorios</v>
      </c>
      <c r="C1038" s="58" t="str">
        <f>IFERROR(VLOOKUP("UD",'Informacion '!P:Q,2,FALSE),"")</f>
        <v>Unidad</v>
      </c>
      <c r="D1038" s="25">
        <v>500</v>
      </c>
      <c r="E1038" s="28">
        <v>150</v>
      </c>
      <c r="F1038" s="27">
        <f ca="1">INDIRECT(ADDRESS(ROW(),COLUMN()-2,4))*INDIRECT(ADDRESS(ROW(),COLUMN()-1,4))</f>
        <v>75000</v>
      </c>
    </row>
    <row r="1039" spans="1:10" ht="14.25" customHeight="1" x14ac:dyDescent="0.25">
      <c r="E1039" s="30" t="s">
        <v>816</v>
      </c>
      <c r="F1039" s="31">
        <f ca="1">SUM(Table47[MONTO TOTAL ESTIMADO])</f>
        <v>308000</v>
      </c>
      <c r="H1039" s="21" t="str">
        <f>C1027</f>
        <v>Bienes</v>
      </c>
      <c r="I1039" s="21" t="str">
        <f>E1027</f>
        <v>Sí</v>
      </c>
      <c r="J1039" s="21" t="str">
        <f>D1027</f>
        <v>Compras Menores</v>
      </c>
    </row>
    <row r="1041" spans="1:6" ht="33.950000000000003" customHeight="1" x14ac:dyDescent="0.25">
      <c r="A1041" s="22" t="s">
        <v>1051</v>
      </c>
      <c r="B1041" s="22" t="s">
        <v>11</v>
      </c>
      <c r="C1041" s="22" t="s">
        <v>751</v>
      </c>
      <c r="D1041" s="22" t="s">
        <v>930</v>
      </c>
      <c r="E1041" s="22" t="s">
        <v>699</v>
      </c>
      <c r="F1041" s="22" t="s">
        <v>710</v>
      </c>
    </row>
    <row r="1042" spans="1:6" ht="14.25" customHeight="1" x14ac:dyDescent="0.25">
      <c r="A1042" s="23" t="s">
        <v>467</v>
      </c>
      <c r="B1042" s="23" t="s">
        <v>467</v>
      </c>
      <c r="C1042" s="23" t="s">
        <v>1155</v>
      </c>
      <c r="D1042" s="23" t="s">
        <v>1128</v>
      </c>
      <c r="E1042" s="23" t="s">
        <v>1156</v>
      </c>
      <c r="F1042" s="23" t="s">
        <v>436</v>
      </c>
    </row>
    <row r="1043" spans="1:6" ht="14.25" customHeight="1" x14ac:dyDescent="0.25">
      <c r="A1043" s="68" t="s">
        <v>965</v>
      </c>
      <c r="B1043" s="24" t="s">
        <v>543</v>
      </c>
      <c r="C1043" s="54">
        <v>46317</v>
      </c>
      <c r="D1043" s="68" t="s">
        <v>598</v>
      </c>
      <c r="E1043" s="56" t="s">
        <v>858</v>
      </c>
      <c r="F1043" s="57" t="s">
        <v>184</v>
      </c>
    </row>
    <row r="1044" spans="1:6" ht="14.25" customHeight="1" x14ac:dyDescent="0.25">
      <c r="A1044" s="69"/>
      <c r="B1044" s="24" t="s">
        <v>112</v>
      </c>
      <c r="C1044" s="55">
        <f>IF(C1043="","",IF(AND(MONTH(C1043)&gt;=1,MONTH(C1043)&lt;=3),1,IF(AND(MONTH(C1043)&gt;=4,MONTH(C1043)&lt;=6),2,IF(AND(MONTH(C1043)&gt;=7,MONTH(C1043)&lt;=9),3,4))))</f>
        <v>4</v>
      </c>
      <c r="D1044" s="69"/>
      <c r="E1044" s="56" t="s">
        <v>143</v>
      </c>
      <c r="F1044" s="57"/>
    </row>
    <row r="1045" spans="1:6" ht="14.25" customHeight="1" x14ac:dyDescent="0.25">
      <c r="A1045" s="69"/>
      <c r="B1045" s="24" t="s">
        <v>844</v>
      </c>
      <c r="C1045" s="54">
        <v>46327</v>
      </c>
      <c r="D1045" s="69"/>
      <c r="E1045" s="56" t="s">
        <v>183</v>
      </c>
      <c r="F1045" s="57"/>
    </row>
    <row r="1046" spans="1:6" ht="14.25" customHeight="1" x14ac:dyDescent="0.25">
      <c r="A1046" s="69"/>
      <c r="B1046" s="24" t="s">
        <v>112</v>
      </c>
      <c r="C1046" s="55">
        <f>IF(C1045="","",IF(AND(MONTH(C1045)&gt;=1,MONTH(C1045)&lt;=3),1,IF(AND(MONTH(C1045)&gt;=4,MONTH(C1045)&lt;=6),2,IF(AND(MONTH(C1045)&gt;=7,MONTH(C1045)&lt;=9),3,4))))</f>
        <v>4</v>
      </c>
      <c r="D1046" s="69"/>
      <c r="E1046" s="56" t="s">
        <v>865</v>
      </c>
      <c r="F1046" s="57"/>
    </row>
    <row r="1048" spans="1:6" ht="14.25" customHeight="1" x14ac:dyDescent="0.25">
      <c r="A1048" s="29" t="s">
        <v>1017</v>
      </c>
      <c r="B1048" s="29" t="s">
        <v>1042</v>
      </c>
      <c r="C1048" s="29" t="s">
        <v>1011</v>
      </c>
      <c r="D1048" s="29" t="s">
        <v>985</v>
      </c>
      <c r="E1048" s="29" t="s">
        <v>449</v>
      </c>
      <c r="F1048" s="29" t="s">
        <v>989</v>
      </c>
    </row>
    <row r="1049" spans="1:6" ht="14.25" customHeight="1" x14ac:dyDescent="0.25">
      <c r="A1049" s="25" t="s">
        <v>77</v>
      </c>
      <c r="B1049" s="26" t="str">
        <f ca="1">IFERROR(INDEX(UNSPSCDes,MATCH(INDIRECT(ADDRESS(ROW(),COLUMN()-1,4)),UNSPSCCode,0)),IF(INDIRECT(ADDRESS(ROW(),COLUMN()-1,4))="44122003","Carpetas",""))</f>
        <v>Carpetas</v>
      </c>
      <c r="C1049" s="58" t="str">
        <f>IFERROR(VLOOKUP("UD",'Informacion '!P:Q,2,FALSE),"")</f>
        <v>Unidad</v>
      </c>
      <c r="D1049" s="25">
        <v>100</v>
      </c>
      <c r="E1049" s="28">
        <v>191.16</v>
      </c>
      <c r="F1049" s="27">
        <f t="shared" ref="F1049:F1096" ca="1" si="33">INDIRECT(ADDRESS(ROW(),COLUMN()-2,4))*INDIRECT(ADDRESS(ROW(),COLUMN()-1,4))</f>
        <v>19116</v>
      </c>
    </row>
    <row r="1050" spans="1:6" ht="14.25" customHeight="1" x14ac:dyDescent="0.25">
      <c r="A1050" s="25" t="s">
        <v>77</v>
      </c>
      <c r="B1050" s="26" t="str">
        <f ca="1">IFERROR(INDEX(UNSPSCDes,MATCH(INDIRECT(ADDRESS(ROW(),COLUMN()-1,4)),UNSPSCCode,0)),IF(INDIRECT(ADDRESS(ROW(),COLUMN()-1,4))="44122003","Carpetas",""))</f>
        <v>Carpetas</v>
      </c>
      <c r="C1050" s="58" t="str">
        <f>IFERROR(VLOOKUP("UD",'Informacion '!P:Q,2,FALSE),"")</f>
        <v>Unidad</v>
      </c>
      <c r="D1050" s="25">
        <v>100</v>
      </c>
      <c r="E1050" s="28">
        <v>206.05</v>
      </c>
      <c r="F1050" s="27">
        <f t="shared" ca="1" si="33"/>
        <v>20605</v>
      </c>
    </row>
    <row r="1051" spans="1:6" ht="14.25" customHeight="1" x14ac:dyDescent="0.25">
      <c r="A1051" s="25" t="s">
        <v>431</v>
      </c>
      <c r="B1051" s="26" t="str">
        <f ca="1">IFERROR(INDEX(UNSPSCDes,MATCH(INDIRECT(ADDRESS(ROW(),COLUMN()-1,4)),UNSPSCCode,0)),IF(INDIRECT(ADDRESS(ROW(),COLUMN()-1,4))="31201512","Cinta transparente",""))</f>
        <v>Cinta transparente</v>
      </c>
      <c r="C1051" s="58" t="str">
        <f>IFERROR(VLOOKUP("UD",'Informacion '!P:Q,2,FALSE),"")</f>
        <v>Unidad</v>
      </c>
      <c r="D1051" s="25">
        <v>100</v>
      </c>
      <c r="E1051" s="28">
        <v>51.92</v>
      </c>
      <c r="F1051" s="27">
        <f t="shared" ca="1" si="33"/>
        <v>5192</v>
      </c>
    </row>
    <row r="1052" spans="1:6" ht="14.25" customHeight="1" x14ac:dyDescent="0.25">
      <c r="A1052" s="25" t="s">
        <v>431</v>
      </c>
      <c r="B1052" s="26" t="str">
        <f ca="1">IFERROR(INDEX(UNSPSCDes,MATCH(INDIRECT(ADDRESS(ROW(),COLUMN()-1,4)),UNSPSCCode,0)),IF(INDIRECT(ADDRESS(ROW(),COLUMN()-1,4))="31201512","Cinta transparente",""))</f>
        <v>Cinta transparente</v>
      </c>
      <c r="C1052" s="58" t="str">
        <f>IFERROR(VLOOKUP("PAQ",'Informacion '!P:Q,2,FALSE),"")</f>
        <v>Paquete</v>
      </c>
      <c r="D1052" s="25">
        <v>100</v>
      </c>
      <c r="E1052" s="28">
        <v>1233.01</v>
      </c>
      <c r="F1052" s="27">
        <f t="shared" ca="1" si="33"/>
        <v>123301</v>
      </c>
    </row>
    <row r="1053" spans="1:6" ht="14.25" customHeight="1" x14ac:dyDescent="0.25">
      <c r="A1053" s="25" t="s">
        <v>400</v>
      </c>
      <c r="B1053" s="26" t="str">
        <f ca="1">IFERROR(INDEX(UNSPSCDes,MATCH(INDIRECT(ADDRESS(ROW(),COLUMN()-1,4)),UNSPSCCode,0)),IF(INDIRECT(ADDRESS(ROW(),COLUMN()-1,4))="44122106","Alfileres o taches",""))</f>
        <v>Alfileres o taches</v>
      </c>
      <c r="C1053" s="58" t="str">
        <f>IFERROR(VLOOKUP("CAJ",'Informacion '!P:Q,2,FALSE),"")</f>
        <v>Caja</v>
      </c>
      <c r="D1053" s="25">
        <v>100</v>
      </c>
      <c r="E1053" s="28">
        <v>77.55</v>
      </c>
      <c r="F1053" s="27">
        <f t="shared" ca="1" si="33"/>
        <v>7755</v>
      </c>
    </row>
    <row r="1054" spans="1:6" ht="14.25" customHeight="1" x14ac:dyDescent="0.25">
      <c r="A1054" s="25" t="s">
        <v>431</v>
      </c>
      <c r="B1054" s="26" t="str">
        <f ca="1">IFERROR(INDEX(UNSPSCDes,MATCH(INDIRECT(ADDRESS(ROW(),COLUMN()-1,4)),UNSPSCCode,0)),IF(INDIRECT(ADDRESS(ROW(),COLUMN()-1,4))="31201512","Cinta transparente",""))</f>
        <v>Cinta transparente</v>
      </c>
      <c r="C1054" s="58" t="str">
        <f>IFERROR(VLOOKUP("UD",'Informacion '!P:Q,2,FALSE),"")</f>
        <v>Unidad</v>
      </c>
      <c r="D1054" s="25">
        <v>100</v>
      </c>
      <c r="E1054" s="28">
        <v>33.57</v>
      </c>
      <c r="F1054" s="27">
        <f t="shared" ca="1" si="33"/>
        <v>3357</v>
      </c>
    </row>
    <row r="1055" spans="1:6" ht="14.25" customHeight="1" x14ac:dyDescent="0.25">
      <c r="A1055" s="25" t="s">
        <v>429</v>
      </c>
      <c r="B1055" s="26" t="str">
        <f ca="1">IFERROR(INDEX(UNSPSCDes,MATCH(INDIRECT(ADDRESS(ROW(),COLUMN()-1,4)),UNSPSCCode,0)),IF(INDIRECT(ADDRESS(ROW(),COLUMN()-1,4))="31201505","Cinta doble faz",""))</f>
        <v>Cinta doble faz</v>
      </c>
      <c r="C1055" s="58" t="str">
        <f>IFERROR(VLOOKUP("PAQ",'Informacion '!P:Q,2,FALSE),"")</f>
        <v>Paquete</v>
      </c>
      <c r="D1055" s="25">
        <v>100</v>
      </c>
      <c r="E1055" s="28">
        <v>1144.05</v>
      </c>
      <c r="F1055" s="27">
        <f t="shared" ca="1" si="33"/>
        <v>114405</v>
      </c>
    </row>
    <row r="1056" spans="1:6" ht="14.25" customHeight="1" x14ac:dyDescent="0.25">
      <c r="A1056" s="25" t="s">
        <v>1089</v>
      </c>
      <c r="B1056" s="26" t="str">
        <f ca="1">IFERROR(INDEX(UNSPSCDes,MATCH(INDIRECT(ADDRESS(ROW(),COLUMN()-1,4)),UNSPSCCode,0)),IF(INDIRECT(ADDRESS(ROW(),COLUMN()-1,4))="44122105","Clips para carpetas o bulldog",""))</f>
        <v>Clips para carpetas o bulldog</v>
      </c>
      <c r="C1056" s="58" t="str">
        <f>IFERROR(VLOOKUP("CAJ",'Informacion '!P:Q,2,FALSE),"")</f>
        <v>Caja</v>
      </c>
      <c r="D1056" s="25">
        <v>100</v>
      </c>
      <c r="E1056" s="28">
        <v>206.05</v>
      </c>
      <c r="F1056" s="27">
        <f t="shared" ca="1" si="33"/>
        <v>20605</v>
      </c>
    </row>
    <row r="1057" spans="1:6" ht="14.25" customHeight="1" x14ac:dyDescent="0.25">
      <c r="A1057" s="25" t="s">
        <v>894</v>
      </c>
      <c r="B1057" s="26" t="str">
        <f ca="1">IFERROR(INDEX(UNSPSCDes,MATCH(INDIRECT(ADDRESS(ROW(),COLUMN()-1,4)),UNSPSCCode,0)),IF(INDIRECT(ADDRESS(ROW(),COLUMN()-1,4))="44122104","Clips para papel",""))</f>
        <v>Clips para papel</v>
      </c>
      <c r="C1057" s="58" t="str">
        <f>IFERROR(VLOOKUP("CAJ",'Informacion '!P:Q,2,FALSE),"")</f>
        <v>Caja</v>
      </c>
      <c r="D1057" s="25">
        <v>100</v>
      </c>
      <c r="E1057" s="28">
        <v>46.08</v>
      </c>
      <c r="F1057" s="27">
        <f t="shared" ca="1" si="33"/>
        <v>4608</v>
      </c>
    </row>
    <row r="1058" spans="1:6" ht="14.25" customHeight="1" x14ac:dyDescent="0.25">
      <c r="A1058" s="25" t="s">
        <v>894</v>
      </c>
      <c r="B1058" s="26" t="str">
        <f ca="1">IFERROR(INDEX(UNSPSCDes,MATCH(INDIRECT(ADDRESS(ROW(),COLUMN()-1,4)),UNSPSCCode,0)),IF(INDIRECT(ADDRESS(ROW(),COLUMN()-1,4))="44122104","Clips para papel",""))</f>
        <v>Clips para papel</v>
      </c>
      <c r="C1058" s="58" t="str">
        <f>IFERROR(VLOOKUP("CAJ",'Informacion '!P:Q,2,FALSE),"")</f>
        <v>Caja</v>
      </c>
      <c r="D1058" s="25">
        <v>100</v>
      </c>
      <c r="E1058" s="28">
        <v>23.06</v>
      </c>
      <c r="F1058" s="27">
        <f t="shared" ca="1" si="33"/>
        <v>2306</v>
      </c>
    </row>
    <row r="1059" spans="1:6" ht="14.25" customHeight="1" x14ac:dyDescent="0.25">
      <c r="A1059" s="25" t="s">
        <v>894</v>
      </c>
      <c r="B1059" s="26" t="str">
        <f ca="1">IFERROR(INDEX(UNSPSCDes,MATCH(INDIRECT(ADDRESS(ROW(),COLUMN()-1,4)),UNSPSCCode,0)),IF(INDIRECT(ADDRESS(ROW(),COLUMN()-1,4))="44122104","Clips para papel",""))</f>
        <v>Clips para papel</v>
      </c>
      <c r="C1059" s="58" t="str">
        <f>IFERROR(VLOOKUP("CAJ",'Informacion '!P:Q,2,FALSE),"")</f>
        <v>Caja</v>
      </c>
      <c r="D1059" s="25">
        <v>100</v>
      </c>
      <c r="E1059" s="28">
        <v>17.7</v>
      </c>
      <c r="F1059" s="27">
        <f t="shared" ca="1" si="33"/>
        <v>1770</v>
      </c>
    </row>
    <row r="1060" spans="1:6" ht="14.25" customHeight="1" x14ac:dyDescent="0.25">
      <c r="A1060" s="25" t="s">
        <v>675</v>
      </c>
      <c r="B1060" s="26" t="str">
        <f ca="1">IFERROR(INDEX(UNSPSCDes,MATCH(INDIRECT(ADDRESS(ROW(),COLUMN()-1,4)),UNSPSCCode,0)),IF(INDIRECT(ADDRESS(ROW(),COLUMN()-1,4))="27112819","Cuchillas de corte para encuadernación",""))</f>
        <v>Cuchillas de corte para encuadernación</v>
      </c>
      <c r="C1060" s="58" t="str">
        <f>IFERROR(VLOOKUP("UD",'Informacion '!P:Q,2,FALSE),"")</f>
        <v>Unidad</v>
      </c>
      <c r="D1060" s="25">
        <v>25</v>
      </c>
      <c r="E1060" s="28">
        <v>230.01</v>
      </c>
      <c r="F1060" s="27">
        <f t="shared" ca="1" si="33"/>
        <v>5750.25</v>
      </c>
    </row>
    <row r="1061" spans="1:6" ht="14.25" customHeight="1" x14ac:dyDescent="0.25">
      <c r="A1061" s="25" t="s">
        <v>719</v>
      </c>
      <c r="B1061" s="26" t="str">
        <f ca="1">IFERROR(INDEX(UNSPSCDes,MATCH(INDIRECT(ADDRESS(ROW(),COLUMN()-1,4)),UNSPSCCode,0)),IF(INDIRECT(ADDRESS(ROW(),COLUMN()-1,4))="44121605","Dispensadores de cinta",""))</f>
        <v>Dispensadores de cinta</v>
      </c>
      <c r="C1061" s="58" t="str">
        <f>IFERROR(VLOOKUP("UD",'Informacion '!P:Q,2,FALSE),"")</f>
        <v>Unidad</v>
      </c>
      <c r="D1061" s="25">
        <v>100</v>
      </c>
      <c r="E1061" s="28">
        <v>167.56</v>
      </c>
      <c r="F1061" s="27">
        <f t="shared" ca="1" si="33"/>
        <v>16756</v>
      </c>
    </row>
    <row r="1062" spans="1:6" ht="14.25" customHeight="1" x14ac:dyDescent="0.25">
      <c r="A1062" s="25" t="s">
        <v>532</v>
      </c>
      <c r="B1062" s="26" t="str">
        <f ca="1">IFERROR(INDEX(UNSPSCDes,MATCH(INDIRECT(ADDRESS(ROW(),COLUMN()-1,4)),UNSPSCCode,0)),IF(INDIRECT(ADDRESS(ROW(),COLUMN()-1,4))="31201603","Gomas",""))</f>
        <v>Gomas</v>
      </c>
      <c r="C1062" s="58" t="str">
        <f>IFERROR(VLOOKUP("CAJ",'Informacion '!P:Q,2,FALSE),"")</f>
        <v>Caja</v>
      </c>
      <c r="D1062" s="25">
        <v>300</v>
      </c>
      <c r="E1062" s="28">
        <v>65</v>
      </c>
      <c r="F1062" s="27">
        <f t="shared" ca="1" si="33"/>
        <v>19500</v>
      </c>
    </row>
    <row r="1063" spans="1:6" ht="14.25" customHeight="1" x14ac:dyDescent="0.25">
      <c r="A1063" s="25" t="s">
        <v>1202</v>
      </c>
      <c r="B1063" s="26" t="str">
        <f ca="1">IFERROR(INDEX(UNSPSCDes,MATCH(INDIRECT(ADDRESS(ROW(),COLUMN()-1,4)),UNSPSCCode,0)),IF(INDIRECT(ADDRESS(ROW(),COLUMN()-1,4))="60121526","Bolígrafos para caligrafía",""))</f>
        <v>Bolígrafos para caligrafía</v>
      </c>
      <c r="C1063" s="58" t="str">
        <f>IFERROR(VLOOKUP("CAJ",'Informacion '!P:Q,2,FALSE),"")</f>
        <v>Caja</v>
      </c>
      <c r="D1063" s="25">
        <v>1200</v>
      </c>
      <c r="E1063" s="28">
        <v>40</v>
      </c>
      <c r="F1063" s="27">
        <f t="shared" ca="1" si="33"/>
        <v>48000</v>
      </c>
    </row>
    <row r="1064" spans="1:6" ht="14.25" customHeight="1" x14ac:dyDescent="0.25">
      <c r="A1064" s="25" t="s">
        <v>499</v>
      </c>
      <c r="B1064" s="26" t="str">
        <f ca="1">IFERROR(INDEX(UNSPSCDes,MATCH(INDIRECT(ADDRESS(ROW(),COLUMN()-1,4)),UNSPSCCode,0)),IF(INDIRECT(ADDRESS(ROW(),COLUMN()-1,4))="44122011","Folders",""))</f>
        <v>Folders</v>
      </c>
      <c r="C1064" s="58" t="str">
        <f>IFERROR(VLOOKUP("CAJ",'Informacion '!P:Q,2,FALSE),"")</f>
        <v>Caja</v>
      </c>
      <c r="D1064" s="25">
        <v>100</v>
      </c>
      <c r="E1064" s="28">
        <v>1680</v>
      </c>
      <c r="F1064" s="27">
        <f t="shared" ca="1" si="33"/>
        <v>168000</v>
      </c>
    </row>
    <row r="1065" spans="1:6" ht="14.25" customHeight="1" x14ac:dyDescent="0.25">
      <c r="A1065" s="25" t="s">
        <v>499</v>
      </c>
      <c r="B1065" s="26" t="str">
        <f ca="1">IFERROR(INDEX(UNSPSCDes,MATCH(INDIRECT(ADDRESS(ROW(),COLUMN()-1,4)),UNSPSCCode,0)),IF(INDIRECT(ADDRESS(ROW(),COLUMN()-1,4))="44122011","Folders",""))</f>
        <v>Folders</v>
      </c>
      <c r="C1065" s="58" t="str">
        <f>IFERROR(VLOOKUP("CAJ",'Informacion '!P:Q,2,FALSE),"")</f>
        <v>Caja</v>
      </c>
      <c r="D1065" s="25">
        <v>100</v>
      </c>
      <c r="E1065" s="28">
        <v>1955.83</v>
      </c>
      <c r="F1065" s="27">
        <f t="shared" ca="1" si="33"/>
        <v>195583</v>
      </c>
    </row>
    <row r="1066" spans="1:6" ht="14.25" customHeight="1" x14ac:dyDescent="0.25">
      <c r="A1066" s="25" t="s">
        <v>499</v>
      </c>
      <c r="B1066" s="26" t="str">
        <f ca="1">IFERROR(INDEX(UNSPSCDes,MATCH(INDIRECT(ADDRESS(ROW(),COLUMN()-1,4)),UNSPSCCode,0)),IF(INDIRECT(ADDRESS(ROW(),COLUMN()-1,4))="44122011","Folders",""))</f>
        <v>Folders</v>
      </c>
      <c r="C1066" s="58" t="str">
        <f>IFERROR(VLOOKUP("CAJ",'Informacion '!P:Q,2,FALSE),"")</f>
        <v>Caja</v>
      </c>
      <c r="D1066" s="25">
        <v>100</v>
      </c>
      <c r="E1066" s="28">
        <v>446.04</v>
      </c>
      <c r="F1066" s="27">
        <f t="shared" ca="1" si="33"/>
        <v>44604</v>
      </c>
    </row>
    <row r="1067" spans="1:6" ht="14.25" customHeight="1" x14ac:dyDescent="0.25">
      <c r="A1067" s="25" t="s">
        <v>474</v>
      </c>
      <c r="B1067" s="26" t="str">
        <f ca="1">IFERROR(INDEX(UNSPSCDes,MATCH(INDIRECT(ADDRESS(ROW(),COLUMN()-1,4)),UNSPSCCode,0)),IF(INDIRECT(ADDRESS(ROW(),COLUMN()-1,4))="60121532","Borradores de goma moldeable",""))</f>
        <v>Borradores de goma moldeable</v>
      </c>
      <c r="C1067" s="58" t="str">
        <f>IFERROR(VLOOKUP("UD",'Informacion '!P:Q,2,FALSE),"")</f>
        <v>Unidad</v>
      </c>
      <c r="D1067" s="25">
        <v>100</v>
      </c>
      <c r="E1067" s="28">
        <v>54.28</v>
      </c>
      <c r="F1067" s="27">
        <f t="shared" ca="1" si="33"/>
        <v>5428</v>
      </c>
    </row>
    <row r="1068" spans="1:6" ht="14.25" customHeight="1" x14ac:dyDescent="0.25">
      <c r="A1068" s="25" t="s">
        <v>419</v>
      </c>
      <c r="B1068" s="26" t="str">
        <f ca="1">IFERROR(INDEX(UNSPSCDes,MATCH(INDIRECT(ADDRESS(ROW(),COLUMN()-1,4)),UNSPSCCode,0)),IF(INDIRECT(ADDRESS(ROW(),COLUMN()-1,4))="44101707","Unidades de grapadoras",""))</f>
        <v>Unidades de grapadoras</v>
      </c>
      <c r="C1068" s="58" t="str">
        <f>IFERROR(VLOOKUP("UD",'Informacion '!P:Q,2,FALSE),"")</f>
        <v>Unidad</v>
      </c>
      <c r="D1068" s="25">
        <v>100</v>
      </c>
      <c r="E1068" s="28">
        <v>464.92</v>
      </c>
      <c r="F1068" s="27">
        <f t="shared" ca="1" si="33"/>
        <v>46492</v>
      </c>
    </row>
    <row r="1069" spans="1:6" ht="14.25" customHeight="1" x14ac:dyDescent="0.25">
      <c r="A1069" s="25" t="s">
        <v>332</v>
      </c>
      <c r="B1069" s="26" t="str">
        <f ca="1">IFERROR(INDEX(UNSPSCDes,MATCH(INDIRECT(ADDRESS(ROW(),COLUMN()-1,4)),UNSPSCCode,0)),IF(INDIRECT(ADDRESS(ROW(),COLUMN()-1,4))="60121522","Bolígrafos de base acuosa",""))</f>
        <v>Bolígrafos de base acuosa</v>
      </c>
      <c r="C1069" s="58" t="str">
        <f>IFERROR(VLOOKUP("CAJ",'Informacion '!P:Q,2,FALSE),"")</f>
        <v>Caja</v>
      </c>
      <c r="D1069" s="25">
        <v>100</v>
      </c>
      <c r="E1069" s="28">
        <v>120</v>
      </c>
      <c r="F1069" s="27">
        <f t="shared" ca="1" si="33"/>
        <v>12000</v>
      </c>
    </row>
    <row r="1070" spans="1:6" ht="14.25" customHeight="1" x14ac:dyDescent="0.25">
      <c r="A1070" s="25" t="s">
        <v>800</v>
      </c>
      <c r="B1070" s="26" t="str">
        <f ca="1">IFERROR(INDEX(UNSPSCDes,MATCH(INDIRECT(ADDRESS(ROW(),COLUMN()-1,4)),UNSPSCCode,0)),IF(INDIRECT(ADDRESS(ROW(),COLUMN()-1,4))="44121706","Lápices de madera",""))</f>
        <v>Lápices de madera</v>
      </c>
      <c r="C1070" s="58" t="str">
        <f>IFERROR(VLOOKUP("CAJ",'Informacion '!P:Q,2,FALSE),"")</f>
        <v>Caja</v>
      </c>
      <c r="D1070" s="25">
        <v>150</v>
      </c>
      <c r="E1070" s="28">
        <v>70</v>
      </c>
      <c r="F1070" s="27">
        <f t="shared" ca="1" si="33"/>
        <v>10500</v>
      </c>
    </row>
    <row r="1071" spans="1:6" ht="14.25" customHeight="1" x14ac:dyDescent="0.25">
      <c r="A1071" s="25" t="s">
        <v>430</v>
      </c>
      <c r="B1071" s="26" t="str">
        <f ca="1">IFERROR(INDEX(UNSPSCDes,MATCH(INDIRECT(ADDRESS(ROW(),COLUMN()-1,4)),UNSPSCCode,0)),IF(INDIRECT(ADDRESS(ROW(),COLUMN()-1,4))="44102002","Bolsas de laminadores",""))</f>
        <v>Bolsas de laminadores</v>
      </c>
      <c r="C1071" s="58" t="str">
        <f>IFERROR(VLOOKUP("CAJ",'Informacion '!P:Q,2,FALSE),"")</f>
        <v>Caja</v>
      </c>
      <c r="D1071" s="25">
        <v>1</v>
      </c>
      <c r="E1071" s="28">
        <v>100</v>
      </c>
      <c r="F1071" s="27">
        <f t="shared" ca="1" si="33"/>
        <v>100</v>
      </c>
    </row>
    <row r="1072" spans="1:6" ht="14.25" customHeight="1" x14ac:dyDescent="0.25">
      <c r="A1072" s="25" t="s">
        <v>208</v>
      </c>
      <c r="B1072" s="26" t="str">
        <f ca="1">IFERROR(INDEX(UNSPSCDes,MATCH(INDIRECT(ADDRESS(ROW(),COLUMN()-1,4)),UNSPSCCode,0)),IF(INDIRECT(ADDRESS(ROW(),COLUMN()-1,4))="14111810","Formatos o libros de personal",""))</f>
        <v>Formatos o libros de personal</v>
      </c>
      <c r="C1072" s="58" t="str">
        <f>IFERROR(VLOOKUP("UD",'Informacion '!P:Q,2,FALSE),"")</f>
        <v>Unidad</v>
      </c>
      <c r="D1072" s="25">
        <v>100</v>
      </c>
      <c r="E1072" s="28">
        <v>258</v>
      </c>
      <c r="F1072" s="27">
        <f t="shared" ca="1" si="33"/>
        <v>25800</v>
      </c>
    </row>
    <row r="1073" spans="1:6" ht="14.25" customHeight="1" x14ac:dyDescent="0.25">
      <c r="A1073" s="25" t="s">
        <v>208</v>
      </c>
      <c r="B1073" s="26" t="str">
        <f ca="1">IFERROR(INDEX(UNSPSCDes,MATCH(INDIRECT(ADDRESS(ROW(),COLUMN()-1,4)),UNSPSCCode,0)),IF(INDIRECT(ADDRESS(ROW(),COLUMN()-1,4))="14111810","Formatos o libros de personal",""))</f>
        <v>Formatos o libros de personal</v>
      </c>
      <c r="C1073" s="58" t="str">
        <f>IFERROR(VLOOKUP("UD",'Informacion '!P:Q,2,FALSE),"")</f>
        <v>Unidad</v>
      </c>
      <c r="D1073" s="25">
        <v>100</v>
      </c>
      <c r="E1073" s="28">
        <v>352</v>
      </c>
      <c r="F1073" s="27">
        <f t="shared" ca="1" si="33"/>
        <v>35200</v>
      </c>
    </row>
    <row r="1074" spans="1:6" ht="14.25" customHeight="1" x14ac:dyDescent="0.25">
      <c r="A1074" s="25" t="s">
        <v>799</v>
      </c>
      <c r="B1074" s="26" t="str">
        <f ca="1">IFERROR(INDEX(UNSPSCDes,MATCH(INDIRECT(ADDRESS(ROW(),COLUMN()-1,4)),UNSPSCCode,0)),IF(INDIRECT(ADDRESS(ROW(),COLUMN()-1,4))="44121716","Resaltadores",""))</f>
        <v>Resaltadores</v>
      </c>
      <c r="C1074" s="58" t="str">
        <f>IFERROR(VLOOKUP("CAJ",'Informacion '!P:Q,2,FALSE),"")</f>
        <v>Caja</v>
      </c>
      <c r="D1074" s="25">
        <v>100</v>
      </c>
      <c r="E1074" s="28">
        <v>778.08</v>
      </c>
      <c r="F1074" s="27">
        <f t="shared" ca="1" si="33"/>
        <v>77808</v>
      </c>
    </row>
    <row r="1075" spans="1:6" ht="14.25" customHeight="1" x14ac:dyDescent="0.25">
      <c r="A1075" s="25" t="s">
        <v>799</v>
      </c>
      <c r="B1075" s="26" t="str">
        <f ca="1">IFERROR(INDEX(UNSPSCDes,MATCH(INDIRECT(ADDRESS(ROW(),COLUMN()-1,4)),UNSPSCCode,0)),IF(INDIRECT(ADDRESS(ROW(),COLUMN()-1,4))="44121716","Resaltadores",""))</f>
        <v>Resaltadores</v>
      </c>
      <c r="C1075" s="58" t="str">
        <f>IFERROR(VLOOKUP("UD",'Informacion '!P:Q,2,FALSE),"")</f>
        <v>Unidad</v>
      </c>
      <c r="D1075" s="25">
        <v>75</v>
      </c>
      <c r="E1075" s="28">
        <v>67.260000000000005</v>
      </c>
      <c r="F1075" s="27">
        <f t="shared" ca="1" si="33"/>
        <v>5044.5</v>
      </c>
    </row>
    <row r="1076" spans="1:6" ht="14.25" customHeight="1" x14ac:dyDescent="0.25">
      <c r="A1076" s="25" t="s">
        <v>799</v>
      </c>
      <c r="B1076" s="26" t="str">
        <f ca="1">IFERROR(INDEX(UNSPSCDes,MATCH(INDIRECT(ADDRESS(ROW(),COLUMN()-1,4)),UNSPSCCode,0)),IF(INDIRECT(ADDRESS(ROW(),COLUMN()-1,4))="44121716","Resaltadores",""))</f>
        <v>Resaltadores</v>
      </c>
      <c r="C1076" s="58" t="str">
        <f>IFERROR(VLOOKUP("UD",'Informacion '!P:Q,2,FALSE),"")</f>
        <v>Unidad</v>
      </c>
      <c r="D1076" s="25">
        <v>75</v>
      </c>
      <c r="E1076" s="28">
        <v>67.260000000000005</v>
      </c>
      <c r="F1076" s="27">
        <f t="shared" ca="1" si="33"/>
        <v>5044.5</v>
      </c>
    </row>
    <row r="1077" spans="1:6" ht="14.25" customHeight="1" x14ac:dyDescent="0.25">
      <c r="A1077" s="25" t="s">
        <v>139</v>
      </c>
      <c r="B1077" s="26" t="str">
        <f ca="1">IFERROR(INDEX(UNSPSCDes,MATCH(INDIRECT(ADDRESS(ROW(),COLUMN()-1,4)),UNSPSCCode,0)),IF(INDIRECT(ADDRESS(ROW(),COLUMN()-1,4))="44121708","Marcadores",""))</f>
        <v>Marcadores</v>
      </c>
      <c r="C1077" s="58" t="str">
        <f>IFERROR(VLOOKUP("UD",'Informacion '!P:Q,2,FALSE),"")</f>
        <v>Unidad</v>
      </c>
      <c r="D1077" s="25">
        <v>75</v>
      </c>
      <c r="E1077" s="28">
        <v>67.260000000000005</v>
      </c>
      <c r="F1077" s="27">
        <f t="shared" ca="1" si="33"/>
        <v>5044.5</v>
      </c>
    </row>
    <row r="1078" spans="1:6" ht="14.25" customHeight="1" x14ac:dyDescent="0.25">
      <c r="A1078" s="25" t="s">
        <v>139</v>
      </c>
      <c r="B1078" s="26" t="str">
        <f ca="1">IFERROR(INDEX(UNSPSCDes,MATCH(INDIRECT(ADDRESS(ROW(),COLUMN()-1,4)),UNSPSCCode,0)),IF(INDIRECT(ADDRESS(ROW(),COLUMN()-1,4))="44121708","Marcadores",""))</f>
        <v>Marcadores</v>
      </c>
      <c r="C1078" s="58" t="str">
        <f>IFERROR(VLOOKUP("UD",'Informacion '!P:Q,2,FALSE),"")</f>
        <v>Unidad</v>
      </c>
      <c r="D1078" s="25">
        <v>75</v>
      </c>
      <c r="E1078" s="28">
        <v>67.260000000000005</v>
      </c>
      <c r="F1078" s="27">
        <f t="shared" ca="1" si="33"/>
        <v>5044.5</v>
      </c>
    </row>
    <row r="1079" spans="1:6" ht="14.25" customHeight="1" x14ac:dyDescent="0.25">
      <c r="A1079" s="25" t="s">
        <v>226</v>
      </c>
      <c r="B1079" s="26" t="str">
        <f ca="1">IFERROR(INDEX(UNSPSCDes,MATCH(INDIRECT(ADDRESS(ROW(),COLUMN()-1,4)),UNSPSCCode,0)),IF(INDIRECT(ADDRESS(ROW(),COLUMN()-1,4))="44101602","Máquinas perforadoras o para unir papel",""))</f>
        <v>Máquinas perforadoras o para unir papel</v>
      </c>
      <c r="C1079" s="58" t="str">
        <f>IFERROR(VLOOKUP("UD",'Informacion '!P:Q,2,FALSE),"")</f>
        <v>Unidad</v>
      </c>
      <c r="D1079" s="25">
        <v>25</v>
      </c>
      <c r="E1079" s="28">
        <v>359.9</v>
      </c>
      <c r="F1079" s="27">
        <f t="shared" ca="1" si="33"/>
        <v>8997.5</v>
      </c>
    </row>
    <row r="1080" spans="1:6" ht="14.25" customHeight="1" x14ac:dyDescent="0.25">
      <c r="A1080" s="25" t="s">
        <v>590</v>
      </c>
      <c r="B1080" s="26" t="str">
        <f ca="1">IFERROR(INDEX(UNSPSCDes,MATCH(INDIRECT(ADDRESS(ROW(),COLUMN()-1,4)),UNSPSCCode,0)),IF(INDIRECT(ADDRESS(ROW(),COLUMN()-1,4))="44111911","Tableros blancos interactivos o accesorios",""))</f>
        <v>Tableros blancos interactivos o accesorios</v>
      </c>
      <c r="C1080" s="58" t="str">
        <f>IFERROR(VLOOKUP("UD",'Informacion '!P:Q,2,FALSE),"")</f>
        <v>Unidad</v>
      </c>
      <c r="D1080" s="25">
        <v>15</v>
      </c>
      <c r="E1080" s="28">
        <v>2025</v>
      </c>
      <c r="F1080" s="27">
        <f t="shared" ca="1" si="33"/>
        <v>30375</v>
      </c>
    </row>
    <row r="1081" spans="1:6" ht="14.25" customHeight="1" x14ac:dyDescent="0.25">
      <c r="A1081" s="25" t="s">
        <v>590</v>
      </c>
      <c r="B1081" s="26" t="str">
        <f ca="1">IFERROR(INDEX(UNSPSCDes,MATCH(INDIRECT(ADDRESS(ROW(),COLUMN()-1,4)),UNSPSCCode,0)),IF(INDIRECT(ADDRESS(ROW(),COLUMN()-1,4))="44111911","Tableros blancos interactivos o accesorios",""))</f>
        <v>Tableros blancos interactivos o accesorios</v>
      </c>
      <c r="C1081" s="58" t="str">
        <f>IFERROR(VLOOKUP("UD",'Informacion '!P:Q,2,FALSE),"")</f>
        <v>Unidad</v>
      </c>
      <c r="D1081" s="25">
        <v>15</v>
      </c>
      <c r="E1081" s="28">
        <v>887</v>
      </c>
      <c r="F1081" s="27">
        <f t="shared" ca="1" si="33"/>
        <v>13305</v>
      </c>
    </row>
    <row r="1082" spans="1:6" ht="14.25" customHeight="1" x14ac:dyDescent="0.25">
      <c r="A1082" s="25" t="s">
        <v>580</v>
      </c>
      <c r="B1082" s="26" t="str">
        <f ca="1">IFERROR(INDEX(UNSPSCDes,MATCH(INDIRECT(ADDRESS(ROW(),COLUMN()-1,4)),UNSPSCCode,0)),IF(INDIRECT(ADDRESS(ROW(),COLUMN()-1,4))="44121628","Contenedores o dispensadores de clips",""))</f>
        <v>Contenedores o dispensadores de clips</v>
      </c>
      <c r="C1082" s="58" t="str">
        <f>IFERROR(VLOOKUP("UD",'Informacion '!P:Q,2,FALSE),"")</f>
        <v>Unidad</v>
      </c>
      <c r="D1082" s="25">
        <v>100</v>
      </c>
      <c r="E1082" s="28">
        <v>47.2</v>
      </c>
      <c r="F1082" s="27">
        <f t="shared" ca="1" si="33"/>
        <v>4720</v>
      </c>
    </row>
    <row r="1083" spans="1:6" ht="14.25" customHeight="1" x14ac:dyDescent="0.25">
      <c r="A1083" s="25" t="s">
        <v>580</v>
      </c>
      <c r="B1083" s="26" t="str">
        <f ca="1">IFERROR(INDEX(UNSPSCDes,MATCH(INDIRECT(ADDRESS(ROW(),COLUMN()-1,4)),UNSPSCCode,0)),IF(INDIRECT(ADDRESS(ROW(),COLUMN()-1,4))="44121628","Contenedores o dispensadores de clips",""))</f>
        <v>Contenedores o dispensadores de clips</v>
      </c>
      <c r="C1083" s="58" t="str">
        <f>IFERROR(VLOOKUP("UD",'Informacion '!P:Q,2,FALSE),"")</f>
        <v>Unidad</v>
      </c>
      <c r="D1083" s="25">
        <v>100</v>
      </c>
      <c r="E1083" s="28">
        <v>42.17</v>
      </c>
      <c r="F1083" s="27">
        <f t="shared" ca="1" si="33"/>
        <v>4217</v>
      </c>
    </row>
    <row r="1084" spans="1:6" ht="14.25" customHeight="1" x14ac:dyDescent="0.25">
      <c r="A1084" s="25" t="s">
        <v>580</v>
      </c>
      <c r="B1084" s="26" t="str">
        <f ca="1">IFERROR(INDEX(UNSPSCDes,MATCH(INDIRECT(ADDRESS(ROW(),COLUMN()-1,4)),UNSPSCCode,0)),IF(INDIRECT(ADDRESS(ROW(),COLUMN()-1,4))="44121628","Contenedores o dispensadores de clips",""))</f>
        <v>Contenedores o dispensadores de clips</v>
      </c>
      <c r="C1084" s="58" t="str">
        <f>IFERROR(VLOOKUP("UD",'Informacion '!P:Q,2,FALSE),"")</f>
        <v>Unidad</v>
      </c>
      <c r="D1084" s="25">
        <v>100</v>
      </c>
      <c r="E1084" s="28">
        <v>12.15</v>
      </c>
      <c r="F1084" s="27">
        <f t="shared" ca="1" si="33"/>
        <v>1215</v>
      </c>
    </row>
    <row r="1085" spans="1:6" ht="14.25" customHeight="1" x14ac:dyDescent="0.25">
      <c r="A1085" s="25" t="s">
        <v>42</v>
      </c>
      <c r="B1085" s="26" t="str">
        <f ca="1">IFERROR(INDEX(UNSPSCDes,MATCH(INDIRECT(ADDRESS(ROW(),COLUMN()-1,4)),UNSPSCCode,0)),IF(INDIRECT(ADDRESS(ROW(),COLUMN()-1,4))="44111509","Sujetadores de esferos o lápices",""))</f>
        <v>Sujetadores de esferos o lápices</v>
      </c>
      <c r="C1085" s="58" t="str">
        <f>IFERROR(VLOOKUP("UD",'Informacion '!P:Q,2,FALSE),"")</f>
        <v>Unidad</v>
      </c>
      <c r="D1085" s="25">
        <v>100</v>
      </c>
      <c r="E1085" s="28">
        <v>147.5</v>
      </c>
      <c r="F1085" s="27">
        <f t="shared" ca="1" si="33"/>
        <v>14750</v>
      </c>
    </row>
    <row r="1086" spans="1:6" ht="14.25" customHeight="1" x14ac:dyDescent="0.25">
      <c r="A1086" s="25" t="s">
        <v>105</v>
      </c>
      <c r="B1086" s="26" t="str">
        <f ca="1">IFERROR(INDEX(UNSPSCDes,MATCH(INDIRECT(ADDRESS(ROW(),COLUMN()-1,4)),UNSPSCCode,0)),IF(INDIRECT(ADDRESS(ROW(),COLUMN()-1,4))="44122002","Protectores de hojas",""))</f>
        <v>Protectores de hojas</v>
      </c>
      <c r="C1086" s="58" t="str">
        <f>IFERROR(VLOOKUP("PAQ",'Informacion '!P:Q,2,FALSE),"")</f>
        <v>Paquete</v>
      </c>
      <c r="D1086" s="25">
        <v>200</v>
      </c>
      <c r="E1086" s="28">
        <v>325.68</v>
      </c>
      <c r="F1086" s="27">
        <f t="shared" ca="1" si="33"/>
        <v>65136</v>
      </c>
    </row>
    <row r="1087" spans="1:6" ht="14.25" customHeight="1" x14ac:dyDescent="0.25">
      <c r="A1087" s="25" t="s">
        <v>940</v>
      </c>
      <c r="B1087" s="26" t="str">
        <f ca="1">IFERROR(INDEX(UNSPSCDes,MATCH(INDIRECT(ADDRESS(ROW(),COLUMN()-1,4)),UNSPSCCode,0)),IF(INDIRECT(ADDRESS(ROW(),COLUMN()-1,4))="41111604","Reglas",""))</f>
        <v>Reglas</v>
      </c>
      <c r="C1087" s="58" t="str">
        <f>IFERROR(VLOOKUP("UD",'Informacion '!P:Q,2,FALSE),"")</f>
        <v>Unidad</v>
      </c>
      <c r="D1087" s="25">
        <v>100</v>
      </c>
      <c r="E1087" s="28">
        <v>17.7</v>
      </c>
      <c r="F1087" s="27">
        <f t="shared" ca="1" si="33"/>
        <v>1770</v>
      </c>
    </row>
    <row r="1088" spans="1:6" ht="14.25" customHeight="1" x14ac:dyDescent="0.25">
      <c r="A1088" s="25" t="s">
        <v>489</v>
      </c>
      <c r="B1088" s="26" t="str">
        <f ca="1">IFERROR(INDEX(UNSPSCDes,MATCH(INDIRECT(ADDRESS(ROW(),COLUMN()-1,4)),UNSPSCCode,0)),IF(INDIRECT(ADDRESS(ROW(),COLUMN()-1,4))="44121619","Tajalápices manuales.",""))</f>
        <v>Tajalápices manuales.</v>
      </c>
      <c r="C1088" s="58" t="str">
        <f>IFERROR(VLOOKUP("UD",'Informacion '!P:Q,2,FALSE),"")</f>
        <v>Unidad</v>
      </c>
      <c r="D1088" s="25">
        <v>25</v>
      </c>
      <c r="E1088" s="28">
        <v>22.42</v>
      </c>
      <c r="F1088" s="27">
        <f t="shared" ca="1" si="33"/>
        <v>560.5</v>
      </c>
    </row>
    <row r="1089" spans="1:10" ht="14.25" customHeight="1" x14ac:dyDescent="0.25">
      <c r="A1089" s="25" t="s">
        <v>1035</v>
      </c>
      <c r="B1089" s="26" t="str">
        <f ca="1">IFERROR(INDEX(UNSPSCDes,MATCH(INDIRECT(ADDRESS(ROW(),COLUMN()-1,4)),UNSPSCCode,0)),IF(INDIRECT(ADDRESS(ROW(),COLUMN()-1,4))="44121506","Sobres estándar",""))</f>
        <v>Sobres estándar</v>
      </c>
      <c r="C1089" s="58" t="str">
        <f>IFERROR(VLOOKUP("CAJ",'Informacion '!P:Q,2,FALSE),"")</f>
        <v>Caja</v>
      </c>
      <c r="D1089" s="25">
        <v>5</v>
      </c>
      <c r="E1089" s="28">
        <v>2253.8000000000002</v>
      </c>
      <c r="F1089" s="27">
        <f t="shared" ca="1" si="33"/>
        <v>11269</v>
      </c>
    </row>
    <row r="1090" spans="1:10" ht="14.25" customHeight="1" x14ac:dyDescent="0.25">
      <c r="A1090" s="25" t="s">
        <v>364</v>
      </c>
      <c r="B1090" s="26" t="str">
        <f ca="1">IFERROR(INDEX(UNSPSCDes,MATCH(INDIRECT(ADDRESS(ROW(),COLUMN()-1,4)),UNSPSCCode,0)),IF(INDIRECT(ADDRESS(ROW(),COLUMN()-1,4))="60121152","Tablillas de escritura",""))</f>
        <v>Tablillas de escritura</v>
      </c>
      <c r="C1090" s="58" t="str">
        <f>IFERROR(VLOOKUP("UD",'Informacion '!P:Q,2,FALSE),"")</f>
        <v>Unidad</v>
      </c>
      <c r="D1090" s="25">
        <v>100</v>
      </c>
      <c r="E1090" s="28">
        <v>129.80000000000001</v>
      </c>
      <c r="F1090" s="27">
        <f t="shared" ca="1" si="33"/>
        <v>12980.000000000002</v>
      </c>
    </row>
    <row r="1091" spans="1:10" ht="14.25" customHeight="1" x14ac:dyDescent="0.25">
      <c r="A1091" s="25" t="s">
        <v>969</v>
      </c>
      <c r="B1091" s="26" t="str">
        <f ca="1">IFERROR(INDEX(UNSPSCDes,MATCH(INDIRECT(ADDRESS(ROW(),COLUMN()-1,4)),UNSPSCCode,0)),IF(INDIRECT(ADDRESS(ROW(),COLUMN()-1,4))="12171703","Tintas",""))</f>
        <v>Tintas</v>
      </c>
      <c r="C1091" s="58" t="str">
        <f>IFERROR(VLOOKUP("UD",'Informacion '!P:Q,2,FALSE),"")</f>
        <v>Unidad</v>
      </c>
      <c r="D1091" s="25">
        <v>300</v>
      </c>
      <c r="E1091" s="28">
        <v>62.25</v>
      </c>
      <c r="F1091" s="27">
        <f t="shared" ca="1" si="33"/>
        <v>18675</v>
      </c>
    </row>
    <row r="1092" spans="1:10" ht="14.25" customHeight="1" x14ac:dyDescent="0.25">
      <c r="A1092" s="25" t="s">
        <v>581</v>
      </c>
      <c r="B1092" s="26" t="str">
        <f ca="1">IFERROR(INDEX(UNSPSCDes,MATCH(INDIRECT(ADDRESS(ROW(),COLUMN()-1,4)),UNSPSCCode,0)),IF(INDIRECT(ADDRESS(ROW(),COLUMN()-1,4))="44121618","Tijeras",""))</f>
        <v>Tijeras</v>
      </c>
      <c r="C1092" s="58" t="str">
        <f>IFERROR(VLOOKUP("UD",'Informacion '!P:Q,2,FALSE),"")</f>
        <v>Unidad</v>
      </c>
      <c r="D1092" s="25">
        <v>100</v>
      </c>
      <c r="E1092" s="28">
        <v>61.36</v>
      </c>
      <c r="F1092" s="27">
        <f t="shared" ca="1" si="33"/>
        <v>6136</v>
      </c>
    </row>
    <row r="1093" spans="1:10" ht="14.25" customHeight="1" x14ac:dyDescent="0.25">
      <c r="A1093" s="25" t="s">
        <v>1041</v>
      </c>
      <c r="B1093" s="26" t="str">
        <f ca="1">IFERROR(INDEX(UNSPSCDes,MATCH(INDIRECT(ADDRESS(ROW(),COLUMN()-1,4)),UNSPSCCode,0)),IF(INDIRECT(ADDRESS(ROW(),COLUMN()-1,4))="11111606","Pizarra",""))</f>
        <v>Pizarra</v>
      </c>
      <c r="C1093" s="58" t="str">
        <f>IFERROR(VLOOKUP("UD",'Informacion '!P:Q,2,FALSE),"")</f>
        <v>Unidad</v>
      </c>
      <c r="D1093" s="25">
        <v>30</v>
      </c>
      <c r="E1093" s="28">
        <v>800</v>
      </c>
      <c r="F1093" s="27">
        <f t="shared" ca="1" si="33"/>
        <v>24000</v>
      </c>
    </row>
    <row r="1094" spans="1:10" ht="14.25" customHeight="1" x14ac:dyDescent="0.25">
      <c r="A1094" s="25" t="s">
        <v>1041</v>
      </c>
      <c r="B1094" s="26" t="str">
        <f ca="1">IFERROR(INDEX(UNSPSCDes,MATCH(INDIRECT(ADDRESS(ROW(),COLUMN()-1,4)),UNSPSCCode,0)),IF(INDIRECT(ADDRESS(ROW(),COLUMN()-1,4))="11111606","Pizarra",""))</f>
        <v>Pizarra</v>
      </c>
      <c r="C1094" s="58" t="str">
        <f>IFERROR(VLOOKUP("UD",'Informacion '!P:Q,2,FALSE),"")</f>
        <v>Unidad</v>
      </c>
      <c r="D1094" s="25">
        <v>30</v>
      </c>
      <c r="E1094" s="28">
        <v>2750</v>
      </c>
      <c r="F1094" s="27">
        <f t="shared" ca="1" si="33"/>
        <v>82500</v>
      </c>
    </row>
    <row r="1095" spans="1:10" ht="14.25" customHeight="1" x14ac:dyDescent="0.25">
      <c r="A1095" s="25" t="s">
        <v>499</v>
      </c>
      <c r="B1095" s="26" t="str">
        <f ca="1">IFERROR(INDEX(UNSPSCDes,MATCH(INDIRECT(ADDRESS(ROW(),COLUMN()-1,4)),UNSPSCCode,0)),IF(INDIRECT(ADDRESS(ROW(),COLUMN()-1,4))="44122011","Folders",""))</f>
        <v>Folders</v>
      </c>
      <c r="C1095" s="58" t="str">
        <f>IFERROR(VLOOKUP("CAJ",'Informacion '!P:Q,2,FALSE),"")</f>
        <v>Caja</v>
      </c>
      <c r="D1095" s="25">
        <v>10</v>
      </c>
      <c r="E1095" s="28">
        <v>1216</v>
      </c>
      <c r="F1095" s="27">
        <f t="shared" ca="1" si="33"/>
        <v>12160</v>
      </c>
    </row>
    <row r="1096" spans="1:10" ht="14.25" customHeight="1" x14ac:dyDescent="0.25">
      <c r="A1096" s="25" t="s">
        <v>364</v>
      </c>
      <c r="B1096" s="26" t="str">
        <f ca="1">IFERROR(INDEX(UNSPSCDes,MATCH(INDIRECT(ADDRESS(ROW(),COLUMN()-1,4)),UNSPSCCode,0)),IF(INDIRECT(ADDRESS(ROW(),COLUMN()-1,4))="60121152","Tablillas de escritura",""))</f>
        <v>Tablillas de escritura</v>
      </c>
      <c r="C1096" s="58" t="str">
        <f>IFERROR(VLOOKUP("UD",'Informacion '!P:Q,2,FALSE),"")</f>
        <v>Unidad</v>
      </c>
      <c r="D1096" s="25">
        <v>100</v>
      </c>
      <c r="E1096" s="28">
        <v>129</v>
      </c>
      <c r="F1096" s="27">
        <f t="shared" ca="1" si="33"/>
        <v>12900</v>
      </c>
    </row>
    <row r="1097" spans="1:10" ht="14.25" customHeight="1" x14ac:dyDescent="0.25">
      <c r="E1097" s="30" t="s">
        <v>816</v>
      </c>
      <c r="F1097" s="31">
        <f ca="1">SUM(Table48[MONTO TOTAL ESTIMADO])</f>
        <v>1380385.25</v>
      </c>
      <c r="H1097" s="21" t="str">
        <f>C1042</f>
        <v>Bienes</v>
      </c>
      <c r="I1097" s="21" t="str">
        <f>E1042</f>
        <v>No</v>
      </c>
      <c r="J1097" s="21" t="str">
        <f>D1042</f>
        <v>Compras Menores</v>
      </c>
    </row>
    <row r="1099" spans="1:10" ht="33.950000000000003" customHeight="1" x14ac:dyDescent="0.25">
      <c r="A1099" s="22" t="s">
        <v>1051</v>
      </c>
      <c r="B1099" s="22" t="s">
        <v>11</v>
      </c>
      <c r="C1099" s="22" t="s">
        <v>751</v>
      </c>
      <c r="D1099" s="22" t="s">
        <v>930</v>
      </c>
      <c r="E1099" s="22" t="s">
        <v>699</v>
      </c>
      <c r="F1099" s="22" t="s">
        <v>710</v>
      </c>
    </row>
    <row r="1100" spans="1:10" ht="14.25" customHeight="1" x14ac:dyDescent="0.25">
      <c r="A1100" s="23" t="s">
        <v>1021</v>
      </c>
      <c r="B1100" s="23" t="s">
        <v>485</v>
      </c>
      <c r="C1100" s="23" t="s">
        <v>1155</v>
      </c>
      <c r="D1100" s="23" t="s">
        <v>146</v>
      </c>
      <c r="E1100" s="23" t="s">
        <v>1156</v>
      </c>
      <c r="F1100" s="23" t="s">
        <v>436</v>
      </c>
    </row>
    <row r="1101" spans="1:10" ht="14.25" customHeight="1" x14ac:dyDescent="0.25">
      <c r="A1101" s="68" t="s">
        <v>965</v>
      </c>
      <c r="B1101" s="24" t="s">
        <v>543</v>
      </c>
      <c r="C1101" s="54">
        <v>46055</v>
      </c>
      <c r="D1101" s="68" t="s">
        <v>598</v>
      </c>
      <c r="E1101" s="56" t="s">
        <v>858</v>
      </c>
      <c r="F1101" s="57" t="s">
        <v>184</v>
      </c>
    </row>
    <row r="1102" spans="1:10" ht="14.25" customHeight="1" x14ac:dyDescent="0.25">
      <c r="A1102" s="69"/>
      <c r="B1102" s="24" t="s">
        <v>112</v>
      </c>
      <c r="C1102" s="55">
        <f>IF(C1101="","",IF(AND(MONTH(C1101)&gt;=1,MONTH(C1101)&lt;=3),1,IF(AND(MONTH(C1101)&gt;=4,MONTH(C1101)&lt;=6),2,IF(AND(MONTH(C1101)&gt;=7,MONTH(C1101)&lt;=9),3,4))))</f>
        <v>1</v>
      </c>
      <c r="D1102" s="69"/>
      <c r="E1102" s="56" t="s">
        <v>143</v>
      </c>
      <c r="F1102" s="57"/>
    </row>
    <row r="1103" spans="1:10" ht="14.25" customHeight="1" x14ac:dyDescent="0.25">
      <c r="A1103" s="69"/>
      <c r="B1103" s="24" t="s">
        <v>844</v>
      </c>
      <c r="C1103" s="54">
        <v>46142</v>
      </c>
      <c r="D1103" s="69"/>
      <c r="E1103" s="56" t="s">
        <v>183</v>
      </c>
      <c r="F1103" s="57"/>
    </row>
    <row r="1104" spans="1:10" ht="14.25" customHeight="1" x14ac:dyDescent="0.25">
      <c r="A1104" s="69"/>
      <c r="B1104" s="24" t="s">
        <v>112</v>
      </c>
      <c r="C1104" s="55">
        <f>IF(C1103="","",IF(AND(MONTH(C1103)&gt;=1,MONTH(C1103)&lt;=3),1,IF(AND(MONTH(C1103)&gt;=4,MONTH(C1103)&lt;=6),2,IF(AND(MONTH(C1103)&gt;=7,MONTH(C1103)&lt;=9),3,4))))</f>
        <v>2</v>
      </c>
      <c r="D1104" s="69"/>
      <c r="E1104" s="56" t="s">
        <v>865</v>
      </c>
      <c r="F1104" s="57"/>
    </row>
    <row r="1106" spans="1:6" ht="14.25" customHeight="1" x14ac:dyDescent="0.25">
      <c r="A1106" s="29" t="s">
        <v>1017</v>
      </c>
      <c r="B1106" s="29" t="s">
        <v>1042</v>
      </c>
      <c r="C1106" s="29" t="s">
        <v>1011</v>
      </c>
      <c r="D1106" s="29" t="s">
        <v>985</v>
      </c>
      <c r="E1106" s="29" t="s">
        <v>449</v>
      </c>
      <c r="F1106" s="29" t="s">
        <v>989</v>
      </c>
    </row>
    <row r="1107" spans="1:6" ht="14.25" customHeight="1" x14ac:dyDescent="0.25">
      <c r="A1107" s="25" t="s">
        <v>289</v>
      </c>
      <c r="B1107" s="26" t="str">
        <f t="shared" ref="B1107:B1122" ca="1" si="34">IFERROR(INDEX(UNSPSCDes,MATCH(INDIRECT(ADDRESS(ROW(),COLUMN()-1,4)),UNSPSCCode,0)),IF(INDIRECT(ADDRESS(ROW(),COLUMN()-1,4))="25172504","Neumáticos para automoviles o camiones ligeros",""))</f>
        <v>Neumáticos para automoviles o camiones ligeros</v>
      </c>
      <c r="C1107" s="58" t="str">
        <f>IFERROR(VLOOKUP("UD",'Informacion '!P:Q,2,FALSE),"")</f>
        <v>Unidad</v>
      </c>
      <c r="D1107" s="25">
        <v>120</v>
      </c>
      <c r="E1107" s="28">
        <v>9800</v>
      </c>
      <c r="F1107" s="27">
        <f t="shared" ref="F1107:F1122" ca="1" si="35">INDIRECT(ADDRESS(ROW(),COLUMN()-2,4))*INDIRECT(ADDRESS(ROW(),COLUMN()-1,4))</f>
        <v>1176000</v>
      </c>
    </row>
    <row r="1108" spans="1:6" ht="14.25" customHeight="1" x14ac:dyDescent="0.25">
      <c r="A1108" s="25" t="s">
        <v>289</v>
      </c>
      <c r="B1108" s="26" t="str">
        <f t="shared" ca="1" si="34"/>
        <v>Neumáticos para automoviles o camiones ligeros</v>
      </c>
      <c r="C1108" s="58" t="str">
        <f>IFERROR(VLOOKUP("UD",'Informacion '!P:Q,2,FALSE),"")</f>
        <v>Unidad</v>
      </c>
      <c r="D1108" s="25">
        <v>80</v>
      </c>
      <c r="E1108" s="28">
        <v>12500</v>
      </c>
      <c r="F1108" s="27">
        <f t="shared" ca="1" si="35"/>
        <v>1000000</v>
      </c>
    </row>
    <row r="1109" spans="1:6" ht="14.25" customHeight="1" x14ac:dyDescent="0.25">
      <c r="A1109" s="25" t="s">
        <v>289</v>
      </c>
      <c r="B1109" s="26" t="str">
        <f t="shared" ca="1" si="34"/>
        <v>Neumáticos para automoviles o camiones ligeros</v>
      </c>
      <c r="C1109" s="58" t="str">
        <f>IFERROR(VLOOKUP("UD",'Informacion '!P:Q,2,FALSE),"")</f>
        <v>Unidad</v>
      </c>
      <c r="D1109" s="25">
        <v>32</v>
      </c>
      <c r="E1109" s="28">
        <v>10900.92</v>
      </c>
      <c r="F1109" s="27">
        <f t="shared" ca="1" si="35"/>
        <v>348829.44</v>
      </c>
    </row>
    <row r="1110" spans="1:6" ht="14.25" customHeight="1" x14ac:dyDescent="0.25">
      <c r="A1110" s="25" t="s">
        <v>289</v>
      </c>
      <c r="B1110" s="26" t="str">
        <f t="shared" ca="1" si="34"/>
        <v>Neumáticos para automoviles o camiones ligeros</v>
      </c>
      <c r="C1110" s="58" t="str">
        <f>IFERROR(VLOOKUP("UD",'Informacion '!P:Q,2,FALSE),"")</f>
        <v>Unidad</v>
      </c>
      <c r="D1110" s="25">
        <v>36</v>
      </c>
      <c r="E1110" s="28">
        <v>14429.94</v>
      </c>
      <c r="F1110" s="27">
        <f t="shared" ca="1" si="35"/>
        <v>519477.84</v>
      </c>
    </row>
    <row r="1111" spans="1:6" ht="14.25" customHeight="1" x14ac:dyDescent="0.25">
      <c r="A1111" s="25" t="s">
        <v>289</v>
      </c>
      <c r="B1111" s="26" t="str">
        <f t="shared" ca="1" si="34"/>
        <v>Neumáticos para automoviles o camiones ligeros</v>
      </c>
      <c r="C1111" s="58" t="str">
        <f>IFERROR(VLOOKUP("UD",'Informacion '!P:Q,2,FALSE),"")</f>
        <v>Unidad</v>
      </c>
      <c r="D1111" s="25">
        <v>48</v>
      </c>
      <c r="E1111" s="28">
        <v>12531.3</v>
      </c>
      <c r="F1111" s="27">
        <f t="shared" ca="1" si="35"/>
        <v>601502.39999999991</v>
      </c>
    </row>
    <row r="1112" spans="1:6" ht="14.25" customHeight="1" x14ac:dyDescent="0.25">
      <c r="A1112" s="25" t="s">
        <v>289</v>
      </c>
      <c r="B1112" s="26" t="str">
        <f t="shared" ca="1" si="34"/>
        <v>Neumáticos para automoviles o camiones ligeros</v>
      </c>
      <c r="C1112" s="58" t="str">
        <f>IFERROR(VLOOKUP("UD",'Informacion '!P:Q,2,FALSE),"")</f>
        <v>Unidad</v>
      </c>
      <c r="D1112" s="25">
        <v>50</v>
      </c>
      <c r="E1112" s="28">
        <v>14000</v>
      </c>
      <c r="F1112" s="27">
        <f t="shared" ca="1" si="35"/>
        <v>700000</v>
      </c>
    </row>
    <row r="1113" spans="1:6" ht="14.25" customHeight="1" x14ac:dyDescent="0.25">
      <c r="A1113" s="25" t="s">
        <v>289</v>
      </c>
      <c r="B1113" s="26" t="str">
        <f t="shared" ca="1" si="34"/>
        <v>Neumáticos para automoviles o camiones ligeros</v>
      </c>
      <c r="C1113" s="58" t="str">
        <f>IFERROR(VLOOKUP("UD",'Informacion '!P:Q,2,FALSE),"")</f>
        <v>Unidad</v>
      </c>
      <c r="D1113" s="25">
        <v>36</v>
      </c>
      <c r="E1113" s="28">
        <v>28000</v>
      </c>
      <c r="F1113" s="27">
        <f t="shared" ca="1" si="35"/>
        <v>1008000</v>
      </c>
    </row>
    <row r="1114" spans="1:6" ht="14.25" customHeight="1" x14ac:dyDescent="0.25">
      <c r="A1114" s="25" t="s">
        <v>289</v>
      </c>
      <c r="B1114" s="26" t="str">
        <f t="shared" ca="1" si="34"/>
        <v>Neumáticos para automoviles o camiones ligeros</v>
      </c>
      <c r="C1114" s="58" t="str">
        <f>IFERROR(VLOOKUP("UD",'Informacion '!P:Q,2,FALSE),"")</f>
        <v>Unidad</v>
      </c>
      <c r="D1114" s="25">
        <v>36</v>
      </c>
      <c r="E1114" s="28">
        <v>10990</v>
      </c>
      <c r="F1114" s="27">
        <f t="shared" ca="1" si="35"/>
        <v>395640</v>
      </c>
    </row>
    <row r="1115" spans="1:6" ht="14.25" customHeight="1" x14ac:dyDescent="0.25">
      <c r="A1115" s="25" t="s">
        <v>289</v>
      </c>
      <c r="B1115" s="26" t="str">
        <f t="shared" ca="1" si="34"/>
        <v>Neumáticos para automoviles o camiones ligeros</v>
      </c>
      <c r="C1115" s="58" t="str">
        <f>IFERROR(VLOOKUP("UD",'Informacion '!P:Q,2,FALSE),"")</f>
        <v>Unidad</v>
      </c>
      <c r="D1115" s="25">
        <v>12</v>
      </c>
      <c r="E1115" s="28">
        <v>15000</v>
      </c>
      <c r="F1115" s="27">
        <f t="shared" ca="1" si="35"/>
        <v>180000</v>
      </c>
    </row>
    <row r="1116" spans="1:6" ht="14.25" customHeight="1" x14ac:dyDescent="0.25">
      <c r="A1116" s="25" t="s">
        <v>289</v>
      </c>
      <c r="B1116" s="26" t="str">
        <f t="shared" ca="1" si="34"/>
        <v>Neumáticos para automoviles o camiones ligeros</v>
      </c>
      <c r="C1116" s="58" t="str">
        <f>IFERROR(VLOOKUP("UD",'Informacion '!P:Q,2,FALSE),"")</f>
        <v>Unidad</v>
      </c>
      <c r="D1116" s="25">
        <v>40</v>
      </c>
      <c r="E1116" s="28">
        <v>3200</v>
      </c>
      <c r="F1116" s="27">
        <f t="shared" ca="1" si="35"/>
        <v>128000</v>
      </c>
    </row>
    <row r="1117" spans="1:6" ht="14.25" customHeight="1" x14ac:dyDescent="0.25">
      <c r="A1117" s="25" t="s">
        <v>289</v>
      </c>
      <c r="B1117" s="26" t="str">
        <f t="shared" ca="1" si="34"/>
        <v>Neumáticos para automoviles o camiones ligeros</v>
      </c>
      <c r="C1117" s="58" t="str">
        <f>IFERROR(VLOOKUP("UD",'Informacion '!P:Q,2,FALSE),"")</f>
        <v>Unidad</v>
      </c>
      <c r="D1117" s="25">
        <v>40</v>
      </c>
      <c r="E1117" s="28">
        <v>3800</v>
      </c>
      <c r="F1117" s="27">
        <f t="shared" ca="1" si="35"/>
        <v>152000</v>
      </c>
    </row>
    <row r="1118" spans="1:6" ht="14.25" customHeight="1" x14ac:dyDescent="0.25">
      <c r="A1118" s="25" t="s">
        <v>289</v>
      </c>
      <c r="B1118" s="26" t="str">
        <f t="shared" ca="1" si="34"/>
        <v>Neumáticos para automoviles o camiones ligeros</v>
      </c>
      <c r="C1118" s="58" t="str">
        <f>IFERROR(VLOOKUP("UD",'Informacion '!P:Q,2,FALSE),"")</f>
        <v>Unidad</v>
      </c>
      <c r="D1118" s="25">
        <v>24</v>
      </c>
      <c r="E1118" s="28">
        <v>12000</v>
      </c>
      <c r="F1118" s="27">
        <f t="shared" ca="1" si="35"/>
        <v>288000</v>
      </c>
    </row>
    <row r="1119" spans="1:6" ht="14.25" customHeight="1" x14ac:dyDescent="0.25">
      <c r="A1119" s="25" t="s">
        <v>289</v>
      </c>
      <c r="B1119" s="26" t="str">
        <f t="shared" ca="1" si="34"/>
        <v>Neumáticos para automoviles o camiones ligeros</v>
      </c>
      <c r="C1119" s="58" t="str">
        <f>IFERROR(VLOOKUP("UD",'Informacion '!P:Q,2,FALSE),"")</f>
        <v>Unidad</v>
      </c>
      <c r="D1119" s="25">
        <v>8</v>
      </c>
      <c r="E1119" s="28">
        <v>23000</v>
      </c>
      <c r="F1119" s="27">
        <f t="shared" ca="1" si="35"/>
        <v>184000</v>
      </c>
    </row>
    <row r="1120" spans="1:6" ht="14.25" customHeight="1" x14ac:dyDescent="0.25">
      <c r="A1120" s="25" t="s">
        <v>289</v>
      </c>
      <c r="B1120" s="26" t="str">
        <f t="shared" ca="1" si="34"/>
        <v>Neumáticos para automoviles o camiones ligeros</v>
      </c>
      <c r="C1120" s="58" t="str">
        <f>IFERROR(VLOOKUP("UD",'Informacion '!P:Q,2,FALSE),"")</f>
        <v>Unidad</v>
      </c>
      <c r="D1120" s="25">
        <v>8</v>
      </c>
      <c r="E1120" s="28">
        <v>13000</v>
      </c>
      <c r="F1120" s="27">
        <f t="shared" ca="1" si="35"/>
        <v>104000</v>
      </c>
    </row>
    <row r="1121" spans="1:10" ht="14.25" customHeight="1" x14ac:dyDescent="0.25">
      <c r="A1121" s="25" t="s">
        <v>289</v>
      </c>
      <c r="B1121" s="26" t="str">
        <f t="shared" ca="1" si="34"/>
        <v>Neumáticos para automoviles o camiones ligeros</v>
      </c>
      <c r="C1121" s="58" t="str">
        <f>IFERROR(VLOOKUP("UD",'Informacion '!P:Q,2,FALSE),"")</f>
        <v>Unidad</v>
      </c>
      <c r="D1121" s="25">
        <v>20</v>
      </c>
      <c r="E1121" s="28">
        <v>16912.990000000002</v>
      </c>
      <c r="F1121" s="27">
        <f t="shared" ca="1" si="35"/>
        <v>338259.80000000005</v>
      </c>
    </row>
    <row r="1122" spans="1:10" ht="14.25" customHeight="1" x14ac:dyDescent="0.25">
      <c r="A1122" s="25" t="s">
        <v>289</v>
      </c>
      <c r="B1122" s="26" t="str">
        <f t="shared" ca="1" si="34"/>
        <v>Neumáticos para automoviles o camiones ligeros</v>
      </c>
      <c r="C1122" s="58" t="str">
        <f>IFERROR(VLOOKUP("UD",'Informacion '!P:Q,2,FALSE),"")</f>
        <v>Unidad</v>
      </c>
      <c r="D1122" s="25">
        <v>8</v>
      </c>
      <c r="E1122" s="28">
        <v>9500</v>
      </c>
      <c r="F1122" s="27">
        <f t="shared" ca="1" si="35"/>
        <v>76000</v>
      </c>
    </row>
    <row r="1123" spans="1:10" ht="14.25" customHeight="1" x14ac:dyDescent="0.25">
      <c r="E1123" s="30" t="s">
        <v>816</v>
      </c>
      <c r="F1123" s="31">
        <f ca="1">SUM(Table49[MONTO TOTAL ESTIMADO])</f>
        <v>7199709.4799999995</v>
      </c>
      <c r="H1123" s="21" t="str">
        <f>C1100</f>
        <v>Bienes</v>
      </c>
      <c r="I1123" s="21" t="str">
        <f>E1100</f>
        <v>No</v>
      </c>
      <c r="J1123" s="21" t="str">
        <f>D1100</f>
        <v>Licitacion Publica</v>
      </c>
    </row>
    <row r="1125" spans="1:10" ht="33.950000000000003" customHeight="1" x14ac:dyDescent="0.25">
      <c r="A1125" s="22" t="s">
        <v>1051</v>
      </c>
      <c r="B1125" s="22" t="s">
        <v>11</v>
      </c>
      <c r="C1125" s="22" t="s">
        <v>751</v>
      </c>
      <c r="D1125" s="22" t="s">
        <v>930</v>
      </c>
      <c r="E1125" s="22" t="s">
        <v>699</v>
      </c>
      <c r="F1125" s="22" t="s">
        <v>710</v>
      </c>
    </row>
    <row r="1126" spans="1:10" ht="14.25" customHeight="1" x14ac:dyDescent="0.25">
      <c r="A1126" s="23" t="s">
        <v>1079</v>
      </c>
      <c r="B1126" s="23" t="s">
        <v>1079</v>
      </c>
      <c r="C1126" s="23" t="s">
        <v>438</v>
      </c>
      <c r="D1126" s="23" t="s">
        <v>116</v>
      </c>
      <c r="E1126" s="23" t="s">
        <v>1156</v>
      </c>
      <c r="F1126" s="23" t="s">
        <v>436</v>
      </c>
    </row>
    <row r="1127" spans="1:10" ht="14.25" customHeight="1" x14ac:dyDescent="0.25">
      <c r="A1127" s="68" t="s">
        <v>965</v>
      </c>
      <c r="B1127" s="24" t="s">
        <v>543</v>
      </c>
      <c r="C1127" s="54">
        <v>46096</v>
      </c>
      <c r="D1127" s="68" t="s">
        <v>598</v>
      </c>
      <c r="E1127" s="56" t="s">
        <v>858</v>
      </c>
      <c r="F1127" s="57" t="s">
        <v>184</v>
      </c>
    </row>
    <row r="1128" spans="1:10" ht="14.25" customHeight="1" x14ac:dyDescent="0.25">
      <c r="A1128" s="69"/>
      <c r="B1128" s="24" t="s">
        <v>112</v>
      </c>
      <c r="C1128" s="55">
        <f>IF(C1127="","",IF(AND(MONTH(C1127)&gt;=1,MONTH(C1127)&lt;=3),1,IF(AND(MONTH(C1127)&gt;=4,MONTH(C1127)&lt;=6),2,IF(AND(MONTH(C1127)&gt;=7,MONTH(C1127)&lt;=9),3,4))))</f>
        <v>1</v>
      </c>
      <c r="D1128" s="69"/>
      <c r="E1128" s="56" t="s">
        <v>143</v>
      </c>
      <c r="F1128" s="57"/>
    </row>
    <row r="1129" spans="1:10" ht="14.25" customHeight="1" x14ac:dyDescent="0.25">
      <c r="A1129" s="69"/>
      <c r="B1129" s="24" t="s">
        <v>844</v>
      </c>
      <c r="C1129" s="54">
        <v>46112</v>
      </c>
      <c r="D1129" s="69"/>
      <c r="E1129" s="56" t="s">
        <v>183</v>
      </c>
      <c r="F1129" s="57"/>
    </row>
    <row r="1130" spans="1:10" ht="14.25" customHeight="1" x14ac:dyDescent="0.25">
      <c r="A1130" s="69"/>
      <c r="B1130" s="24" t="s">
        <v>112</v>
      </c>
      <c r="C1130" s="55">
        <f>IF(C1129="","",IF(AND(MONTH(C1129)&gt;=1,MONTH(C1129)&lt;=3),1,IF(AND(MONTH(C1129)&gt;=4,MONTH(C1129)&lt;=6),2,IF(AND(MONTH(C1129)&gt;=7,MONTH(C1129)&lt;=9),3,4))))</f>
        <v>1</v>
      </c>
      <c r="D1130" s="69"/>
      <c r="E1130" s="56" t="s">
        <v>865</v>
      </c>
      <c r="F1130" s="57"/>
    </row>
    <row r="1132" spans="1:10" ht="14.25" customHeight="1" x14ac:dyDescent="0.25">
      <c r="A1132" s="29" t="s">
        <v>1017</v>
      </c>
      <c r="B1132" s="29" t="s">
        <v>1042</v>
      </c>
      <c r="C1132" s="29" t="s">
        <v>1011</v>
      </c>
      <c r="D1132" s="29" t="s">
        <v>985</v>
      </c>
      <c r="E1132" s="29" t="s">
        <v>449</v>
      </c>
      <c r="F1132" s="29" t="s">
        <v>989</v>
      </c>
    </row>
    <row r="1133" spans="1:10" ht="14.25" customHeight="1" x14ac:dyDescent="0.25">
      <c r="A1133" s="25" t="s">
        <v>201</v>
      </c>
      <c r="B1133" s="26" t="str">
        <f ca="1">IFERROR(INDEX(UNSPSCDes,MATCH(INDIRECT(ADDRESS(ROW(),COLUMN()-1,4)),UNSPSCCode,0)),IF(INDIRECT(ADDRESS(ROW(),COLUMN()-1,4))="80141607","Gestión de eventos",""))</f>
        <v>Gestión de eventos</v>
      </c>
      <c r="C1133" s="58" t="str">
        <f>IFERROR(VLOOKUP("UD",'Informacion '!P:Q,2,FALSE),"")</f>
        <v>Unidad</v>
      </c>
      <c r="D1133" s="25">
        <v>1</v>
      </c>
      <c r="E1133" s="28">
        <v>160000</v>
      </c>
      <c r="F1133" s="27">
        <f ca="1">INDIRECT(ADDRESS(ROW(),COLUMN()-2,4))*INDIRECT(ADDRESS(ROW(),COLUMN()-1,4))</f>
        <v>160000</v>
      </c>
    </row>
    <row r="1134" spans="1:10" ht="14.25" customHeight="1" x14ac:dyDescent="0.25">
      <c r="A1134" s="25" t="s">
        <v>630</v>
      </c>
      <c r="B1134" s="26" t="str">
        <f ca="1">IFERROR(INDEX(UNSPSCDes,MATCH(INDIRECT(ADDRESS(ROW(),COLUMN()-1,4)),UNSPSCCode,0)),IF(INDIRECT(ADDRESS(ROW(),COLUMN()-1,4))="80141902","Reuniones y eventos",""))</f>
        <v>Reuniones y eventos</v>
      </c>
      <c r="C1134" s="58" t="str">
        <f>IFERROR(VLOOKUP("UD",'Informacion '!P:Q,2,FALSE),"")</f>
        <v>Unidad</v>
      </c>
      <c r="D1134" s="25">
        <v>1</v>
      </c>
      <c r="E1134" s="28">
        <v>20000</v>
      </c>
      <c r="F1134" s="27">
        <f ca="1">INDIRECT(ADDRESS(ROW(),COLUMN()-2,4))*INDIRECT(ADDRESS(ROW(),COLUMN()-1,4))</f>
        <v>20000</v>
      </c>
    </row>
    <row r="1135" spans="1:10" ht="14.25" customHeight="1" x14ac:dyDescent="0.25">
      <c r="E1135" s="30" t="s">
        <v>816</v>
      </c>
      <c r="F1135" s="31">
        <f ca="1">SUM(Table50[MONTO TOTAL ESTIMADO])</f>
        <v>180000</v>
      </c>
      <c r="H1135" s="21" t="str">
        <f>C1126</f>
        <v>Servicios</v>
      </c>
      <c r="I1135" s="21" t="str">
        <f>E1126</f>
        <v>No</v>
      </c>
      <c r="J1135" s="21" t="str">
        <f>D1126</f>
        <v>Comparacion de Precios</v>
      </c>
    </row>
    <row r="1137" spans="1:10" ht="33.950000000000003" customHeight="1" x14ac:dyDescent="0.25">
      <c r="A1137" s="22" t="s">
        <v>1051</v>
      </c>
      <c r="B1137" s="22" t="s">
        <v>11</v>
      </c>
      <c r="C1137" s="22" t="s">
        <v>751</v>
      </c>
      <c r="D1137" s="22" t="s">
        <v>930</v>
      </c>
      <c r="E1137" s="22" t="s">
        <v>699</v>
      </c>
      <c r="F1137" s="22" t="s">
        <v>710</v>
      </c>
    </row>
    <row r="1138" spans="1:10" ht="14.25" customHeight="1" x14ac:dyDescent="0.25">
      <c r="A1138" s="23" t="s">
        <v>628</v>
      </c>
      <c r="B1138" s="23" t="s">
        <v>628</v>
      </c>
      <c r="C1138" s="23" t="s">
        <v>1155</v>
      </c>
      <c r="D1138" s="23" t="s">
        <v>1128</v>
      </c>
      <c r="E1138" s="23" t="s">
        <v>385</v>
      </c>
      <c r="F1138" s="23" t="s">
        <v>436</v>
      </c>
    </row>
    <row r="1139" spans="1:10" ht="14.25" customHeight="1" x14ac:dyDescent="0.25">
      <c r="A1139" s="68" t="s">
        <v>965</v>
      </c>
      <c r="B1139" s="24" t="s">
        <v>543</v>
      </c>
      <c r="C1139" s="54">
        <v>46068</v>
      </c>
      <c r="D1139" s="68" t="s">
        <v>598</v>
      </c>
      <c r="E1139" s="56" t="s">
        <v>858</v>
      </c>
      <c r="F1139" s="57" t="s">
        <v>184</v>
      </c>
    </row>
    <row r="1140" spans="1:10" ht="14.25" customHeight="1" x14ac:dyDescent="0.25">
      <c r="A1140" s="69"/>
      <c r="B1140" s="24" t="s">
        <v>112</v>
      </c>
      <c r="C1140" s="55">
        <f>IF(C1139="","",IF(AND(MONTH(C1139)&gt;=1,MONTH(C1139)&lt;=3),1,IF(AND(MONTH(C1139)&gt;=4,MONTH(C1139)&lt;=6),2,IF(AND(MONTH(C1139)&gt;=7,MONTH(C1139)&lt;=9),3,4))))</f>
        <v>1</v>
      </c>
      <c r="D1140" s="69"/>
      <c r="E1140" s="56" t="s">
        <v>143</v>
      </c>
      <c r="F1140" s="57"/>
    </row>
    <row r="1141" spans="1:10" ht="14.25" customHeight="1" x14ac:dyDescent="0.25">
      <c r="A1141" s="69"/>
      <c r="B1141" s="24" t="s">
        <v>844</v>
      </c>
      <c r="C1141" s="54">
        <v>46103</v>
      </c>
      <c r="D1141" s="69"/>
      <c r="E1141" s="56" t="s">
        <v>183</v>
      </c>
      <c r="F1141" s="57"/>
    </row>
    <row r="1142" spans="1:10" ht="14.25" customHeight="1" x14ac:dyDescent="0.25">
      <c r="A1142" s="69"/>
      <c r="B1142" s="24" t="s">
        <v>112</v>
      </c>
      <c r="C1142" s="55">
        <f>IF(C1141="","",IF(AND(MONTH(C1141)&gt;=1,MONTH(C1141)&lt;=3),1,IF(AND(MONTH(C1141)&gt;=4,MONTH(C1141)&lt;=6),2,IF(AND(MONTH(C1141)&gt;=7,MONTH(C1141)&lt;=9),3,4))))</f>
        <v>1</v>
      </c>
      <c r="D1142" s="69"/>
      <c r="E1142" s="56" t="s">
        <v>865</v>
      </c>
      <c r="F1142" s="57"/>
    </row>
    <row r="1144" spans="1:10" ht="14.25" customHeight="1" x14ac:dyDescent="0.25">
      <c r="A1144" s="29" t="s">
        <v>1017</v>
      </c>
      <c r="B1144" s="29" t="s">
        <v>1042</v>
      </c>
      <c r="C1144" s="29" t="s">
        <v>1011</v>
      </c>
      <c r="D1144" s="29" t="s">
        <v>985</v>
      </c>
      <c r="E1144" s="29" t="s">
        <v>449</v>
      </c>
      <c r="F1144" s="29" t="s">
        <v>989</v>
      </c>
    </row>
    <row r="1145" spans="1:10" ht="14.25" customHeight="1" x14ac:dyDescent="0.25">
      <c r="A1145" s="25" t="s">
        <v>77</v>
      </c>
      <c r="B1145" s="26" t="str">
        <f ca="1">IFERROR(INDEX(UNSPSCDes,MATCH(INDIRECT(ADDRESS(ROW(),COLUMN()-1,4)),UNSPSCCode,0)),IF(INDIRECT(ADDRESS(ROW(),COLUMN()-1,4))="44122003","Carpetas",""))</f>
        <v>Carpetas</v>
      </c>
      <c r="C1145" s="58" t="str">
        <f>IFERROR(VLOOKUP("UD",'Informacion '!P:Q,2,FALSE),"")</f>
        <v>Unidad</v>
      </c>
      <c r="D1145" s="25">
        <v>1500</v>
      </c>
      <c r="E1145" s="28">
        <v>413</v>
      </c>
      <c r="F1145" s="27">
        <f ca="1">INDIRECT(ADDRESS(ROW(),COLUMN()-2,4))*INDIRECT(ADDRESS(ROW(),COLUMN()-1,4))</f>
        <v>619500</v>
      </c>
    </row>
    <row r="1146" spans="1:10" ht="14.25" customHeight="1" x14ac:dyDescent="0.25">
      <c r="A1146" s="25" t="s">
        <v>77</v>
      </c>
      <c r="B1146" s="26" t="str">
        <f ca="1">IFERROR(INDEX(UNSPSCDes,MATCH(INDIRECT(ADDRESS(ROW(),COLUMN()-1,4)),UNSPSCCode,0)),IF(INDIRECT(ADDRESS(ROW(),COLUMN()-1,4))="44122003","Carpetas",""))</f>
        <v>Carpetas</v>
      </c>
      <c r="C1146" s="58" t="str">
        <f>IFERROR(VLOOKUP("UD",'Informacion '!P:Q,2,FALSE),"")</f>
        <v>Unidad</v>
      </c>
      <c r="D1146" s="25">
        <v>1500</v>
      </c>
      <c r="E1146" s="28">
        <v>413</v>
      </c>
      <c r="F1146" s="27">
        <f ca="1">INDIRECT(ADDRESS(ROW(),COLUMN()-2,4))*INDIRECT(ADDRESS(ROW(),COLUMN()-1,4))</f>
        <v>619500</v>
      </c>
    </row>
    <row r="1147" spans="1:10" ht="14.25" customHeight="1" x14ac:dyDescent="0.25">
      <c r="A1147" s="25" t="s">
        <v>77</v>
      </c>
      <c r="B1147" s="26" t="str">
        <f ca="1">IFERROR(INDEX(UNSPSCDes,MATCH(INDIRECT(ADDRESS(ROW(),COLUMN()-1,4)),UNSPSCCode,0)),IF(INDIRECT(ADDRESS(ROW(),COLUMN()-1,4))="44122003","Carpetas",""))</f>
        <v>Carpetas</v>
      </c>
      <c r="C1147" s="58" t="str">
        <f>IFERROR(VLOOKUP("UD",'Informacion '!P:Q,2,FALSE),"")</f>
        <v>Unidad</v>
      </c>
      <c r="D1147" s="25">
        <v>3</v>
      </c>
      <c r="E1147" s="28">
        <v>1000</v>
      </c>
      <c r="F1147" s="27">
        <f ca="1">INDIRECT(ADDRESS(ROW(),COLUMN()-2,4))*INDIRECT(ADDRESS(ROW(),COLUMN()-1,4))</f>
        <v>3000</v>
      </c>
    </row>
    <row r="1148" spans="1:10" ht="14.25" customHeight="1" x14ac:dyDescent="0.25">
      <c r="A1148" s="25" t="s">
        <v>77</v>
      </c>
      <c r="B1148" s="26" t="str">
        <f ca="1">IFERROR(INDEX(UNSPSCDes,MATCH(INDIRECT(ADDRESS(ROW(),COLUMN()-1,4)),UNSPSCCode,0)),IF(INDIRECT(ADDRESS(ROW(),COLUMN()-1,4))="44122003","Carpetas",""))</f>
        <v>Carpetas</v>
      </c>
      <c r="C1148" s="58" t="str">
        <f>IFERROR(VLOOKUP("UD",'Informacion '!P:Q,2,FALSE),"")</f>
        <v>Unidad</v>
      </c>
      <c r="D1148" s="25">
        <v>3</v>
      </c>
      <c r="E1148" s="28">
        <v>1000</v>
      </c>
      <c r="F1148" s="27">
        <f ca="1">INDIRECT(ADDRESS(ROW(),COLUMN()-2,4))*INDIRECT(ADDRESS(ROW(),COLUMN()-1,4))</f>
        <v>3000</v>
      </c>
    </row>
    <row r="1149" spans="1:10" ht="14.25" customHeight="1" x14ac:dyDescent="0.25">
      <c r="A1149" s="25" t="s">
        <v>77</v>
      </c>
      <c r="B1149" s="26" t="str">
        <f ca="1">IFERROR(INDEX(UNSPSCDes,MATCH(INDIRECT(ADDRESS(ROW(),COLUMN()-1,4)),UNSPSCCode,0)),IF(INDIRECT(ADDRESS(ROW(),COLUMN()-1,4))="44122003","Carpetas",""))</f>
        <v>Carpetas</v>
      </c>
      <c r="C1149" s="58" t="str">
        <f>IFERROR(VLOOKUP("UD",'Informacion '!P:Q,2,FALSE),"")</f>
        <v>Unidad</v>
      </c>
      <c r="D1149" s="25">
        <v>5</v>
      </c>
      <c r="E1149" s="28">
        <v>1000</v>
      </c>
      <c r="F1149" s="27">
        <f ca="1">INDIRECT(ADDRESS(ROW(),COLUMN()-2,4))*INDIRECT(ADDRESS(ROW(),COLUMN()-1,4))</f>
        <v>5000</v>
      </c>
    </row>
    <row r="1150" spans="1:10" ht="14.25" customHeight="1" x14ac:dyDescent="0.25">
      <c r="E1150" s="30" t="s">
        <v>816</v>
      </c>
      <c r="F1150" s="31">
        <f ca="1">SUM(Table51[MONTO TOTAL ESTIMADO])</f>
        <v>1250000</v>
      </c>
      <c r="H1150" s="21" t="str">
        <f>C1138</f>
        <v>Bienes</v>
      </c>
      <c r="I1150" s="21" t="str">
        <f>E1138</f>
        <v>MIPYME Mujeres</v>
      </c>
      <c r="J1150" s="21" t="str">
        <f>D1138</f>
        <v>Compras Menores</v>
      </c>
    </row>
    <row r="1152" spans="1:10" ht="33.950000000000003" customHeight="1" x14ac:dyDescent="0.25">
      <c r="A1152" s="22" t="s">
        <v>1051</v>
      </c>
      <c r="B1152" s="22" t="s">
        <v>11</v>
      </c>
      <c r="C1152" s="22" t="s">
        <v>751</v>
      </c>
      <c r="D1152" s="22" t="s">
        <v>930</v>
      </c>
      <c r="E1152" s="22" t="s">
        <v>699</v>
      </c>
      <c r="F1152" s="22" t="s">
        <v>710</v>
      </c>
    </row>
    <row r="1153" spans="1:10" ht="14.25" customHeight="1" x14ac:dyDescent="0.25">
      <c r="A1153" s="23" t="s">
        <v>925</v>
      </c>
      <c r="B1153" s="23" t="s">
        <v>925</v>
      </c>
      <c r="C1153" s="23" t="s">
        <v>438</v>
      </c>
      <c r="D1153" s="23" t="s">
        <v>116</v>
      </c>
      <c r="E1153" s="23" t="s">
        <v>1156</v>
      </c>
      <c r="F1153" s="23" t="s">
        <v>436</v>
      </c>
    </row>
    <row r="1154" spans="1:10" ht="14.25" customHeight="1" x14ac:dyDescent="0.25">
      <c r="A1154" s="68" t="s">
        <v>965</v>
      </c>
      <c r="B1154" s="24" t="s">
        <v>543</v>
      </c>
      <c r="C1154" s="54">
        <v>46218</v>
      </c>
      <c r="D1154" s="68" t="s">
        <v>598</v>
      </c>
      <c r="E1154" s="56" t="s">
        <v>858</v>
      </c>
      <c r="F1154" s="57"/>
    </row>
    <row r="1155" spans="1:10" ht="14.25" customHeight="1" x14ac:dyDescent="0.25">
      <c r="A1155" s="69"/>
      <c r="B1155" s="24" t="s">
        <v>112</v>
      </c>
      <c r="C1155" s="55">
        <f>IF(C1154="","",IF(AND(MONTH(C1154)&gt;=1,MONTH(C1154)&lt;=3),1,IF(AND(MONTH(C1154)&gt;=4,MONTH(C1154)&lt;=6),2,IF(AND(MONTH(C1154)&gt;=7,MONTH(C1154)&lt;=9),3,4))))</f>
        <v>3</v>
      </c>
      <c r="D1155" s="69"/>
      <c r="E1155" s="56" t="s">
        <v>143</v>
      </c>
      <c r="F1155" s="57"/>
    </row>
    <row r="1156" spans="1:10" ht="14.25" customHeight="1" x14ac:dyDescent="0.25">
      <c r="A1156" s="69"/>
      <c r="B1156" s="24" t="s">
        <v>844</v>
      </c>
      <c r="C1156" s="54">
        <v>46242</v>
      </c>
      <c r="D1156" s="69"/>
      <c r="E1156" s="56" t="s">
        <v>183</v>
      </c>
      <c r="F1156" s="57"/>
    </row>
    <row r="1157" spans="1:10" ht="14.25" customHeight="1" x14ac:dyDescent="0.25">
      <c r="A1157" s="69"/>
      <c r="B1157" s="24" t="s">
        <v>112</v>
      </c>
      <c r="C1157" s="55">
        <f>IF(C1156="","",IF(AND(MONTH(C1156)&gt;=1,MONTH(C1156)&lt;=3),1,IF(AND(MONTH(C1156)&gt;=4,MONTH(C1156)&lt;=6),2,IF(AND(MONTH(C1156)&gt;=7,MONTH(C1156)&lt;=9),3,4))))</f>
        <v>3</v>
      </c>
      <c r="D1157" s="69"/>
      <c r="E1157" s="56" t="s">
        <v>865</v>
      </c>
      <c r="F1157" s="57"/>
    </row>
    <row r="1159" spans="1:10" ht="14.25" customHeight="1" x14ac:dyDescent="0.25">
      <c r="A1159" s="29" t="s">
        <v>1017</v>
      </c>
      <c r="B1159" s="29" t="s">
        <v>1042</v>
      </c>
      <c r="C1159" s="29" t="s">
        <v>1011</v>
      </c>
      <c r="D1159" s="29" t="s">
        <v>985</v>
      </c>
      <c r="E1159" s="29" t="s">
        <v>449</v>
      </c>
      <c r="F1159" s="29" t="s">
        <v>989</v>
      </c>
    </row>
    <row r="1160" spans="1:10" ht="14.25" customHeight="1" x14ac:dyDescent="0.25">
      <c r="A1160" s="25" t="s">
        <v>101</v>
      </c>
      <c r="B1160" s="26" t="str">
        <f ca="1">IFERROR(INDEX(UNSPSCDes,MATCH(INDIRECT(ADDRESS(ROW(),COLUMN()-1,4)),UNSPSCCode,0)),IF(INDIRECT(ADDRESS(ROW(),COLUMN()-1,4))="90101603","Servicios de cáterin",""))</f>
        <v>Servicios de cáterin</v>
      </c>
      <c r="C1160" s="58" t="str">
        <f>IFERROR(VLOOKUP("UD",'Informacion '!P:Q,2,FALSE),"")</f>
        <v>Unidad</v>
      </c>
      <c r="D1160" s="25">
        <v>5</v>
      </c>
      <c r="E1160" s="28">
        <v>800000</v>
      </c>
      <c r="F1160" s="27">
        <f ca="1">INDIRECT(ADDRESS(ROW(),COLUMN()-2,4))*INDIRECT(ADDRESS(ROW(),COLUMN()-1,4))</f>
        <v>4000000</v>
      </c>
    </row>
    <row r="1161" spans="1:10" ht="14.25" customHeight="1" x14ac:dyDescent="0.25">
      <c r="E1161" s="30" t="s">
        <v>816</v>
      </c>
      <c r="F1161" s="31">
        <f ca="1">SUM(Table52[MONTO TOTAL ESTIMADO])</f>
        <v>4000000</v>
      </c>
      <c r="H1161" s="21" t="str">
        <f>C1153</f>
        <v>Servicios</v>
      </c>
      <c r="I1161" s="21" t="str">
        <f>E1153</f>
        <v>No</v>
      </c>
      <c r="J1161" s="21" t="str">
        <f>D1153</f>
        <v>Comparacion de Precios</v>
      </c>
    </row>
    <row r="1163" spans="1:10" ht="33.950000000000003" customHeight="1" x14ac:dyDescent="0.25">
      <c r="A1163" s="22" t="s">
        <v>1051</v>
      </c>
      <c r="B1163" s="22" t="s">
        <v>11</v>
      </c>
      <c r="C1163" s="22" t="s">
        <v>751</v>
      </c>
      <c r="D1163" s="22" t="s">
        <v>930</v>
      </c>
      <c r="E1163" s="22" t="s">
        <v>699</v>
      </c>
      <c r="F1163" s="22" t="s">
        <v>710</v>
      </c>
    </row>
    <row r="1164" spans="1:10" ht="14.25" customHeight="1" x14ac:dyDescent="0.25">
      <c r="A1164" s="23" t="s">
        <v>113</v>
      </c>
      <c r="B1164" s="23" t="s">
        <v>113</v>
      </c>
      <c r="C1164" s="23" t="s">
        <v>438</v>
      </c>
      <c r="D1164" s="23" t="s">
        <v>116</v>
      </c>
      <c r="E1164" s="23" t="s">
        <v>1156</v>
      </c>
      <c r="F1164" s="23" t="s">
        <v>436</v>
      </c>
    </row>
    <row r="1165" spans="1:10" ht="14.25" customHeight="1" x14ac:dyDescent="0.25">
      <c r="A1165" s="68" t="s">
        <v>965</v>
      </c>
      <c r="B1165" s="24" t="s">
        <v>543</v>
      </c>
      <c r="C1165" s="54">
        <v>46027</v>
      </c>
      <c r="D1165" s="68" t="s">
        <v>598</v>
      </c>
      <c r="E1165" s="56" t="s">
        <v>858</v>
      </c>
      <c r="F1165" s="57" t="s">
        <v>184</v>
      </c>
    </row>
    <row r="1166" spans="1:10" ht="14.25" customHeight="1" x14ac:dyDescent="0.25">
      <c r="A1166" s="69"/>
      <c r="B1166" s="24" t="s">
        <v>112</v>
      </c>
      <c r="C1166" s="55">
        <f>IF(C1165="","",IF(AND(MONTH(C1165)&gt;=1,MONTH(C1165)&lt;=3),1,IF(AND(MONTH(C1165)&gt;=4,MONTH(C1165)&lt;=6),2,IF(AND(MONTH(C1165)&gt;=7,MONTH(C1165)&lt;=9),3,4))))</f>
        <v>1</v>
      </c>
      <c r="D1166" s="69"/>
      <c r="E1166" s="56" t="s">
        <v>143</v>
      </c>
      <c r="F1166" s="57"/>
    </row>
    <row r="1167" spans="1:10" ht="14.25" customHeight="1" x14ac:dyDescent="0.25">
      <c r="A1167" s="69"/>
      <c r="B1167" s="24" t="s">
        <v>844</v>
      </c>
      <c r="C1167" s="54">
        <v>46086</v>
      </c>
      <c r="D1167" s="69"/>
      <c r="E1167" s="56" t="s">
        <v>183</v>
      </c>
      <c r="F1167" s="57"/>
    </row>
    <row r="1168" spans="1:10" ht="14.25" customHeight="1" x14ac:dyDescent="0.25">
      <c r="A1168" s="69"/>
      <c r="B1168" s="24" t="s">
        <v>112</v>
      </c>
      <c r="C1168" s="55">
        <f>IF(C1167="","",IF(AND(MONTH(C1167)&gt;=1,MONTH(C1167)&lt;=3),1,IF(AND(MONTH(C1167)&gt;=4,MONTH(C1167)&lt;=6),2,IF(AND(MONTH(C1167)&gt;=7,MONTH(C1167)&lt;=9),3,4))))</f>
        <v>1</v>
      </c>
      <c r="D1168" s="69"/>
      <c r="E1168" s="56" t="s">
        <v>865</v>
      </c>
      <c r="F1168" s="57"/>
    </row>
    <row r="1170" spans="1:10" ht="14.25" customHeight="1" x14ac:dyDescent="0.25">
      <c r="A1170" s="29" t="s">
        <v>1017</v>
      </c>
      <c r="B1170" s="29" t="s">
        <v>1042</v>
      </c>
      <c r="C1170" s="29" t="s">
        <v>1011</v>
      </c>
      <c r="D1170" s="29" t="s">
        <v>985</v>
      </c>
      <c r="E1170" s="29" t="s">
        <v>449</v>
      </c>
      <c r="F1170" s="29" t="s">
        <v>989</v>
      </c>
    </row>
    <row r="1171" spans="1:10" ht="14.25" customHeight="1" x14ac:dyDescent="0.25">
      <c r="A1171" s="25" t="s">
        <v>322</v>
      </c>
      <c r="B1171" s="26" t="str">
        <f ca="1">IFERROR(INDEX(UNSPSCDes,MATCH(INDIRECT(ADDRESS(ROW(),COLUMN()-1,4)),UNSPSCCode,0)),IF(INDIRECT(ADDRESS(ROW(),COLUMN()-1,4))="90101604","Servicios de cáterin en la obra o lugar de trabajo",""))</f>
        <v>Servicios de cáterin en la obra o lugar de trabajo</v>
      </c>
      <c r="C1171" s="58" t="str">
        <f>IFERROR(VLOOKUP("UD",'Informacion '!P:Q,2,FALSE),"")</f>
        <v>Unidad</v>
      </c>
      <c r="D1171" s="25">
        <v>90</v>
      </c>
      <c r="E1171" s="28">
        <v>300</v>
      </c>
      <c r="F1171" s="27">
        <f ca="1">INDIRECT(ADDRESS(ROW(),COLUMN()-2,4))*INDIRECT(ADDRESS(ROW(),COLUMN()-1,4))</f>
        <v>27000</v>
      </c>
    </row>
    <row r="1172" spans="1:10" ht="14.25" customHeight="1" x14ac:dyDescent="0.25">
      <c r="A1172" s="25" t="s">
        <v>322</v>
      </c>
      <c r="B1172" s="26" t="str">
        <f ca="1">IFERROR(INDEX(UNSPSCDes,MATCH(INDIRECT(ADDRESS(ROW(),COLUMN()-1,4)),UNSPSCCode,0)),IF(INDIRECT(ADDRESS(ROW(),COLUMN()-1,4))="90101604","Servicios de cáterin en la obra o lugar de trabajo",""))</f>
        <v>Servicios de cáterin en la obra o lugar de trabajo</v>
      </c>
      <c r="C1172" s="58" t="str">
        <f>IFERROR(VLOOKUP("UD",'Informacion '!P:Q,2,FALSE),"")</f>
        <v>Unidad</v>
      </c>
      <c r="D1172" s="25">
        <v>15</v>
      </c>
      <c r="E1172" s="28">
        <v>450</v>
      </c>
      <c r="F1172" s="27">
        <f ca="1">INDIRECT(ADDRESS(ROW(),COLUMN()-2,4))*INDIRECT(ADDRESS(ROW(),COLUMN()-1,4))</f>
        <v>6750</v>
      </c>
    </row>
    <row r="1173" spans="1:10" ht="14.25" customHeight="1" x14ac:dyDescent="0.25">
      <c r="A1173" s="25" t="s">
        <v>101</v>
      </c>
      <c r="B1173" s="26" t="str">
        <f ca="1">IFERROR(INDEX(UNSPSCDes,MATCH(INDIRECT(ADDRESS(ROW(),COLUMN()-1,4)),UNSPSCCode,0)),IF(INDIRECT(ADDRESS(ROW(),COLUMN()-1,4))="90101603","Servicios de cáterin",""))</f>
        <v>Servicios de cáterin</v>
      </c>
      <c r="C1173" s="58" t="str">
        <f>IFERROR(VLOOKUP("UD",'Informacion '!P:Q,2,FALSE),"")</f>
        <v>Unidad</v>
      </c>
      <c r="D1173" s="25">
        <v>300</v>
      </c>
      <c r="E1173" s="28">
        <v>350</v>
      </c>
      <c r="F1173" s="27">
        <f ca="1">INDIRECT(ADDRESS(ROW(),COLUMN()-2,4))*INDIRECT(ADDRESS(ROW(),COLUMN()-1,4))</f>
        <v>105000</v>
      </c>
    </row>
    <row r="1174" spans="1:10" ht="14.25" customHeight="1" x14ac:dyDescent="0.25">
      <c r="A1174" s="25" t="s">
        <v>101</v>
      </c>
      <c r="B1174" s="26" t="str">
        <f ca="1">IFERROR(INDEX(UNSPSCDes,MATCH(INDIRECT(ADDRESS(ROW(),COLUMN()-1,4)),UNSPSCCode,0)),IF(INDIRECT(ADDRESS(ROW(),COLUMN()-1,4))="90101603","Servicios de cáterin",""))</f>
        <v>Servicios de cáterin</v>
      </c>
      <c r="C1174" s="58" t="str">
        <f>IFERROR(VLOOKUP("UD",'Informacion '!P:Q,2,FALSE),"")</f>
        <v>Unidad</v>
      </c>
      <c r="D1174" s="25">
        <v>1</v>
      </c>
      <c r="E1174" s="28">
        <v>250000</v>
      </c>
      <c r="F1174" s="27">
        <f ca="1">INDIRECT(ADDRESS(ROW(),COLUMN()-2,4))*INDIRECT(ADDRESS(ROW(),COLUMN()-1,4))</f>
        <v>250000</v>
      </c>
    </row>
    <row r="1175" spans="1:10" ht="14.25" customHeight="1" x14ac:dyDescent="0.25">
      <c r="A1175" s="25" t="s">
        <v>101</v>
      </c>
      <c r="B1175" s="26" t="str">
        <f ca="1">IFERROR(INDEX(UNSPSCDes,MATCH(INDIRECT(ADDRESS(ROW(),COLUMN()-1,4)),UNSPSCCode,0)),IF(INDIRECT(ADDRESS(ROW(),COLUMN()-1,4))="90101603","Servicios de cáterin",""))</f>
        <v>Servicios de cáterin</v>
      </c>
      <c r="C1175" s="58" t="str">
        <f>IFERROR(VLOOKUP("UD",'Informacion '!P:Q,2,FALSE),"")</f>
        <v>Unidad</v>
      </c>
      <c r="D1175" s="25">
        <v>1</v>
      </c>
      <c r="E1175" s="28">
        <v>1700000</v>
      </c>
      <c r="F1175" s="27">
        <f ca="1">INDIRECT(ADDRESS(ROW(),COLUMN()-2,4))*INDIRECT(ADDRESS(ROW(),COLUMN()-1,4))</f>
        <v>1700000</v>
      </c>
    </row>
    <row r="1176" spans="1:10" ht="14.25" customHeight="1" x14ac:dyDescent="0.25">
      <c r="E1176" s="30" t="s">
        <v>816</v>
      </c>
      <c r="F1176" s="31">
        <f ca="1">SUM(Table53[MONTO TOTAL ESTIMADO])</f>
        <v>2088750</v>
      </c>
      <c r="H1176" s="21" t="str">
        <f>C1164</f>
        <v>Servicios</v>
      </c>
      <c r="I1176" s="21" t="str">
        <f>E1164</f>
        <v>No</v>
      </c>
      <c r="J1176" s="21" t="str">
        <f>D1164</f>
        <v>Comparacion de Precios</v>
      </c>
    </row>
    <row r="1178" spans="1:10" ht="33.950000000000003" customHeight="1" x14ac:dyDescent="0.25">
      <c r="A1178" s="22" t="s">
        <v>1051</v>
      </c>
      <c r="B1178" s="22" t="s">
        <v>11</v>
      </c>
      <c r="C1178" s="22" t="s">
        <v>751</v>
      </c>
      <c r="D1178" s="22" t="s">
        <v>930</v>
      </c>
      <c r="E1178" s="22" t="s">
        <v>699</v>
      </c>
      <c r="F1178" s="22" t="s">
        <v>710</v>
      </c>
    </row>
    <row r="1179" spans="1:10" ht="14.25" customHeight="1" x14ac:dyDescent="0.25">
      <c r="A1179" s="23" t="s">
        <v>898</v>
      </c>
      <c r="B1179" s="23" t="s">
        <v>898</v>
      </c>
      <c r="C1179" s="23" t="s">
        <v>1155</v>
      </c>
      <c r="D1179" s="23" t="s">
        <v>1128</v>
      </c>
      <c r="E1179" s="23" t="s">
        <v>385</v>
      </c>
      <c r="F1179" s="23" t="s">
        <v>436</v>
      </c>
    </row>
    <row r="1180" spans="1:10" ht="14.25" customHeight="1" x14ac:dyDescent="0.25">
      <c r="A1180" s="68" t="s">
        <v>965</v>
      </c>
      <c r="B1180" s="24" t="s">
        <v>543</v>
      </c>
      <c r="C1180" s="54">
        <v>46068</v>
      </c>
      <c r="D1180" s="68" t="s">
        <v>598</v>
      </c>
      <c r="E1180" s="56" t="s">
        <v>858</v>
      </c>
      <c r="F1180" s="57" t="s">
        <v>184</v>
      </c>
    </row>
    <row r="1181" spans="1:10" ht="14.25" customHeight="1" x14ac:dyDescent="0.25">
      <c r="A1181" s="69"/>
      <c r="B1181" s="24" t="s">
        <v>112</v>
      </c>
      <c r="C1181" s="55">
        <f>IF(C1180="","",IF(AND(MONTH(C1180)&gt;=1,MONTH(C1180)&lt;=3),1,IF(AND(MONTH(C1180)&gt;=4,MONTH(C1180)&lt;=6),2,IF(AND(MONTH(C1180)&gt;=7,MONTH(C1180)&lt;=9),3,4))))</f>
        <v>1</v>
      </c>
      <c r="D1181" s="69"/>
      <c r="E1181" s="56" t="s">
        <v>143</v>
      </c>
      <c r="F1181" s="57"/>
    </row>
    <row r="1182" spans="1:10" ht="14.25" customHeight="1" x14ac:dyDescent="0.25">
      <c r="A1182" s="69"/>
      <c r="B1182" s="24" t="s">
        <v>844</v>
      </c>
      <c r="C1182" s="54">
        <v>46082</v>
      </c>
      <c r="D1182" s="69"/>
      <c r="E1182" s="56" t="s">
        <v>183</v>
      </c>
      <c r="F1182" s="57"/>
    </row>
    <row r="1183" spans="1:10" ht="14.25" customHeight="1" x14ac:dyDescent="0.25">
      <c r="A1183" s="69"/>
      <c r="B1183" s="24" t="s">
        <v>112</v>
      </c>
      <c r="C1183" s="55">
        <f>IF(C1182="","",IF(AND(MONTH(C1182)&gt;=1,MONTH(C1182)&lt;=3),1,IF(AND(MONTH(C1182)&gt;=4,MONTH(C1182)&lt;=6),2,IF(AND(MONTH(C1182)&gt;=7,MONTH(C1182)&lt;=9),3,4))))</f>
        <v>1</v>
      </c>
      <c r="D1183" s="69"/>
      <c r="E1183" s="56" t="s">
        <v>865</v>
      </c>
      <c r="F1183" s="57"/>
    </row>
    <row r="1185" spans="1:10" ht="14.25" customHeight="1" x14ac:dyDescent="0.25">
      <c r="A1185" s="29" t="s">
        <v>1017</v>
      </c>
      <c r="B1185" s="29" t="s">
        <v>1042</v>
      </c>
      <c r="C1185" s="29" t="s">
        <v>1011</v>
      </c>
      <c r="D1185" s="29" t="s">
        <v>985</v>
      </c>
      <c r="E1185" s="29" t="s">
        <v>449</v>
      </c>
      <c r="F1185" s="29" t="s">
        <v>989</v>
      </c>
    </row>
    <row r="1186" spans="1:10" ht="14.25" customHeight="1" x14ac:dyDescent="0.25">
      <c r="A1186" s="25" t="s">
        <v>752</v>
      </c>
      <c r="B1186" s="26" t="str">
        <f ca="1">IFERROR(INDEX(UNSPSCDes,MATCH(INDIRECT(ADDRESS(ROW(),COLUMN()-1,4)),UNSPSCCode,0)),IF(INDIRECT(ADDRESS(ROW(),COLUMN()-1,4))="53102710","Uniformes corporativos",""))</f>
        <v>Uniformes corporativos</v>
      </c>
      <c r="C1186" s="58" t="str">
        <f>IFERROR(VLOOKUP("UD",'Informacion '!P:Q,2,FALSE),"")</f>
        <v>Unidad</v>
      </c>
      <c r="D1186" s="25">
        <v>140</v>
      </c>
      <c r="E1186" s="28">
        <v>1395</v>
      </c>
      <c r="F1186" s="27">
        <f t="shared" ref="F1186:F1197" ca="1" si="36">INDIRECT(ADDRESS(ROW(),COLUMN()-2,4))*INDIRECT(ADDRESS(ROW(),COLUMN()-1,4))</f>
        <v>195300</v>
      </c>
    </row>
    <row r="1187" spans="1:10" ht="14.25" customHeight="1" x14ac:dyDescent="0.25">
      <c r="A1187" s="25" t="s">
        <v>752</v>
      </c>
      <c r="B1187" s="26" t="str">
        <f ca="1">IFERROR(INDEX(UNSPSCDes,MATCH(INDIRECT(ADDRESS(ROW(),COLUMN()-1,4)),UNSPSCCode,0)),IF(INDIRECT(ADDRESS(ROW(),COLUMN()-1,4))="53102710","Uniformes corporativos",""))</f>
        <v>Uniformes corporativos</v>
      </c>
      <c r="C1187" s="58" t="str">
        <f>IFERROR(VLOOKUP("UD",'Informacion '!P:Q,2,FALSE),"")</f>
        <v>Unidad</v>
      </c>
      <c r="D1187" s="25">
        <v>50</v>
      </c>
      <c r="E1187" s="28">
        <v>500</v>
      </c>
      <c r="F1187" s="27">
        <f t="shared" ca="1" si="36"/>
        <v>25000</v>
      </c>
    </row>
    <row r="1188" spans="1:10" ht="14.25" customHeight="1" x14ac:dyDescent="0.25">
      <c r="A1188" s="25" t="s">
        <v>887</v>
      </c>
      <c r="B1188" s="26" t="str">
        <f t="shared" ref="B1188:B1196" ca="1" si="37">IFERROR(INDEX(UNSPSCDes,MATCH(INDIRECT(ADDRESS(ROW(),COLUMN()-1,4)),UNSPSCCode,0)),IF(INDIRECT(ADDRESS(ROW(),COLUMN()-1,4))="53103001","Camisetas (t-shirts)",""))</f>
        <v>Camisetas (t-shirts)</v>
      </c>
      <c r="C1188" s="58" t="str">
        <f>IFERROR(VLOOKUP("UD",'Informacion '!P:Q,2,FALSE),"")</f>
        <v>Unidad</v>
      </c>
      <c r="D1188" s="25">
        <v>100</v>
      </c>
      <c r="E1188" s="28">
        <v>800</v>
      </c>
      <c r="F1188" s="27">
        <f t="shared" ca="1" si="36"/>
        <v>80000</v>
      </c>
    </row>
    <row r="1189" spans="1:10" ht="14.25" customHeight="1" x14ac:dyDescent="0.25">
      <c r="A1189" s="25" t="s">
        <v>887</v>
      </c>
      <c r="B1189" s="26" t="str">
        <f t="shared" ca="1" si="37"/>
        <v>Camisetas (t-shirts)</v>
      </c>
      <c r="C1189" s="58" t="str">
        <f>IFERROR(VLOOKUP("UD",'Informacion '!P:Q,2,FALSE),"")</f>
        <v>Unidad</v>
      </c>
      <c r="D1189" s="25">
        <v>150</v>
      </c>
      <c r="E1189" s="28">
        <v>800</v>
      </c>
      <c r="F1189" s="27">
        <f t="shared" ca="1" si="36"/>
        <v>120000</v>
      </c>
    </row>
    <row r="1190" spans="1:10" ht="14.25" customHeight="1" x14ac:dyDescent="0.25">
      <c r="A1190" s="25" t="s">
        <v>887</v>
      </c>
      <c r="B1190" s="26" t="str">
        <f t="shared" ca="1" si="37"/>
        <v>Camisetas (t-shirts)</v>
      </c>
      <c r="C1190" s="58" t="str">
        <f>IFERROR(VLOOKUP("UD",'Informacion '!P:Q,2,FALSE),"")</f>
        <v>Unidad</v>
      </c>
      <c r="D1190" s="25">
        <v>250</v>
      </c>
      <c r="E1190" s="28">
        <v>800</v>
      </c>
      <c r="F1190" s="27">
        <f t="shared" ca="1" si="36"/>
        <v>200000</v>
      </c>
    </row>
    <row r="1191" spans="1:10" ht="14.25" customHeight="1" x14ac:dyDescent="0.25">
      <c r="A1191" s="25" t="s">
        <v>887</v>
      </c>
      <c r="B1191" s="26" t="str">
        <f t="shared" ca="1" si="37"/>
        <v>Camisetas (t-shirts)</v>
      </c>
      <c r="C1191" s="58" t="str">
        <f>IFERROR(VLOOKUP("UD",'Informacion '!P:Q,2,FALSE),"")</f>
        <v>Unidad</v>
      </c>
      <c r="D1191" s="25">
        <v>250</v>
      </c>
      <c r="E1191" s="28">
        <v>800</v>
      </c>
      <c r="F1191" s="27">
        <f t="shared" ca="1" si="36"/>
        <v>200000</v>
      </c>
    </row>
    <row r="1192" spans="1:10" ht="14.25" customHeight="1" x14ac:dyDescent="0.25">
      <c r="A1192" s="25" t="s">
        <v>887</v>
      </c>
      <c r="B1192" s="26" t="str">
        <f t="shared" ca="1" si="37"/>
        <v>Camisetas (t-shirts)</v>
      </c>
      <c r="C1192" s="58" t="str">
        <f>IFERROR(VLOOKUP("UD",'Informacion '!P:Q,2,FALSE),"")</f>
        <v>Unidad</v>
      </c>
      <c r="D1192" s="25">
        <v>50</v>
      </c>
      <c r="E1192" s="28">
        <v>800</v>
      </c>
      <c r="F1192" s="27">
        <f t="shared" ca="1" si="36"/>
        <v>40000</v>
      </c>
    </row>
    <row r="1193" spans="1:10" ht="14.25" customHeight="1" x14ac:dyDescent="0.25">
      <c r="A1193" s="25" t="s">
        <v>887</v>
      </c>
      <c r="B1193" s="26" t="str">
        <f t="shared" ca="1" si="37"/>
        <v>Camisetas (t-shirts)</v>
      </c>
      <c r="C1193" s="58" t="str">
        <f>IFERROR(VLOOKUP("UD",'Informacion '!P:Q,2,FALSE),"")</f>
        <v>Unidad</v>
      </c>
      <c r="D1193" s="25">
        <v>150</v>
      </c>
      <c r="E1193" s="28">
        <v>800</v>
      </c>
      <c r="F1193" s="27">
        <f t="shared" ca="1" si="36"/>
        <v>120000</v>
      </c>
    </row>
    <row r="1194" spans="1:10" ht="14.25" customHeight="1" x14ac:dyDescent="0.25">
      <c r="A1194" s="25" t="s">
        <v>887</v>
      </c>
      <c r="B1194" s="26" t="str">
        <f t="shared" ca="1" si="37"/>
        <v>Camisetas (t-shirts)</v>
      </c>
      <c r="C1194" s="58" t="str">
        <f>IFERROR(VLOOKUP("UD",'Informacion '!P:Q,2,FALSE),"")</f>
        <v>Unidad</v>
      </c>
      <c r="D1194" s="25">
        <v>250</v>
      </c>
      <c r="E1194" s="28">
        <v>800</v>
      </c>
      <c r="F1194" s="27">
        <f t="shared" ca="1" si="36"/>
        <v>200000</v>
      </c>
    </row>
    <row r="1195" spans="1:10" ht="14.25" customHeight="1" x14ac:dyDescent="0.25">
      <c r="A1195" s="25" t="s">
        <v>887</v>
      </c>
      <c r="B1195" s="26" t="str">
        <f t="shared" ca="1" si="37"/>
        <v>Camisetas (t-shirts)</v>
      </c>
      <c r="C1195" s="58" t="str">
        <f>IFERROR(VLOOKUP("UD",'Informacion '!P:Q,2,FALSE),"")</f>
        <v>Unidad</v>
      </c>
      <c r="D1195" s="25">
        <v>250</v>
      </c>
      <c r="E1195" s="28">
        <v>800</v>
      </c>
      <c r="F1195" s="27">
        <f t="shared" ca="1" si="36"/>
        <v>200000</v>
      </c>
    </row>
    <row r="1196" spans="1:10" ht="14.25" customHeight="1" x14ac:dyDescent="0.25">
      <c r="A1196" s="25" t="s">
        <v>887</v>
      </c>
      <c r="B1196" s="26" t="str">
        <f t="shared" ca="1" si="37"/>
        <v>Camisetas (t-shirts)</v>
      </c>
      <c r="C1196" s="58" t="str">
        <f>IFERROR(VLOOKUP("UD",'Informacion '!P:Q,2,FALSE),"")</f>
        <v>Unidad</v>
      </c>
      <c r="D1196" s="25">
        <v>150</v>
      </c>
      <c r="E1196" s="28">
        <v>800</v>
      </c>
      <c r="F1196" s="27">
        <f t="shared" ca="1" si="36"/>
        <v>120000</v>
      </c>
    </row>
    <row r="1197" spans="1:10" ht="14.25" customHeight="1" x14ac:dyDescent="0.25">
      <c r="A1197" s="25" t="s">
        <v>752</v>
      </c>
      <c r="B1197" s="26" t="str">
        <f ca="1">IFERROR(INDEX(UNSPSCDes,MATCH(INDIRECT(ADDRESS(ROW(),COLUMN()-1,4)),UNSPSCCode,0)),IF(INDIRECT(ADDRESS(ROW(),COLUMN()-1,4))="53102710","Uniformes corporativos",""))</f>
        <v>Uniformes corporativos</v>
      </c>
      <c r="C1197" s="58" t="str">
        <f>IFERROR(VLOOKUP("UD",'Informacion '!P:Q,2,FALSE),"")</f>
        <v>Unidad</v>
      </c>
      <c r="D1197" s="25">
        <v>22</v>
      </c>
      <c r="E1197" s="28">
        <v>18182</v>
      </c>
      <c r="F1197" s="27">
        <f t="shared" ca="1" si="36"/>
        <v>400004</v>
      </c>
    </row>
    <row r="1198" spans="1:10" ht="14.25" customHeight="1" x14ac:dyDescent="0.25">
      <c r="E1198" s="30" t="s">
        <v>816</v>
      </c>
      <c r="F1198" s="31">
        <f ca="1">SUM(Table54[MONTO TOTAL ESTIMADO])</f>
        <v>1900304</v>
      </c>
      <c r="H1198" s="21" t="str">
        <f>C1179</f>
        <v>Bienes</v>
      </c>
      <c r="I1198" s="21" t="str">
        <f>E1179</f>
        <v>MIPYME Mujeres</v>
      </c>
      <c r="J1198" s="21" t="str">
        <f>D1179</f>
        <v>Compras Menores</v>
      </c>
    </row>
    <row r="1200" spans="1:10" ht="33.950000000000003" customHeight="1" x14ac:dyDescent="0.25">
      <c r="A1200" s="22" t="s">
        <v>1051</v>
      </c>
      <c r="B1200" s="22" t="s">
        <v>11</v>
      </c>
      <c r="C1200" s="22" t="s">
        <v>751</v>
      </c>
      <c r="D1200" s="22" t="s">
        <v>930</v>
      </c>
      <c r="E1200" s="22" t="s">
        <v>699</v>
      </c>
      <c r="F1200" s="22" t="s">
        <v>710</v>
      </c>
    </row>
    <row r="1201" spans="1:10" ht="14.25" customHeight="1" x14ac:dyDescent="0.25">
      <c r="A1201" s="23" t="s">
        <v>769</v>
      </c>
      <c r="B1201" s="23" t="s">
        <v>769</v>
      </c>
      <c r="C1201" s="23" t="s">
        <v>438</v>
      </c>
      <c r="D1201" s="23" t="s">
        <v>146</v>
      </c>
      <c r="E1201" s="23" t="s">
        <v>1156</v>
      </c>
      <c r="F1201" s="23" t="s">
        <v>436</v>
      </c>
    </row>
    <row r="1202" spans="1:10" ht="14.25" customHeight="1" x14ac:dyDescent="0.25">
      <c r="A1202" s="68" t="s">
        <v>965</v>
      </c>
      <c r="B1202" s="24" t="s">
        <v>543</v>
      </c>
      <c r="C1202" s="54">
        <v>46134</v>
      </c>
      <c r="D1202" s="68" t="s">
        <v>598</v>
      </c>
      <c r="E1202" s="56" t="s">
        <v>858</v>
      </c>
      <c r="F1202" s="57"/>
    </row>
    <row r="1203" spans="1:10" ht="14.25" customHeight="1" x14ac:dyDescent="0.25">
      <c r="A1203" s="69"/>
      <c r="B1203" s="24" t="s">
        <v>112</v>
      </c>
      <c r="C1203" s="55">
        <f>IF(C1202="","",IF(AND(MONTH(C1202)&gt;=1,MONTH(C1202)&lt;=3),1,IF(AND(MONTH(C1202)&gt;=4,MONTH(C1202)&lt;=6),2,IF(AND(MONTH(C1202)&gt;=7,MONTH(C1202)&lt;=9),3,4))))</f>
        <v>2</v>
      </c>
      <c r="D1203" s="69"/>
      <c r="E1203" s="56" t="s">
        <v>143</v>
      </c>
      <c r="F1203" s="57"/>
    </row>
    <row r="1204" spans="1:10" ht="14.25" customHeight="1" x14ac:dyDescent="0.25">
      <c r="A1204" s="69"/>
      <c r="B1204" s="24" t="s">
        <v>844</v>
      </c>
      <c r="C1204" s="54">
        <v>46233</v>
      </c>
      <c r="D1204" s="69"/>
      <c r="E1204" s="56" t="s">
        <v>183</v>
      </c>
      <c r="F1204" s="57"/>
    </row>
    <row r="1205" spans="1:10" ht="14.25" customHeight="1" x14ac:dyDescent="0.25">
      <c r="A1205" s="69"/>
      <c r="B1205" s="24" t="s">
        <v>112</v>
      </c>
      <c r="C1205" s="55">
        <f>IF(C1204="","",IF(AND(MONTH(C1204)&gt;=1,MONTH(C1204)&lt;=3),1,IF(AND(MONTH(C1204)&gt;=4,MONTH(C1204)&lt;=6),2,IF(AND(MONTH(C1204)&gt;=7,MONTH(C1204)&lt;=9),3,4))))</f>
        <v>3</v>
      </c>
      <c r="D1205" s="69"/>
      <c r="E1205" s="56" t="s">
        <v>865</v>
      </c>
      <c r="F1205" s="57"/>
    </row>
    <row r="1207" spans="1:10" ht="14.25" customHeight="1" x14ac:dyDescent="0.25">
      <c r="A1207" s="29" t="s">
        <v>1017</v>
      </c>
      <c r="B1207" s="29" t="s">
        <v>1042</v>
      </c>
      <c r="C1207" s="29" t="s">
        <v>1011</v>
      </c>
      <c r="D1207" s="29" t="s">
        <v>985</v>
      </c>
      <c r="E1207" s="29" t="s">
        <v>449</v>
      </c>
      <c r="F1207" s="29" t="s">
        <v>989</v>
      </c>
    </row>
    <row r="1208" spans="1:10" ht="14.25" customHeight="1" x14ac:dyDescent="0.25">
      <c r="A1208" s="25" t="s">
        <v>630</v>
      </c>
      <c r="B1208" s="26" t="str">
        <f ca="1">IFERROR(INDEX(UNSPSCDes,MATCH(INDIRECT(ADDRESS(ROW(),COLUMN()-1,4)),UNSPSCCode,0)),IF(INDIRECT(ADDRESS(ROW(),COLUMN()-1,4))="80141902","Reuniones y eventos",""))</f>
        <v>Reuniones y eventos</v>
      </c>
      <c r="C1208" s="58" t="str">
        <f>IFERROR(VLOOKUP("UD",'Informacion '!P:Q,2,FALSE),"")</f>
        <v>Unidad</v>
      </c>
      <c r="D1208" s="25">
        <v>5</v>
      </c>
      <c r="E1208" s="28">
        <v>2500000</v>
      </c>
      <c r="F1208" s="27">
        <f ca="1">INDIRECT(ADDRESS(ROW(),COLUMN()-2,4))*INDIRECT(ADDRESS(ROW(),COLUMN()-1,4))</f>
        <v>12500000</v>
      </c>
    </row>
    <row r="1209" spans="1:10" ht="14.25" customHeight="1" x14ac:dyDescent="0.25">
      <c r="E1209" s="30" t="s">
        <v>816</v>
      </c>
      <c r="F1209" s="31">
        <f ca="1">SUM(Table55[MONTO TOTAL ESTIMADO])</f>
        <v>12500000</v>
      </c>
      <c r="H1209" s="21" t="str">
        <f>C1201</f>
        <v>Servicios</v>
      </c>
      <c r="I1209" s="21" t="str">
        <f>E1201</f>
        <v>No</v>
      </c>
      <c r="J1209" s="21" t="str">
        <f>D1201</f>
        <v>Licitacion Publica</v>
      </c>
    </row>
    <row r="1211" spans="1:10" ht="33.950000000000003" customHeight="1" x14ac:dyDescent="0.25">
      <c r="A1211" s="22" t="s">
        <v>1051</v>
      </c>
      <c r="B1211" s="22" t="s">
        <v>11</v>
      </c>
      <c r="C1211" s="22" t="s">
        <v>751</v>
      </c>
      <c r="D1211" s="22" t="s">
        <v>930</v>
      </c>
      <c r="E1211" s="22" t="s">
        <v>699</v>
      </c>
      <c r="F1211" s="22" t="s">
        <v>710</v>
      </c>
    </row>
    <row r="1212" spans="1:10" ht="14.25" customHeight="1" x14ac:dyDescent="0.25">
      <c r="A1212" s="23" t="s">
        <v>427</v>
      </c>
      <c r="B1212" s="23" t="s">
        <v>892</v>
      </c>
      <c r="C1212" s="23" t="s">
        <v>438</v>
      </c>
      <c r="D1212" s="23" t="s">
        <v>1128</v>
      </c>
      <c r="E1212" s="23" t="s">
        <v>1156</v>
      </c>
      <c r="F1212" s="23" t="s">
        <v>436</v>
      </c>
    </row>
    <row r="1213" spans="1:10" ht="14.25" customHeight="1" x14ac:dyDescent="0.25">
      <c r="A1213" s="68" t="s">
        <v>965</v>
      </c>
      <c r="B1213" s="24" t="s">
        <v>543</v>
      </c>
      <c r="C1213" s="54">
        <v>46239</v>
      </c>
      <c r="D1213" s="68" t="s">
        <v>598</v>
      </c>
      <c r="E1213" s="56" t="s">
        <v>858</v>
      </c>
      <c r="F1213" s="57"/>
    </row>
    <row r="1214" spans="1:10" ht="14.25" customHeight="1" x14ac:dyDescent="0.25">
      <c r="A1214" s="69"/>
      <c r="B1214" s="24" t="s">
        <v>112</v>
      </c>
      <c r="C1214" s="55">
        <f>IF(C1213="","",IF(AND(MONTH(C1213)&gt;=1,MONTH(C1213)&lt;=3),1,IF(AND(MONTH(C1213)&gt;=4,MONTH(C1213)&lt;=6),2,IF(AND(MONTH(C1213)&gt;=7,MONTH(C1213)&lt;=9),3,4))))</f>
        <v>3</v>
      </c>
      <c r="D1214" s="69"/>
      <c r="E1214" s="56" t="s">
        <v>143</v>
      </c>
      <c r="F1214" s="57"/>
    </row>
    <row r="1215" spans="1:10" ht="14.25" customHeight="1" x14ac:dyDescent="0.25">
      <c r="A1215" s="69"/>
      <c r="B1215" s="24" t="s">
        <v>844</v>
      </c>
      <c r="C1215" s="54">
        <v>46263</v>
      </c>
      <c r="D1215" s="69"/>
      <c r="E1215" s="56" t="s">
        <v>183</v>
      </c>
      <c r="F1215" s="57"/>
    </row>
    <row r="1216" spans="1:10" ht="14.25" customHeight="1" x14ac:dyDescent="0.25">
      <c r="A1216" s="69"/>
      <c r="B1216" s="24" t="s">
        <v>112</v>
      </c>
      <c r="C1216" s="55">
        <f>IF(C1215="","",IF(AND(MONTH(C1215)&gt;=1,MONTH(C1215)&lt;=3),1,IF(AND(MONTH(C1215)&gt;=4,MONTH(C1215)&lt;=6),2,IF(AND(MONTH(C1215)&gt;=7,MONTH(C1215)&lt;=9),3,4))))</f>
        <v>3</v>
      </c>
      <c r="D1216" s="69"/>
      <c r="E1216" s="56" t="s">
        <v>865</v>
      </c>
      <c r="F1216" s="57"/>
    </row>
    <row r="1218" spans="1:10" ht="14.25" customHeight="1" x14ac:dyDescent="0.25">
      <c r="A1218" s="29" t="s">
        <v>1017</v>
      </c>
      <c r="B1218" s="29" t="s">
        <v>1042</v>
      </c>
      <c r="C1218" s="29" t="s">
        <v>1011</v>
      </c>
      <c r="D1218" s="29" t="s">
        <v>985</v>
      </c>
      <c r="E1218" s="29" t="s">
        <v>449</v>
      </c>
      <c r="F1218" s="29" t="s">
        <v>989</v>
      </c>
    </row>
    <row r="1219" spans="1:10" ht="14.25" customHeight="1" x14ac:dyDescent="0.25">
      <c r="A1219" s="25" t="s">
        <v>552</v>
      </c>
      <c r="B1219" s="26" t="str">
        <f ca="1">IFERROR(INDEX(UNSPSCDes,MATCH(INDIRECT(ADDRESS(ROW(),COLUMN()-1,4)),UNSPSCCode,0)),IF(INDIRECT(ADDRESS(ROW(),COLUMN()-1,4))="80141602","Servicios de relaciones públicas",""))</f>
        <v>Servicios de relaciones públicas</v>
      </c>
      <c r="C1219" s="58" t="str">
        <f>IFERROR(VLOOKUP("UD",'Informacion '!P:Q,2,FALSE),"")</f>
        <v>Unidad</v>
      </c>
      <c r="D1219" s="25">
        <v>5</v>
      </c>
      <c r="E1219" s="28">
        <v>250000</v>
      </c>
      <c r="F1219" s="27">
        <f ca="1">INDIRECT(ADDRESS(ROW(),COLUMN()-2,4))*INDIRECT(ADDRESS(ROW(),COLUMN()-1,4))</f>
        <v>1250000</v>
      </c>
    </row>
    <row r="1220" spans="1:10" ht="14.25" customHeight="1" x14ac:dyDescent="0.25">
      <c r="E1220" s="30" t="s">
        <v>816</v>
      </c>
      <c r="F1220" s="31">
        <f ca="1">SUM(Table56[MONTO TOTAL ESTIMADO])</f>
        <v>1250000</v>
      </c>
      <c r="H1220" s="21" t="str">
        <f>C1212</f>
        <v>Servicios</v>
      </c>
      <c r="I1220" s="21" t="str">
        <f>E1212</f>
        <v>No</v>
      </c>
      <c r="J1220" s="21" t="str">
        <f>D1212</f>
        <v>Compras Menores</v>
      </c>
    </row>
    <row r="1222" spans="1:10" ht="33.950000000000003" customHeight="1" x14ac:dyDescent="0.25">
      <c r="A1222" s="22" t="s">
        <v>1051</v>
      </c>
      <c r="B1222" s="22" t="s">
        <v>11</v>
      </c>
      <c r="C1222" s="22" t="s">
        <v>751</v>
      </c>
      <c r="D1222" s="22" t="s">
        <v>930</v>
      </c>
      <c r="E1222" s="22" t="s">
        <v>699</v>
      </c>
      <c r="F1222" s="22" t="s">
        <v>710</v>
      </c>
    </row>
    <row r="1223" spans="1:10" ht="14.25" customHeight="1" x14ac:dyDescent="0.25">
      <c r="A1223" s="23" t="s">
        <v>357</v>
      </c>
      <c r="B1223" s="23" t="s">
        <v>457</v>
      </c>
      <c r="C1223" s="23" t="s">
        <v>1155</v>
      </c>
      <c r="D1223" s="23" t="s">
        <v>1128</v>
      </c>
      <c r="E1223" s="23" t="s">
        <v>561</v>
      </c>
      <c r="F1223" s="23" t="s">
        <v>436</v>
      </c>
    </row>
    <row r="1224" spans="1:10" ht="14.25" customHeight="1" x14ac:dyDescent="0.25">
      <c r="A1224" s="68" t="s">
        <v>965</v>
      </c>
      <c r="B1224" s="24" t="s">
        <v>543</v>
      </c>
      <c r="C1224" s="54">
        <v>46113</v>
      </c>
      <c r="D1224" s="68" t="s">
        <v>598</v>
      </c>
      <c r="E1224" s="56" t="s">
        <v>858</v>
      </c>
      <c r="F1224" s="57" t="s">
        <v>184</v>
      </c>
    </row>
    <row r="1225" spans="1:10" ht="14.25" customHeight="1" x14ac:dyDescent="0.25">
      <c r="A1225" s="69"/>
      <c r="B1225" s="24" t="s">
        <v>112</v>
      </c>
      <c r="C1225" s="55">
        <f>IF(C1224="","",IF(AND(MONTH(C1224)&gt;=1,MONTH(C1224)&lt;=3),1,IF(AND(MONTH(C1224)&gt;=4,MONTH(C1224)&lt;=6),2,IF(AND(MONTH(C1224)&gt;=7,MONTH(C1224)&lt;=9),3,4))))</f>
        <v>2</v>
      </c>
      <c r="D1225" s="69"/>
      <c r="E1225" s="56" t="s">
        <v>143</v>
      </c>
      <c r="F1225" s="57"/>
    </row>
    <row r="1226" spans="1:10" ht="14.25" customHeight="1" x14ac:dyDescent="0.25">
      <c r="A1226" s="69"/>
      <c r="B1226" s="24" t="s">
        <v>844</v>
      </c>
      <c r="C1226" s="54">
        <v>46152</v>
      </c>
      <c r="D1226" s="69"/>
      <c r="E1226" s="56" t="s">
        <v>183</v>
      </c>
      <c r="F1226" s="57"/>
    </row>
    <row r="1227" spans="1:10" ht="14.25" customHeight="1" x14ac:dyDescent="0.25">
      <c r="A1227" s="69"/>
      <c r="B1227" s="24" t="s">
        <v>112</v>
      </c>
      <c r="C1227" s="55">
        <f>IF(C1226="","",IF(AND(MONTH(C1226)&gt;=1,MONTH(C1226)&lt;=3),1,IF(AND(MONTH(C1226)&gt;=4,MONTH(C1226)&lt;=6),2,IF(AND(MONTH(C1226)&gt;=7,MONTH(C1226)&lt;=9),3,4))))</f>
        <v>2</v>
      </c>
      <c r="D1227" s="69"/>
      <c r="E1227" s="56" t="s">
        <v>865</v>
      </c>
      <c r="F1227" s="57"/>
    </row>
    <row r="1229" spans="1:10" ht="14.25" customHeight="1" x14ac:dyDescent="0.25">
      <c r="A1229" s="29" t="s">
        <v>1017</v>
      </c>
      <c r="B1229" s="29" t="s">
        <v>1042</v>
      </c>
      <c r="C1229" s="29" t="s">
        <v>1011</v>
      </c>
      <c r="D1229" s="29" t="s">
        <v>985</v>
      </c>
      <c r="E1229" s="29" t="s">
        <v>449</v>
      </c>
      <c r="F1229" s="29" t="s">
        <v>989</v>
      </c>
    </row>
    <row r="1230" spans="1:10" ht="14.25" customHeight="1" x14ac:dyDescent="0.25">
      <c r="A1230" s="25" t="s">
        <v>982</v>
      </c>
      <c r="B1230" s="26" t="str">
        <f ca="1">IFERROR(INDEX(UNSPSCDes,MATCH(INDIRECT(ADDRESS(ROW(),COLUMN()-1,4)),UNSPSCCode,0)),IF(INDIRECT(ADDRESS(ROW(),COLUMN()-1,4))="12352104","Alcoholes o sus sustitutos",""))</f>
        <v>Alcoholes o sus sustitutos</v>
      </c>
      <c r="C1230" s="58" t="str">
        <f>IFERROR(VLOOKUP("UD",'Informacion '!P:Q,2,FALSE),"")</f>
        <v>Unidad</v>
      </c>
      <c r="D1230" s="25">
        <v>4</v>
      </c>
      <c r="E1230" s="28">
        <v>590</v>
      </c>
      <c r="F1230" s="27">
        <f t="shared" ref="F1230:F1269" ca="1" si="38">INDIRECT(ADDRESS(ROW(),COLUMN()-2,4))*INDIRECT(ADDRESS(ROW(),COLUMN()-1,4))</f>
        <v>2360</v>
      </c>
    </row>
    <row r="1231" spans="1:10" ht="14.25" customHeight="1" x14ac:dyDescent="0.25">
      <c r="A1231" s="25" t="s">
        <v>668</v>
      </c>
      <c r="B1231" s="26" t="str">
        <f ca="1">IFERROR(INDEX(UNSPSCDes,MATCH(INDIRECT(ADDRESS(ROW(),COLUMN()-1,4)),UNSPSCCode,0)),IF(INDIRECT(ADDRESS(ROW(),COLUMN()-1,4))="47121702","Contenedores de desperdicios o revestimientos rígidos",""))</f>
        <v>Contenedores de desperdicios o revestimientos rígidos</v>
      </c>
      <c r="C1231" s="58" t="str">
        <f>IFERROR(VLOOKUP("UD",'Informacion '!P:Q,2,FALSE),"")</f>
        <v>Unidad</v>
      </c>
      <c r="D1231" s="25">
        <v>75</v>
      </c>
      <c r="E1231" s="28">
        <v>241.9</v>
      </c>
      <c r="F1231" s="27">
        <f t="shared" ca="1" si="38"/>
        <v>18142.5</v>
      </c>
    </row>
    <row r="1232" spans="1:10" ht="14.25" customHeight="1" x14ac:dyDescent="0.25">
      <c r="A1232" s="25" t="s">
        <v>1049</v>
      </c>
      <c r="B1232" s="26" t="str">
        <f ca="1">IFERROR(INDEX(UNSPSCDes,MATCH(INDIRECT(ADDRESS(ROW(),COLUMN()-1,4)),UNSPSCCode,0)),IF(INDIRECT(ADDRESS(ROW(),COLUMN()-1,4))="47131706","Dispensadores de ambientadores",""))</f>
        <v>Dispensadores de ambientadores</v>
      </c>
      <c r="C1232" s="58" t="str">
        <f>IFERROR(VLOOKUP("UD",'Informacion '!P:Q,2,FALSE),"")</f>
        <v>Unidad</v>
      </c>
      <c r="D1232" s="25">
        <v>100</v>
      </c>
      <c r="E1232" s="28">
        <v>112.1</v>
      </c>
      <c r="F1232" s="27">
        <f t="shared" ca="1" si="38"/>
        <v>11210</v>
      </c>
    </row>
    <row r="1233" spans="1:6" ht="14.25" customHeight="1" x14ac:dyDescent="0.25">
      <c r="A1233" s="25" t="s">
        <v>1049</v>
      </c>
      <c r="B1233" s="26" t="str">
        <f ca="1">IFERROR(INDEX(UNSPSCDes,MATCH(INDIRECT(ADDRESS(ROW(),COLUMN()-1,4)),UNSPSCCode,0)),IF(INDIRECT(ADDRESS(ROW(),COLUMN()-1,4))="47131706","Dispensadores de ambientadores",""))</f>
        <v>Dispensadores de ambientadores</v>
      </c>
      <c r="C1233" s="58" t="str">
        <f>IFERROR(VLOOKUP("UD",'Informacion '!P:Q,2,FALSE),"")</f>
        <v>Unidad</v>
      </c>
      <c r="D1233" s="25">
        <v>100</v>
      </c>
      <c r="E1233" s="28">
        <v>112.1</v>
      </c>
      <c r="F1233" s="27">
        <f t="shared" ca="1" si="38"/>
        <v>11210</v>
      </c>
    </row>
    <row r="1234" spans="1:6" ht="14.25" customHeight="1" x14ac:dyDescent="0.25">
      <c r="A1234" s="25" t="s">
        <v>1049</v>
      </c>
      <c r="B1234" s="26" t="str">
        <f ca="1">IFERROR(INDEX(UNSPSCDes,MATCH(INDIRECT(ADDRESS(ROW(),COLUMN()-1,4)),UNSPSCCode,0)),IF(INDIRECT(ADDRESS(ROW(),COLUMN()-1,4))="47131706","Dispensadores de ambientadores",""))</f>
        <v>Dispensadores de ambientadores</v>
      </c>
      <c r="C1234" s="58" t="str">
        <f>IFERROR(VLOOKUP("UD",'Informacion '!P:Q,2,FALSE),"")</f>
        <v>Unidad</v>
      </c>
      <c r="D1234" s="25">
        <v>100</v>
      </c>
      <c r="E1234" s="28">
        <v>112.1</v>
      </c>
      <c r="F1234" s="27">
        <f t="shared" ca="1" si="38"/>
        <v>11210</v>
      </c>
    </row>
    <row r="1235" spans="1:6" ht="14.25" customHeight="1" x14ac:dyDescent="0.25">
      <c r="A1235" s="25" t="s">
        <v>373</v>
      </c>
      <c r="B1235" s="26" t="str">
        <f ca="1">IFERROR(INDEX(UNSPSCDes,MATCH(INDIRECT(ADDRESS(ROW(),COLUMN()-1,4)),UNSPSCCode,0)),IF(INDIRECT(ADDRESS(ROW(),COLUMN()-1,4))="47131602","Almohadillas para restregar",""))</f>
        <v>Almohadillas para restregar</v>
      </c>
      <c r="C1235" s="58" t="str">
        <f>IFERROR(VLOOKUP("UD",'Informacion '!P:Q,2,FALSE),"")</f>
        <v>Unidad</v>
      </c>
      <c r="D1235" s="25">
        <v>100</v>
      </c>
      <c r="E1235" s="28">
        <v>76.7</v>
      </c>
      <c r="F1235" s="27">
        <f t="shared" ca="1" si="38"/>
        <v>7670</v>
      </c>
    </row>
    <row r="1236" spans="1:6" ht="14.25" customHeight="1" x14ac:dyDescent="0.25">
      <c r="A1236" s="25" t="s">
        <v>328</v>
      </c>
      <c r="B1236" s="26" t="str">
        <f ca="1">IFERROR(INDEX(UNSPSCDes,MATCH(INDIRECT(ADDRESS(ROW(),COLUMN()-1,4)),UNSPSCCode,0)),IF(INDIRECT(ADDRESS(ROW(),COLUMN()-1,4))="47131807","Blanqueadores",""))</f>
        <v>Blanqueadores</v>
      </c>
      <c r="C1236" s="58" t="str">
        <f>IFERROR(VLOOKUP("GAL",'Informacion '!P:Q,2,FALSE),"")</f>
        <v>Galón</v>
      </c>
      <c r="D1236" s="25">
        <v>200</v>
      </c>
      <c r="E1236" s="28">
        <v>159.30000000000001</v>
      </c>
      <c r="F1236" s="27">
        <f t="shared" ca="1" si="38"/>
        <v>31860.000000000004</v>
      </c>
    </row>
    <row r="1237" spans="1:6" ht="14.25" customHeight="1" x14ac:dyDescent="0.25">
      <c r="A1237" s="25" t="s">
        <v>462</v>
      </c>
      <c r="B1237" s="26" t="str">
        <f ca="1">IFERROR(INDEX(UNSPSCDes,MATCH(INDIRECT(ADDRESS(ROW(),COLUMN()-1,4)),UNSPSCCode,0)),IF(INDIRECT(ADDRESS(ROW(),COLUMN()-1,4))="47121804","Baldes para limpieza",""))</f>
        <v>Baldes para limpieza</v>
      </c>
      <c r="C1237" s="58" t="str">
        <f>IFERROR(VLOOKUP("UD",'Informacion '!P:Q,2,FALSE),"")</f>
        <v>Unidad</v>
      </c>
      <c r="D1237" s="25">
        <v>25</v>
      </c>
      <c r="E1237" s="28">
        <v>147.5</v>
      </c>
      <c r="F1237" s="27">
        <f t="shared" ca="1" si="38"/>
        <v>3687.5</v>
      </c>
    </row>
    <row r="1238" spans="1:6" ht="14.25" customHeight="1" x14ac:dyDescent="0.25">
      <c r="A1238" s="25" t="s">
        <v>634</v>
      </c>
      <c r="B1238" s="26" t="str">
        <f ca="1">IFERROR(INDEX(UNSPSCDes,MATCH(INDIRECT(ADDRESS(ROW(),COLUMN()-1,4)),UNSPSCCode,0)),IF(INDIRECT(ADDRESS(ROW(),COLUMN()-1,4))="47131805","Limpiadores de propósito general",""))</f>
        <v>Limpiadores de propósito general</v>
      </c>
      <c r="C1238" s="58" t="str">
        <f>IFERROR(VLOOKUP("GAL",'Informacion '!P:Q,2,FALSE),"")</f>
        <v>Galón</v>
      </c>
      <c r="D1238" s="25">
        <v>25</v>
      </c>
      <c r="E1238" s="28">
        <v>265.5</v>
      </c>
      <c r="F1238" s="27">
        <f t="shared" ca="1" si="38"/>
        <v>6637.5</v>
      </c>
    </row>
    <row r="1239" spans="1:6" ht="14.25" customHeight="1" x14ac:dyDescent="0.25">
      <c r="A1239" s="25" t="s">
        <v>825</v>
      </c>
      <c r="B1239" s="26" t="str">
        <f ca="1">IFERROR(INDEX(UNSPSCDes,MATCH(INDIRECT(ADDRESS(ROW(),COLUMN()-1,4)),UNSPSCCode,0)),IF(INDIRECT(ADDRESS(ROW(),COLUMN()-1,4))="47131803","Desinfectantes para uso doméstico",""))</f>
        <v>Desinfectantes para uso doméstico</v>
      </c>
      <c r="C1239" s="58" t="str">
        <f>IFERROR(VLOOKUP("GAL",'Informacion '!P:Q,2,FALSE),"")</f>
        <v>Galón</v>
      </c>
      <c r="D1239" s="25">
        <v>200</v>
      </c>
      <c r="E1239" s="28">
        <v>295</v>
      </c>
      <c r="F1239" s="27">
        <f t="shared" ca="1" si="38"/>
        <v>59000</v>
      </c>
    </row>
    <row r="1240" spans="1:6" ht="14.25" customHeight="1" x14ac:dyDescent="0.25">
      <c r="A1240" s="25" t="s">
        <v>825</v>
      </c>
      <c r="B1240" s="26" t="str">
        <f ca="1">IFERROR(INDEX(UNSPSCDes,MATCH(INDIRECT(ADDRESS(ROW(),COLUMN()-1,4)),UNSPSCCode,0)),IF(INDIRECT(ADDRESS(ROW(),COLUMN()-1,4))="47131803","Desinfectantes para uso doméstico",""))</f>
        <v>Desinfectantes para uso doméstico</v>
      </c>
      <c r="C1240" s="58" t="str">
        <f>IFERROR(VLOOKUP("GAL",'Informacion '!P:Q,2,FALSE),"")</f>
        <v>Galón</v>
      </c>
      <c r="D1240" s="25">
        <v>200</v>
      </c>
      <c r="E1240" s="28">
        <v>295</v>
      </c>
      <c r="F1240" s="27">
        <f t="shared" ca="1" si="38"/>
        <v>59000</v>
      </c>
    </row>
    <row r="1241" spans="1:6" ht="14.25" customHeight="1" x14ac:dyDescent="0.25">
      <c r="A1241" s="25" t="s">
        <v>825</v>
      </c>
      <c r="B1241" s="26" t="str">
        <f ca="1">IFERROR(INDEX(UNSPSCDes,MATCH(INDIRECT(ADDRESS(ROW(),COLUMN()-1,4)),UNSPSCCode,0)),IF(INDIRECT(ADDRESS(ROW(),COLUMN()-1,4))="47131803","Desinfectantes para uso doméstico",""))</f>
        <v>Desinfectantes para uso doméstico</v>
      </c>
      <c r="C1241" s="58" t="str">
        <f>IFERROR(VLOOKUP("GAL",'Informacion '!P:Q,2,FALSE),"")</f>
        <v>Galón</v>
      </c>
      <c r="D1241" s="25">
        <v>200</v>
      </c>
      <c r="E1241" s="28">
        <v>295</v>
      </c>
      <c r="F1241" s="27">
        <f t="shared" ca="1" si="38"/>
        <v>59000</v>
      </c>
    </row>
    <row r="1242" spans="1:6" ht="14.25" customHeight="1" x14ac:dyDescent="0.25">
      <c r="A1242" s="25" t="s">
        <v>634</v>
      </c>
      <c r="B1242" s="26" t="str">
        <f ca="1">IFERROR(INDEX(UNSPSCDes,MATCH(INDIRECT(ADDRESS(ROW(),COLUMN()-1,4)),UNSPSCCode,0)),IF(INDIRECT(ADDRESS(ROW(),COLUMN()-1,4))="47131805","Limpiadores de propósito general",""))</f>
        <v>Limpiadores de propósito general</v>
      </c>
      <c r="C1242" s="58" t="str">
        <f>IFERROR(VLOOKUP("UD",'Informacion '!P:Q,2,FALSE),"")</f>
        <v>Unidad</v>
      </c>
      <c r="D1242" s="25">
        <v>200</v>
      </c>
      <c r="E1242" s="28">
        <v>65</v>
      </c>
      <c r="F1242" s="27">
        <f t="shared" ca="1" si="38"/>
        <v>13000</v>
      </c>
    </row>
    <row r="1243" spans="1:6" ht="14.25" customHeight="1" x14ac:dyDescent="0.25">
      <c r="A1243" s="25" t="s">
        <v>275</v>
      </c>
      <c r="B1243" s="26" t="str">
        <f ca="1">IFERROR(INDEX(UNSPSCDes,MATCH(INDIRECT(ADDRESS(ROW(),COLUMN()-1,4)),UNSPSCCode,0)),IF(INDIRECT(ADDRESS(ROW(),COLUMN()-1,4))="47131604","Escobas",""))</f>
        <v>Escobas</v>
      </c>
      <c r="C1243" s="58" t="str">
        <f>IFERROR(VLOOKUP("UD",'Informacion '!P:Q,2,FALSE),"")</f>
        <v>Unidad</v>
      </c>
      <c r="D1243" s="25">
        <v>75</v>
      </c>
      <c r="E1243" s="28">
        <v>154</v>
      </c>
      <c r="F1243" s="27">
        <f t="shared" ca="1" si="38"/>
        <v>11550</v>
      </c>
    </row>
    <row r="1244" spans="1:6" ht="14.25" customHeight="1" x14ac:dyDescent="0.25">
      <c r="A1244" s="25" t="s">
        <v>275</v>
      </c>
      <c r="B1244" s="26" t="str">
        <f ca="1">IFERROR(INDEX(UNSPSCDes,MATCH(INDIRECT(ADDRESS(ROW(),COLUMN()-1,4)),UNSPSCCode,0)),IF(INDIRECT(ADDRESS(ROW(),COLUMN()-1,4))="47131604","Escobas",""))</f>
        <v>Escobas</v>
      </c>
      <c r="C1244" s="58" t="str">
        <f>IFERROR(VLOOKUP("UD",'Informacion '!P:Q,2,FALSE),"")</f>
        <v>Unidad</v>
      </c>
      <c r="D1244" s="25">
        <v>75</v>
      </c>
      <c r="E1244" s="28">
        <v>130</v>
      </c>
      <c r="F1244" s="27">
        <f t="shared" ca="1" si="38"/>
        <v>9750</v>
      </c>
    </row>
    <row r="1245" spans="1:6" ht="14.25" customHeight="1" x14ac:dyDescent="0.25">
      <c r="A1245" s="25" t="s">
        <v>167</v>
      </c>
      <c r="B1245" s="26" t="str">
        <f ca="1">IFERROR(INDEX(UNSPSCDes,MATCH(INDIRECT(ADDRESS(ROW(),COLUMN()-1,4)),UNSPSCCode,0)),IF(INDIRECT(ADDRESS(ROW(),COLUMN()-1,4))="40141742","Atomizadores",""))</f>
        <v>Atomizadores</v>
      </c>
      <c r="C1245" s="58" t="str">
        <f>IFERROR(VLOOKUP("UD",'Informacion '!P:Q,2,FALSE),"")</f>
        <v>Unidad</v>
      </c>
      <c r="D1245" s="25">
        <v>50</v>
      </c>
      <c r="E1245" s="28">
        <v>82</v>
      </c>
      <c r="F1245" s="27">
        <f t="shared" ca="1" si="38"/>
        <v>4100</v>
      </c>
    </row>
    <row r="1246" spans="1:6" ht="14.25" customHeight="1" x14ac:dyDescent="0.25">
      <c r="A1246" s="25" t="s">
        <v>730</v>
      </c>
      <c r="B1246" s="26" t="str">
        <f ca="1">IFERROR(INDEX(UNSPSCDes,MATCH(INDIRECT(ADDRESS(ROW(),COLUMN()-1,4)),UNSPSCCode,0)),IF(INDIRECT(ADDRESS(ROW(),COLUMN()-1,4))="47121701","Bolsas de basura",""))</f>
        <v>Bolsas de basura</v>
      </c>
      <c r="C1246" s="58" t="str">
        <f>IFERROR(VLOOKUP("PAQ",'Informacion '!P:Q,2,FALSE),"")</f>
        <v>Paquete</v>
      </c>
      <c r="D1246" s="25">
        <v>100</v>
      </c>
      <c r="E1246" s="28">
        <v>413</v>
      </c>
      <c r="F1246" s="27">
        <f t="shared" ca="1" si="38"/>
        <v>41300</v>
      </c>
    </row>
    <row r="1247" spans="1:6" ht="14.25" customHeight="1" x14ac:dyDescent="0.25">
      <c r="A1247" s="25" t="s">
        <v>730</v>
      </c>
      <c r="B1247" s="26" t="str">
        <f ca="1">IFERROR(INDEX(UNSPSCDes,MATCH(INDIRECT(ADDRESS(ROW(),COLUMN()-1,4)),UNSPSCCode,0)),IF(INDIRECT(ADDRESS(ROW(),COLUMN()-1,4))="47121701","Bolsas de basura",""))</f>
        <v>Bolsas de basura</v>
      </c>
      <c r="C1247" s="58" t="str">
        <f>IFERROR(VLOOKUP("PAQ",'Informacion '!P:Q,2,FALSE),"")</f>
        <v>Paquete</v>
      </c>
      <c r="D1247" s="25">
        <v>100</v>
      </c>
      <c r="E1247" s="28">
        <v>177</v>
      </c>
      <c r="F1247" s="27">
        <f t="shared" ca="1" si="38"/>
        <v>17700</v>
      </c>
    </row>
    <row r="1248" spans="1:6" ht="14.25" customHeight="1" x14ac:dyDescent="0.25">
      <c r="A1248" s="25" t="s">
        <v>730</v>
      </c>
      <c r="B1248" s="26" t="str">
        <f ca="1">IFERROR(INDEX(UNSPSCDes,MATCH(INDIRECT(ADDRESS(ROW(),COLUMN()-1,4)),UNSPSCCode,0)),IF(INDIRECT(ADDRESS(ROW(),COLUMN()-1,4))="47121701","Bolsas de basura",""))</f>
        <v>Bolsas de basura</v>
      </c>
      <c r="C1248" s="58" t="str">
        <f>IFERROR(VLOOKUP("PAQ",'Informacion '!P:Q,2,FALSE),"")</f>
        <v>Paquete</v>
      </c>
      <c r="D1248" s="25">
        <v>100</v>
      </c>
      <c r="E1248" s="28">
        <v>289.10000000000002</v>
      </c>
      <c r="F1248" s="27">
        <f t="shared" ca="1" si="38"/>
        <v>28910.000000000004</v>
      </c>
    </row>
    <row r="1249" spans="1:6" ht="14.25" customHeight="1" x14ac:dyDescent="0.25">
      <c r="A1249" s="25" t="s">
        <v>730</v>
      </c>
      <c r="B1249" s="26" t="str">
        <f ca="1">IFERROR(INDEX(UNSPSCDes,MATCH(INDIRECT(ADDRESS(ROW(),COLUMN()-1,4)),UNSPSCCode,0)),IF(INDIRECT(ADDRESS(ROW(),COLUMN()-1,4))="47121701","Bolsas de basura",""))</f>
        <v>Bolsas de basura</v>
      </c>
      <c r="C1249" s="58" t="str">
        <f>IFERROR(VLOOKUP("PAQ",'Informacion '!P:Q,2,FALSE),"")</f>
        <v>Paquete</v>
      </c>
      <c r="D1249" s="25">
        <v>100</v>
      </c>
      <c r="E1249" s="28">
        <v>443.68</v>
      </c>
      <c r="F1249" s="27">
        <f t="shared" ca="1" si="38"/>
        <v>44368</v>
      </c>
    </row>
    <row r="1250" spans="1:6" ht="14.25" customHeight="1" x14ac:dyDescent="0.25">
      <c r="A1250" s="25" t="s">
        <v>58</v>
      </c>
      <c r="B1250" s="26" t="str">
        <f ca="1">IFERROR(INDEX(UNSPSCDes,MATCH(INDIRECT(ADDRESS(ROW(),COLUMN()-1,4)),UNSPSCCode,0)),IF(INDIRECT(ADDRESS(ROW(),COLUMN()-1,4))="46181504","Guantes de protección",""))</f>
        <v>Guantes de protección</v>
      </c>
      <c r="C1250" s="58" t="str">
        <f>IFERROR(VLOOKUP("UD",'Informacion '!P:Q,2,FALSE),"")</f>
        <v>Unidad</v>
      </c>
      <c r="D1250" s="25">
        <v>50</v>
      </c>
      <c r="E1250" s="28">
        <v>106.2</v>
      </c>
      <c r="F1250" s="27">
        <f t="shared" ca="1" si="38"/>
        <v>5310</v>
      </c>
    </row>
    <row r="1251" spans="1:6" ht="14.25" customHeight="1" x14ac:dyDescent="0.25">
      <c r="A1251" s="25" t="s">
        <v>58</v>
      </c>
      <c r="B1251" s="26" t="str">
        <f ca="1">IFERROR(INDEX(UNSPSCDes,MATCH(INDIRECT(ADDRESS(ROW(),COLUMN()-1,4)),UNSPSCCode,0)),IF(INDIRECT(ADDRESS(ROW(),COLUMN()-1,4))="46181504","Guantes de protección",""))</f>
        <v>Guantes de protección</v>
      </c>
      <c r="C1251" s="58" t="str">
        <f>IFERROR(VLOOKUP("UD",'Informacion '!P:Q,2,FALSE),"")</f>
        <v>Unidad</v>
      </c>
      <c r="D1251" s="25">
        <v>50</v>
      </c>
      <c r="E1251" s="28">
        <v>106.2</v>
      </c>
      <c r="F1251" s="27">
        <f t="shared" ca="1" si="38"/>
        <v>5310</v>
      </c>
    </row>
    <row r="1252" spans="1:6" ht="14.25" customHeight="1" x14ac:dyDescent="0.25">
      <c r="A1252" s="25" t="s">
        <v>753</v>
      </c>
      <c r="B1252" s="26" t="str">
        <f ca="1">IFERROR(INDEX(UNSPSCDes,MATCH(INDIRECT(ADDRESS(ROW(),COLUMN()-1,4)),UNSPSCCode,0)),IF(INDIRECT(ADDRESS(ROW(),COLUMN()-1,4))="47131810","Productos para el lavaplatos",""))</f>
        <v>Productos para el lavaplatos</v>
      </c>
      <c r="C1252" s="58" t="str">
        <f>IFERROR(VLOOKUP("GAL",'Informacion '!P:Q,2,FALSE),"")</f>
        <v>Galón</v>
      </c>
      <c r="D1252" s="25">
        <v>150</v>
      </c>
      <c r="E1252" s="28">
        <v>212.4</v>
      </c>
      <c r="F1252" s="27">
        <f t="shared" ca="1" si="38"/>
        <v>31860</v>
      </c>
    </row>
    <row r="1253" spans="1:6" ht="14.25" customHeight="1" x14ac:dyDescent="0.25">
      <c r="A1253" s="25" t="s">
        <v>79</v>
      </c>
      <c r="B1253" s="26" t="str">
        <f ca="1">IFERROR(INDEX(UNSPSCDes,MATCH(INDIRECT(ADDRESS(ROW(),COLUMN()-1,4)),UNSPSCCode,0)),IF(INDIRECT(ADDRESS(ROW(),COLUMN()-1,4))="53131608","Jabones",""))</f>
        <v>Jabones</v>
      </c>
      <c r="C1253" s="58" t="str">
        <f>IFERROR(VLOOKUP("GAL",'Informacion '!P:Q,2,FALSE),"")</f>
        <v>Galón</v>
      </c>
      <c r="D1253" s="25">
        <v>100</v>
      </c>
      <c r="E1253" s="28">
        <v>112.4</v>
      </c>
      <c r="F1253" s="27">
        <f t="shared" ca="1" si="38"/>
        <v>11240</v>
      </c>
    </row>
    <row r="1254" spans="1:6" ht="14.25" customHeight="1" x14ac:dyDescent="0.25">
      <c r="A1254" s="25" t="s">
        <v>425</v>
      </c>
      <c r="B1254" s="26" t="str">
        <f ca="1">IFERROR(INDEX(UNSPSCDes,MATCH(INDIRECT(ADDRESS(ROW(),COLUMN()-1,4)),UNSPSCCode,0)),IF(INDIRECT(ADDRESS(ROW(),COLUMN()-1,4))="47131502","Pañitos o toallas para limpiar",""))</f>
        <v>Pañitos o toallas para limpiar</v>
      </c>
      <c r="C1254" s="58" t="str">
        <f>IFERROR(VLOOKUP("PAQ",'Informacion '!P:Q,2,FALSE),"")</f>
        <v>Paquete</v>
      </c>
      <c r="D1254" s="25">
        <v>50</v>
      </c>
      <c r="E1254" s="28">
        <v>1132.8</v>
      </c>
      <c r="F1254" s="27">
        <f t="shared" ca="1" si="38"/>
        <v>56640</v>
      </c>
    </row>
    <row r="1255" spans="1:6" ht="14.25" customHeight="1" x14ac:dyDescent="0.25">
      <c r="A1255" s="25" t="s">
        <v>367</v>
      </c>
      <c r="B1255" s="26" t="str">
        <f ca="1">IFERROR(INDEX(UNSPSCDes,MATCH(INDIRECT(ADDRESS(ROW(),COLUMN()-1,4)),UNSPSCCode,0)),IF(INDIRECT(ADDRESS(ROW(),COLUMN()-1,4))="47131801","Limpiadores de pisos",""))</f>
        <v>Limpiadores de pisos</v>
      </c>
      <c r="C1255" s="58" t="str">
        <f>IFERROR(VLOOKUP("GAL",'Informacion '!P:Q,2,FALSE),"")</f>
        <v>Galón</v>
      </c>
      <c r="D1255" s="25">
        <v>50</v>
      </c>
      <c r="E1255" s="28">
        <v>247.8</v>
      </c>
      <c r="F1255" s="27">
        <f t="shared" ca="1" si="38"/>
        <v>12390</v>
      </c>
    </row>
    <row r="1256" spans="1:6" ht="14.25" customHeight="1" x14ac:dyDescent="0.25">
      <c r="A1256" s="25" t="s">
        <v>393</v>
      </c>
      <c r="B1256" s="26" t="str">
        <f ca="1">IFERROR(INDEX(UNSPSCDes,MATCH(INDIRECT(ADDRESS(ROW(),COLUMN()-1,4)),UNSPSCCode,0)),IF(INDIRECT(ADDRESS(ROW(),COLUMN()-1,4))="47131806","Pulidores o ceras para muebles",""))</f>
        <v>Pulidores o ceras para muebles</v>
      </c>
      <c r="C1256" s="58" t="str">
        <f>IFERROR(VLOOKUP("L",'Informacion '!P:Q,2,FALSE),"")</f>
        <v>Litro</v>
      </c>
      <c r="D1256" s="25">
        <v>25</v>
      </c>
      <c r="E1256" s="28">
        <v>354</v>
      </c>
      <c r="F1256" s="27">
        <f t="shared" ca="1" si="38"/>
        <v>8850</v>
      </c>
    </row>
    <row r="1257" spans="1:6" ht="14.25" customHeight="1" x14ac:dyDescent="0.25">
      <c r="A1257" s="25" t="s">
        <v>939</v>
      </c>
      <c r="B1257" s="26" t="str">
        <f ca="1">IFERROR(INDEX(UNSPSCDes,MATCH(INDIRECT(ADDRESS(ROW(),COLUMN()-1,4)),UNSPSCCode,0)),IF(INDIRECT(ADDRESS(ROW(),COLUMN()-1,4))="44102912","Soluciones limpiadoras para equipos de oficina",""))</f>
        <v>Soluciones limpiadoras para equipos de oficina</v>
      </c>
      <c r="C1257" s="58" t="str">
        <f>IFERROR(VLOOKUP("UD",'Informacion '!P:Q,2,FALSE),"")</f>
        <v>Unidad</v>
      </c>
      <c r="D1257" s="25">
        <v>25</v>
      </c>
      <c r="E1257" s="28">
        <v>649</v>
      </c>
      <c r="F1257" s="27">
        <f t="shared" ca="1" si="38"/>
        <v>16225</v>
      </c>
    </row>
    <row r="1258" spans="1:6" ht="14.25" customHeight="1" x14ac:dyDescent="0.25">
      <c r="A1258" s="25" t="s">
        <v>777</v>
      </c>
      <c r="B1258" s="26" t="str">
        <f ca="1">IFERROR(INDEX(UNSPSCDes,MATCH(INDIRECT(ADDRESS(ROW(),COLUMN()-1,4)),UNSPSCCode,0)),IF(INDIRECT(ADDRESS(ROW(),COLUMN()-1,4))="47131618","Traperos húmedos",""))</f>
        <v>Traperos húmedos</v>
      </c>
      <c r="C1258" s="58" t="str">
        <f>IFERROR(VLOOKUP("UD",'Informacion '!P:Q,2,FALSE),"")</f>
        <v>Unidad</v>
      </c>
      <c r="D1258" s="25">
        <v>75</v>
      </c>
      <c r="E1258" s="28">
        <v>194.7</v>
      </c>
      <c r="F1258" s="27">
        <f t="shared" ca="1" si="38"/>
        <v>14602.5</v>
      </c>
    </row>
    <row r="1259" spans="1:6" ht="14.25" customHeight="1" x14ac:dyDescent="0.25">
      <c r="A1259" s="25" t="s">
        <v>982</v>
      </c>
      <c r="B1259" s="26" t="str">
        <f ca="1">IFERROR(INDEX(UNSPSCDes,MATCH(INDIRECT(ADDRESS(ROW(),COLUMN()-1,4)),UNSPSCCode,0)),IF(INDIRECT(ADDRESS(ROW(),COLUMN()-1,4))="12352104","Alcoholes o sus sustitutos",""))</f>
        <v>Alcoholes o sus sustitutos</v>
      </c>
      <c r="C1259" s="58" t="str">
        <f>IFERROR(VLOOKUP("GAL",'Informacion '!P:Q,2,FALSE),"")</f>
        <v>Galón</v>
      </c>
      <c r="D1259" s="25">
        <v>50</v>
      </c>
      <c r="E1259" s="28">
        <v>625.4</v>
      </c>
      <c r="F1259" s="27">
        <f t="shared" ca="1" si="38"/>
        <v>31270</v>
      </c>
    </row>
    <row r="1260" spans="1:6" ht="14.25" customHeight="1" x14ac:dyDescent="0.25">
      <c r="A1260" s="25" t="s">
        <v>982</v>
      </c>
      <c r="B1260" s="26" t="str">
        <f ca="1">IFERROR(INDEX(UNSPSCDes,MATCH(INDIRECT(ADDRESS(ROW(),COLUMN()-1,4)),UNSPSCCode,0)),IF(INDIRECT(ADDRESS(ROW(),COLUMN()-1,4))="12352104","Alcoholes o sus sustitutos",""))</f>
        <v>Alcoholes o sus sustitutos</v>
      </c>
      <c r="C1260" s="58" t="str">
        <f>IFERROR(VLOOKUP("GAL",'Informacion '!P:Q,2,FALSE),"")</f>
        <v>Galón</v>
      </c>
      <c r="D1260" s="25">
        <v>50</v>
      </c>
      <c r="E1260" s="28">
        <v>767</v>
      </c>
      <c r="F1260" s="27">
        <f t="shared" ca="1" si="38"/>
        <v>38350</v>
      </c>
    </row>
    <row r="1261" spans="1:6" ht="14.25" customHeight="1" x14ac:dyDescent="0.25">
      <c r="A1261" s="25" t="s">
        <v>167</v>
      </c>
      <c r="B1261" s="26" t="str">
        <f ca="1">IFERROR(INDEX(UNSPSCDes,MATCH(INDIRECT(ADDRESS(ROW(),COLUMN()-1,4)),UNSPSCCode,0)),IF(INDIRECT(ADDRESS(ROW(),COLUMN()-1,4))="40141742","Atomizadores",""))</f>
        <v>Atomizadores</v>
      </c>
      <c r="C1261" s="58" t="str">
        <f>IFERROR(VLOOKUP("UD",'Informacion '!P:Q,2,FALSE),"")</f>
        <v>Unidad</v>
      </c>
      <c r="D1261" s="25">
        <v>50</v>
      </c>
      <c r="E1261" s="28">
        <v>88.5</v>
      </c>
      <c r="F1261" s="27">
        <f t="shared" ca="1" si="38"/>
        <v>4425</v>
      </c>
    </row>
    <row r="1262" spans="1:6" ht="14.25" customHeight="1" x14ac:dyDescent="0.25">
      <c r="A1262" s="25" t="s">
        <v>138</v>
      </c>
      <c r="B1262" s="26" t="str">
        <f ca="1">IFERROR(INDEX(UNSPSCDes,MATCH(INDIRECT(ADDRESS(ROW(),COLUMN()-1,4)),UNSPSCCode,0)),IF(INDIRECT(ADDRESS(ROW(),COLUMN()-1,4))="47131605","Cepillos de limpieza",""))</f>
        <v>Cepillos de limpieza</v>
      </c>
      <c r="C1262" s="58" t="str">
        <f>IFERROR(VLOOKUP("UD",'Informacion '!P:Q,2,FALSE),"")</f>
        <v>Unidad</v>
      </c>
      <c r="D1262" s="25">
        <v>25</v>
      </c>
      <c r="E1262" s="28">
        <v>70.8</v>
      </c>
      <c r="F1262" s="27">
        <f t="shared" ca="1" si="38"/>
        <v>1770</v>
      </c>
    </row>
    <row r="1263" spans="1:6" ht="14.25" customHeight="1" x14ac:dyDescent="0.25">
      <c r="A1263" s="25" t="s">
        <v>275</v>
      </c>
      <c r="B1263" s="26" t="str">
        <f ca="1">IFERROR(INDEX(UNSPSCDes,MATCH(INDIRECT(ADDRESS(ROW(),COLUMN()-1,4)),UNSPSCCode,0)),IF(INDIRECT(ADDRESS(ROW(),COLUMN()-1,4))="47131604","Escobas",""))</f>
        <v>Escobas</v>
      </c>
      <c r="C1263" s="58" t="str">
        <f>IFERROR(VLOOKUP("UD",'Informacion '!P:Q,2,FALSE),"")</f>
        <v>Unidad</v>
      </c>
      <c r="D1263" s="25">
        <v>75</v>
      </c>
      <c r="E1263" s="28">
        <v>100.3</v>
      </c>
      <c r="F1263" s="27">
        <f t="shared" ca="1" si="38"/>
        <v>7522.5</v>
      </c>
    </row>
    <row r="1264" spans="1:6" ht="14.25" customHeight="1" x14ac:dyDescent="0.25">
      <c r="A1264" s="25" t="s">
        <v>275</v>
      </c>
      <c r="B1264" s="26" t="str">
        <f ca="1">IFERROR(INDEX(UNSPSCDes,MATCH(INDIRECT(ADDRESS(ROW(),COLUMN()-1,4)),UNSPSCCode,0)),IF(INDIRECT(ADDRESS(ROW(),COLUMN()-1,4))="47131604","Escobas",""))</f>
        <v>Escobas</v>
      </c>
      <c r="C1264" s="58" t="str">
        <f>IFERROR(VLOOKUP("UD",'Informacion '!P:Q,2,FALSE),"")</f>
        <v>Unidad</v>
      </c>
      <c r="D1264" s="25">
        <v>75</v>
      </c>
      <c r="E1264" s="28">
        <v>265.5</v>
      </c>
      <c r="F1264" s="27">
        <f t="shared" ca="1" si="38"/>
        <v>19912.5</v>
      </c>
    </row>
    <row r="1265" spans="1:10" ht="14.25" customHeight="1" x14ac:dyDescent="0.25">
      <c r="A1265" s="25" t="s">
        <v>693</v>
      </c>
      <c r="B1265" s="26" t="str">
        <f ca="1">IFERROR(INDEX(UNSPSCDes,MATCH(INDIRECT(ADDRESS(ROW(),COLUMN()-1,4)),UNSPSCCode,0)),IF(INDIRECT(ADDRESS(ROW(),COLUMN()-1,4))="47131702","Dispensadores de productos sanitarios",""))</f>
        <v>Dispensadores de productos sanitarios</v>
      </c>
      <c r="C1265" s="58" t="str">
        <f>IFERROR(VLOOKUP("UD",'Informacion '!P:Q,2,FALSE),"")</f>
        <v>Unidad</v>
      </c>
      <c r="D1265" s="25">
        <v>100</v>
      </c>
      <c r="E1265" s="28">
        <v>600</v>
      </c>
      <c r="F1265" s="27">
        <f t="shared" ca="1" si="38"/>
        <v>60000</v>
      </c>
    </row>
    <row r="1266" spans="1:10" ht="14.25" customHeight="1" x14ac:dyDescent="0.25">
      <c r="A1266" s="25" t="s">
        <v>392</v>
      </c>
      <c r="B1266" s="26" t="str">
        <f ca="1">IFERROR(INDEX(UNSPSCDes,MATCH(INDIRECT(ADDRESS(ROW(),COLUMN()-1,4)),UNSPSCCode,0)),IF(INDIRECT(ADDRESS(ROW(),COLUMN()-1,4))="47131603","Esponjas",""))</f>
        <v>Esponjas</v>
      </c>
      <c r="C1266" s="58" t="str">
        <f>IFERROR(VLOOKUP("UD",'Informacion '!P:Q,2,FALSE),"")</f>
        <v>Unidad</v>
      </c>
      <c r="D1266" s="25">
        <v>50</v>
      </c>
      <c r="E1266" s="28">
        <v>59</v>
      </c>
      <c r="F1266" s="27">
        <f t="shared" ca="1" si="38"/>
        <v>2950</v>
      </c>
    </row>
    <row r="1267" spans="1:10" ht="14.25" customHeight="1" x14ac:dyDescent="0.25">
      <c r="A1267" s="25" t="s">
        <v>58</v>
      </c>
      <c r="B1267" s="26" t="str">
        <f ca="1">IFERROR(INDEX(UNSPSCDes,MATCH(INDIRECT(ADDRESS(ROW(),COLUMN()-1,4)),UNSPSCCode,0)),IF(INDIRECT(ADDRESS(ROW(),COLUMN()-1,4))="46181504","Guantes de protección",""))</f>
        <v>Guantes de protección</v>
      </c>
      <c r="C1267" s="58" t="str">
        <f>IFERROR(VLOOKUP("CAJ",'Informacion '!P:Q,2,FALSE),"")</f>
        <v>Caja</v>
      </c>
      <c r="D1267" s="25">
        <v>5</v>
      </c>
      <c r="E1267" s="28">
        <v>885</v>
      </c>
      <c r="F1267" s="27">
        <f t="shared" ca="1" si="38"/>
        <v>4425</v>
      </c>
    </row>
    <row r="1268" spans="1:10" ht="14.25" customHeight="1" x14ac:dyDescent="0.25">
      <c r="A1268" s="25" t="s">
        <v>58</v>
      </c>
      <c r="B1268" s="26" t="str">
        <f ca="1">IFERROR(INDEX(UNSPSCDes,MATCH(INDIRECT(ADDRESS(ROW(),COLUMN()-1,4)),UNSPSCCode,0)),IF(INDIRECT(ADDRESS(ROW(),COLUMN()-1,4))="46181504","Guantes de protección",""))</f>
        <v>Guantes de protección</v>
      </c>
      <c r="C1268" s="58" t="str">
        <f>IFERROR(VLOOKUP("CAJ",'Informacion '!P:Q,2,FALSE),"")</f>
        <v>Caja</v>
      </c>
      <c r="D1268" s="25">
        <v>5</v>
      </c>
      <c r="E1268" s="28">
        <v>885</v>
      </c>
      <c r="F1268" s="27">
        <f t="shared" ca="1" si="38"/>
        <v>4425</v>
      </c>
    </row>
    <row r="1269" spans="1:10" ht="14.25" customHeight="1" x14ac:dyDescent="0.25">
      <c r="A1269" s="25" t="s">
        <v>668</v>
      </c>
      <c r="B1269" s="26" t="str">
        <f ca="1">IFERROR(INDEX(UNSPSCDes,MATCH(INDIRECT(ADDRESS(ROW(),COLUMN()-1,4)),UNSPSCCode,0)),IF(INDIRECT(ADDRESS(ROW(),COLUMN()-1,4))="47121702","Contenedores de desperdicios o revestimientos rígidos",""))</f>
        <v>Contenedores de desperdicios o revestimientos rígidos</v>
      </c>
      <c r="C1269" s="58" t="str">
        <f>IFERROR(VLOOKUP("UD",'Informacion '!P:Q,2,FALSE),"")</f>
        <v>Unidad</v>
      </c>
      <c r="D1269" s="25">
        <v>12</v>
      </c>
      <c r="E1269" s="28">
        <v>1995</v>
      </c>
      <c r="F1269" s="27">
        <f t="shared" ca="1" si="38"/>
        <v>23940</v>
      </c>
    </row>
    <row r="1270" spans="1:10" ht="14.25" customHeight="1" x14ac:dyDescent="0.25">
      <c r="E1270" s="30" t="s">
        <v>816</v>
      </c>
      <c r="F1270" s="31">
        <f ca="1">SUM(Table57[MONTO TOTAL ESTIMADO])</f>
        <v>813083</v>
      </c>
      <c r="H1270" s="21" t="str">
        <f>C1223</f>
        <v>Bienes</v>
      </c>
      <c r="I1270" s="21" t="str">
        <f>E1223</f>
        <v>Sí</v>
      </c>
      <c r="J1270" s="21" t="str">
        <f>D1223</f>
        <v>Compras Menores</v>
      </c>
    </row>
    <row r="1272" spans="1:10" ht="33.950000000000003" customHeight="1" x14ac:dyDescent="0.25">
      <c r="A1272" s="22" t="s">
        <v>1051</v>
      </c>
      <c r="B1272" s="22" t="s">
        <v>11</v>
      </c>
      <c r="C1272" s="22" t="s">
        <v>751</v>
      </c>
      <c r="D1272" s="22" t="s">
        <v>930</v>
      </c>
      <c r="E1272" s="22" t="s">
        <v>699</v>
      </c>
      <c r="F1272" s="22" t="s">
        <v>710</v>
      </c>
    </row>
    <row r="1273" spans="1:10" ht="14.25" customHeight="1" x14ac:dyDescent="0.25">
      <c r="A1273" s="23" t="s">
        <v>228</v>
      </c>
      <c r="B1273" s="23" t="s">
        <v>317</v>
      </c>
      <c r="C1273" s="23" t="s">
        <v>1155</v>
      </c>
      <c r="D1273" s="23" t="s">
        <v>1128</v>
      </c>
      <c r="E1273" s="23" t="s">
        <v>1156</v>
      </c>
      <c r="F1273" s="23" t="s">
        <v>436</v>
      </c>
    </row>
    <row r="1274" spans="1:10" ht="14.25" customHeight="1" x14ac:dyDescent="0.25">
      <c r="A1274" s="68" t="s">
        <v>965</v>
      </c>
      <c r="B1274" s="24" t="s">
        <v>543</v>
      </c>
      <c r="C1274" s="54">
        <v>46235</v>
      </c>
      <c r="D1274" s="68" t="s">
        <v>598</v>
      </c>
      <c r="E1274" s="56" t="s">
        <v>858</v>
      </c>
      <c r="F1274" s="57" t="s">
        <v>184</v>
      </c>
    </row>
    <row r="1275" spans="1:10" ht="14.25" customHeight="1" x14ac:dyDescent="0.25">
      <c r="A1275" s="69"/>
      <c r="B1275" s="24" t="s">
        <v>112</v>
      </c>
      <c r="C1275" s="55">
        <f>IF(C1274="","",IF(AND(MONTH(C1274)&gt;=1,MONTH(C1274)&lt;=3),1,IF(AND(MONTH(C1274)&gt;=4,MONTH(C1274)&lt;=6),2,IF(AND(MONTH(C1274)&gt;=7,MONTH(C1274)&lt;=9),3,4))))</f>
        <v>3</v>
      </c>
      <c r="D1275" s="69"/>
      <c r="E1275" s="56" t="s">
        <v>143</v>
      </c>
      <c r="F1275" s="57"/>
    </row>
    <row r="1276" spans="1:10" ht="14.25" customHeight="1" x14ac:dyDescent="0.25">
      <c r="A1276" s="69"/>
      <c r="B1276" s="24" t="s">
        <v>844</v>
      </c>
      <c r="C1276" s="54">
        <v>46241</v>
      </c>
      <c r="D1276" s="69"/>
      <c r="E1276" s="56" t="s">
        <v>183</v>
      </c>
      <c r="F1276" s="57"/>
    </row>
    <row r="1277" spans="1:10" ht="14.25" customHeight="1" x14ac:dyDescent="0.25">
      <c r="A1277" s="69"/>
      <c r="B1277" s="24" t="s">
        <v>112</v>
      </c>
      <c r="C1277" s="55">
        <f>IF(C1276="","",IF(AND(MONTH(C1276)&gt;=1,MONTH(C1276)&lt;=3),1,IF(AND(MONTH(C1276)&gt;=4,MONTH(C1276)&lt;=6),2,IF(AND(MONTH(C1276)&gt;=7,MONTH(C1276)&lt;=9),3,4))))</f>
        <v>3</v>
      </c>
      <c r="D1277" s="69"/>
      <c r="E1277" s="56" t="s">
        <v>865</v>
      </c>
      <c r="F1277" s="57"/>
    </row>
    <row r="1279" spans="1:10" ht="14.25" customHeight="1" x14ac:dyDescent="0.25">
      <c r="A1279" s="29" t="s">
        <v>1017</v>
      </c>
      <c r="B1279" s="29" t="s">
        <v>1042</v>
      </c>
      <c r="C1279" s="29" t="s">
        <v>1011</v>
      </c>
      <c r="D1279" s="29" t="s">
        <v>985</v>
      </c>
      <c r="E1279" s="29" t="s">
        <v>449</v>
      </c>
      <c r="F1279" s="29" t="s">
        <v>989</v>
      </c>
    </row>
    <row r="1280" spans="1:10" ht="14.25" customHeight="1" x14ac:dyDescent="0.25">
      <c r="A1280" s="25" t="s">
        <v>872</v>
      </c>
      <c r="B1280" s="26" t="str">
        <f ca="1">IFERROR(INDEX(UNSPSCDes,MATCH(INDIRECT(ADDRESS(ROW(),COLUMN()-1,4)),UNSPSCCode,0)),IF(INDIRECT(ADDRESS(ROW(),COLUMN()-1,4))="14111537","Etiquetas de papel",""))</f>
        <v>Etiquetas de papel</v>
      </c>
      <c r="C1280" s="58" t="str">
        <f>IFERROR(VLOOKUP("CAJ",'Informacion '!P:Q,2,FALSE),"")</f>
        <v>Caja</v>
      </c>
      <c r="D1280" s="25">
        <v>50</v>
      </c>
      <c r="E1280" s="28">
        <v>64.900000000000006</v>
      </c>
      <c r="F1280" s="27">
        <f t="shared" ref="F1280:F1289" ca="1" si="39">INDIRECT(ADDRESS(ROW(),COLUMN()-2,4))*INDIRECT(ADDRESS(ROW(),COLUMN()-1,4))</f>
        <v>3245.0000000000005</v>
      </c>
    </row>
    <row r="1281" spans="1:10" ht="14.25" customHeight="1" x14ac:dyDescent="0.25">
      <c r="A1281" s="25" t="s">
        <v>284</v>
      </c>
      <c r="B1281" s="26" t="str">
        <f ca="1">IFERROR(INDEX(UNSPSCDes,MATCH(INDIRECT(ADDRESS(ROW(),COLUMN()-1,4)),UNSPSCCode,0)),IF(INDIRECT(ADDRESS(ROW(),COLUMN()-1,4))="14111514","Blocs o cuadernos de papel",""))</f>
        <v>Blocs o cuadernos de papel</v>
      </c>
      <c r="C1281" s="58" t="str">
        <f>IFERROR(VLOOKUP("UD",'Informacion '!P:Q,2,FALSE),"")</f>
        <v>Unidad</v>
      </c>
      <c r="D1281" s="25">
        <v>200</v>
      </c>
      <c r="E1281" s="28">
        <v>53.1</v>
      </c>
      <c r="F1281" s="27">
        <f t="shared" ca="1" si="39"/>
        <v>10620</v>
      </c>
    </row>
    <row r="1282" spans="1:10" ht="14.25" customHeight="1" x14ac:dyDescent="0.25">
      <c r="A1282" s="25" t="s">
        <v>284</v>
      </c>
      <c r="B1282" s="26" t="str">
        <f ca="1">IFERROR(INDEX(UNSPSCDes,MATCH(INDIRECT(ADDRESS(ROW(),COLUMN()-1,4)),UNSPSCCode,0)),IF(INDIRECT(ADDRESS(ROW(),COLUMN()-1,4))="14111514","Blocs o cuadernos de papel",""))</f>
        <v>Blocs o cuadernos de papel</v>
      </c>
      <c r="C1282" s="58" t="str">
        <f>IFERROR(VLOOKUP("UD",'Informacion '!P:Q,2,FALSE),"")</f>
        <v>Unidad</v>
      </c>
      <c r="D1282" s="25">
        <v>200</v>
      </c>
      <c r="E1282" s="28">
        <v>75.52</v>
      </c>
      <c r="F1282" s="27">
        <f t="shared" ca="1" si="39"/>
        <v>15104</v>
      </c>
    </row>
    <row r="1283" spans="1:10" ht="14.25" customHeight="1" x14ac:dyDescent="0.25">
      <c r="A1283" s="25" t="s">
        <v>883</v>
      </c>
      <c r="B1283" s="26" t="str">
        <f ca="1">IFERROR(INDEX(UNSPSCDes,MATCH(INDIRECT(ADDRESS(ROW(),COLUMN()-1,4)),UNSPSCCode,0)),IF(INDIRECT(ADDRESS(ROW(),COLUMN()-1,4))="14111530","Papel de notas autoadhesivas",""))</f>
        <v>Papel de notas autoadhesivas</v>
      </c>
      <c r="C1283" s="58" t="str">
        <f>IFERROR(VLOOKUP("UD",'Informacion '!P:Q,2,FALSE),"")</f>
        <v>Unidad</v>
      </c>
      <c r="D1283" s="25">
        <v>600</v>
      </c>
      <c r="E1283" s="28">
        <v>41.3</v>
      </c>
      <c r="F1283" s="27">
        <f t="shared" ca="1" si="39"/>
        <v>24780</v>
      </c>
    </row>
    <row r="1284" spans="1:10" ht="14.25" customHeight="1" x14ac:dyDescent="0.25">
      <c r="A1284" s="25" t="s">
        <v>883</v>
      </c>
      <c r="B1284" s="26" t="str">
        <f ca="1">IFERROR(INDEX(UNSPSCDes,MATCH(INDIRECT(ADDRESS(ROW(),COLUMN()-1,4)),UNSPSCCode,0)),IF(INDIRECT(ADDRESS(ROW(),COLUMN()-1,4))="14111530","Papel de notas autoadhesivas",""))</f>
        <v>Papel de notas autoadhesivas</v>
      </c>
      <c r="C1284" s="58" t="str">
        <f>IFERROR(VLOOKUP("UD",'Informacion '!P:Q,2,FALSE),"")</f>
        <v>Unidad</v>
      </c>
      <c r="D1284" s="25">
        <v>600</v>
      </c>
      <c r="E1284" s="28">
        <v>60.18</v>
      </c>
      <c r="F1284" s="27">
        <f t="shared" ca="1" si="39"/>
        <v>36108</v>
      </c>
    </row>
    <row r="1285" spans="1:10" ht="14.25" customHeight="1" x14ac:dyDescent="0.25">
      <c r="A1285" s="25" t="s">
        <v>877</v>
      </c>
      <c r="B1285" s="26" t="str">
        <f ca="1">IFERROR(INDEX(UNSPSCDes,MATCH(INDIRECT(ADDRESS(ROW(),COLUMN()-1,4)),UNSPSCCode,0)),IF(INDIRECT(ADDRESS(ROW(),COLUMN()-1,4))="14111507","Papel para impresora o fotocopiadora",""))</f>
        <v>Papel para impresora o fotocopiadora</v>
      </c>
      <c r="C1285" s="58" t="str">
        <f>IFERROR(VLOOKUP("RESMA",'Informacion '!P:Q,2,FALSE),"")</f>
        <v>Resma</v>
      </c>
      <c r="D1285" s="25">
        <v>2750</v>
      </c>
      <c r="E1285" s="28">
        <v>341.02</v>
      </c>
      <c r="F1285" s="27">
        <f t="shared" ca="1" si="39"/>
        <v>937805</v>
      </c>
    </row>
    <row r="1286" spans="1:10" ht="14.25" customHeight="1" x14ac:dyDescent="0.25">
      <c r="A1286" s="25" t="s">
        <v>771</v>
      </c>
      <c r="B1286" s="26" t="str">
        <f ca="1">IFERROR(INDEX(UNSPSCDes,MATCH(INDIRECT(ADDRESS(ROW(),COLUMN()-1,4)),UNSPSCCode,0)),IF(INDIRECT(ADDRESS(ROW(),COLUMN()-1,4))="14111527","Papel autocopiante",""))</f>
        <v>Papel autocopiante</v>
      </c>
      <c r="C1286" s="58" t="str">
        <f>IFERROR(VLOOKUP("CAJ",'Informacion '!P:Q,2,FALSE),"")</f>
        <v>Caja</v>
      </c>
      <c r="D1286" s="25">
        <v>10</v>
      </c>
      <c r="E1286" s="28">
        <v>233.64</v>
      </c>
      <c r="F1286" s="27">
        <f t="shared" ca="1" si="39"/>
        <v>2336.3999999999996</v>
      </c>
    </row>
    <row r="1287" spans="1:10" ht="14.25" customHeight="1" x14ac:dyDescent="0.25">
      <c r="A1287" s="25" t="s">
        <v>883</v>
      </c>
      <c r="B1287" s="26" t="str">
        <f ca="1">IFERROR(INDEX(UNSPSCDes,MATCH(INDIRECT(ADDRESS(ROW(),COLUMN()-1,4)),UNSPSCCode,0)),IF(INDIRECT(ADDRESS(ROW(),COLUMN()-1,4))="14111530","Papel de notas autoadhesivas",""))</f>
        <v>Papel de notas autoadhesivas</v>
      </c>
      <c r="C1287" s="58" t="str">
        <f>IFERROR(VLOOKUP("UD",'Informacion '!P:Q,2,FALSE),"")</f>
        <v>Unidad</v>
      </c>
      <c r="D1287" s="25">
        <v>100</v>
      </c>
      <c r="E1287" s="28">
        <v>67.260000000000005</v>
      </c>
      <c r="F1287" s="27">
        <f t="shared" ca="1" si="39"/>
        <v>6726.0000000000009</v>
      </c>
    </row>
    <row r="1288" spans="1:10" ht="14.25" customHeight="1" x14ac:dyDescent="0.25">
      <c r="A1288" s="25" t="s">
        <v>733</v>
      </c>
      <c r="B1288" s="26" t="str">
        <f ca="1">IFERROR(INDEX(UNSPSCDes,MATCH(INDIRECT(ADDRESS(ROW(),COLUMN()-1,4)),UNSPSCCode,0)),IF(INDIRECT(ADDRESS(ROW(),COLUMN()-1,4))="14111515","Papel para sumadora o máquina registradora",""))</f>
        <v>Papel para sumadora o máquina registradora</v>
      </c>
      <c r="C1288" s="58" t="str">
        <f>IFERROR(VLOOKUP("UD",'Informacion '!P:Q,2,FALSE),"")</f>
        <v>Unidad</v>
      </c>
      <c r="D1288" s="25">
        <v>100</v>
      </c>
      <c r="E1288" s="28">
        <v>29.5</v>
      </c>
      <c r="F1288" s="27">
        <f t="shared" ca="1" si="39"/>
        <v>2950</v>
      </c>
    </row>
    <row r="1289" spans="1:10" ht="14.25" customHeight="1" x14ac:dyDescent="0.25">
      <c r="A1289" s="25" t="s">
        <v>76</v>
      </c>
      <c r="B1289" s="26" t="str">
        <f ca="1">IFERROR(INDEX(UNSPSCDes,MATCH(INDIRECT(ADDRESS(ROW(),COLUMN()-1,4)),UNSPSCCode,0)),IF(INDIRECT(ADDRESS(ROW(),COLUMN()-1,4))="14111510","Papel para plotter",""))</f>
        <v>Papel para plotter</v>
      </c>
      <c r="C1289" s="58" t="str">
        <f>IFERROR(VLOOKUP("UD",'Informacion '!P:Q,2,FALSE),"")</f>
        <v>Unidad</v>
      </c>
      <c r="D1289" s="25">
        <v>75</v>
      </c>
      <c r="E1289" s="28">
        <v>1121</v>
      </c>
      <c r="F1289" s="27">
        <f t="shared" ca="1" si="39"/>
        <v>84075</v>
      </c>
    </row>
    <row r="1290" spans="1:10" ht="14.25" customHeight="1" x14ac:dyDescent="0.25">
      <c r="E1290" s="30" t="s">
        <v>816</v>
      </c>
      <c r="F1290" s="31">
        <f ca="1">SUM(Table58[MONTO TOTAL ESTIMADO])</f>
        <v>1123749.3999999999</v>
      </c>
      <c r="H1290" s="21" t="str">
        <f>C1273</f>
        <v>Bienes</v>
      </c>
      <c r="I1290" s="21" t="str">
        <f>E1273</f>
        <v>No</v>
      </c>
      <c r="J1290" s="21" t="str">
        <f>D1273</f>
        <v>Compras Menores</v>
      </c>
    </row>
    <row r="1292" spans="1:10" ht="33.950000000000003" customHeight="1" x14ac:dyDescent="0.25">
      <c r="A1292" s="22" t="s">
        <v>1051</v>
      </c>
      <c r="B1292" s="22" t="s">
        <v>11</v>
      </c>
      <c r="C1292" s="22" t="s">
        <v>751</v>
      </c>
      <c r="D1292" s="22" t="s">
        <v>930</v>
      </c>
      <c r="E1292" s="22" t="s">
        <v>699</v>
      </c>
      <c r="F1292" s="22" t="s">
        <v>710</v>
      </c>
    </row>
    <row r="1293" spans="1:10" ht="14.25" customHeight="1" x14ac:dyDescent="0.25">
      <c r="A1293" s="23" t="s">
        <v>432</v>
      </c>
      <c r="B1293" s="23" t="s">
        <v>378</v>
      </c>
      <c r="C1293" s="23" t="s">
        <v>1155</v>
      </c>
      <c r="D1293" s="23" t="s">
        <v>1128</v>
      </c>
      <c r="E1293" s="23" t="s">
        <v>561</v>
      </c>
      <c r="F1293" s="23" t="s">
        <v>436</v>
      </c>
    </row>
    <row r="1294" spans="1:10" ht="14.25" customHeight="1" x14ac:dyDescent="0.25">
      <c r="A1294" s="68" t="s">
        <v>965</v>
      </c>
      <c r="B1294" s="24" t="s">
        <v>543</v>
      </c>
      <c r="C1294" s="54">
        <v>46305</v>
      </c>
      <c r="D1294" s="68" t="s">
        <v>598</v>
      </c>
      <c r="E1294" s="56" t="s">
        <v>858</v>
      </c>
      <c r="F1294" s="57" t="s">
        <v>184</v>
      </c>
    </row>
    <row r="1295" spans="1:10" ht="14.25" customHeight="1" x14ac:dyDescent="0.25">
      <c r="A1295" s="69"/>
      <c r="B1295" s="24" t="s">
        <v>112</v>
      </c>
      <c r="C1295" s="55">
        <f>IF(C1294="","",IF(AND(MONTH(C1294)&gt;=1,MONTH(C1294)&lt;=3),1,IF(AND(MONTH(C1294)&gt;=4,MONTH(C1294)&lt;=6),2,IF(AND(MONTH(C1294)&gt;=7,MONTH(C1294)&lt;=9),3,4))))</f>
        <v>4</v>
      </c>
      <c r="D1295" s="69"/>
      <c r="E1295" s="56" t="s">
        <v>143</v>
      </c>
      <c r="F1295" s="57"/>
    </row>
    <row r="1296" spans="1:10" ht="14.25" customHeight="1" x14ac:dyDescent="0.25">
      <c r="A1296" s="69"/>
      <c r="B1296" s="24" t="s">
        <v>844</v>
      </c>
      <c r="C1296" s="54">
        <v>46332</v>
      </c>
      <c r="D1296" s="69"/>
      <c r="E1296" s="56" t="s">
        <v>183</v>
      </c>
      <c r="F1296" s="57"/>
    </row>
    <row r="1297" spans="1:6" ht="14.25" customHeight="1" x14ac:dyDescent="0.25">
      <c r="A1297" s="69"/>
      <c r="B1297" s="24" t="s">
        <v>112</v>
      </c>
      <c r="C1297" s="55">
        <f>IF(C1296="","",IF(AND(MONTH(C1296)&gt;=1,MONTH(C1296)&lt;=3),1,IF(AND(MONTH(C1296)&gt;=4,MONTH(C1296)&lt;=6),2,IF(AND(MONTH(C1296)&gt;=7,MONTH(C1296)&lt;=9),3,4))))</f>
        <v>4</v>
      </c>
      <c r="D1297" s="69"/>
      <c r="E1297" s="56" t="s">
        <v>865</v>
      </c>
      <c r="F1297" s="57"/>
    </row>
    <row r="1299" spans="1:6" ht="14.25" customHeight="1" x14ac:dyDescent="0.25">
      <c r="A1299" s="29" t="s">
        <v>1017</v>
      </c>
      <c r="B1299" s="29" t="s">
        <v>1042</v>
      </c>
      <c r="C1299" s="29" t="s">
        <v>1011</v>
      </c>
      <c r="D1299" s="29" t="s">
        <v>985</v>
      </c>
      <c r="E1299" s="29" t="s">
        <v>449</v>
      </c>
      <c r="F1299" s="29" t="s">
        <v>989</v>
      </c>
    </row>
    <row r="1300" spans="1:6" ht="14.25" customHeight="1" x14ac:dyDescent="0.25">
      <c r="A1300" s="25" t="s">
        <v>168</v>
      </c>
      <c r="B1300" s="26" t="str">
        <f t="shared" ref="B1300:B1310" ca="1" si="40">IFERROR(INDEX(UNSPSCDes,MATCH(INDIRECT(ADDRESS(ROW(),COLUMN()-1,4)),UNSPSCCode,0)),IF(INDIRECT(ADDRESS(ROW(),COLUMN()-1,4))="14111806","Formularios o cuestionarios de negocios",""))</f>
        <v>Formularios o cuestionarios de negocios</v>
      </c>
      <c r="C1300" s="58" t="str">
        <f>IFERROR(VLOOKUP("UD",'Informacion '!P:Q,2,FALSE),"")</f>
        <v>Unidad</v>
      </c>
      <c r="D1300" s="25">
        <v>100</v>
      </c>
      <c r="E1300" s="28">
        <v>635</v>
      </c>
      <c r="F1300" s="27">
        <f t="shared" ref="F1300:F1314" ca="1" si="41">INDIRECT(ADDRESS(ROW(),COLUMN()-2,4))*INDIRECT(ADDRESS(ROW(),COLUMN()-1,4))</f>
        <v>63500</v>
      </c>
    </row>
    <row r="1301" spans="1:6" ht="14.25" customHeight="1" x14ac:dyDescent="0.25">
      <c r="A1301" s="25" t="s">
        <v>168</v>
      </c>
      <c r="B1301" s="26" t="str">
        <f t="shared" ca="1" si="40"/>
        <v>Formularios o cuestionarios de negocios</v>
      </c>
      <c r="C1301" s="58" t="str">
        <f>IFERROR(VLOOKUP("UD",'Informacion '!P:Q,2,FALSE),"")</f>
        <v>Unidad</v>
      </c>
      <c r="D1301" s="25">
        <v>50</v>
      </c>
      <c r="E1301" s="28">
        <v>635</v>
      </c>
      <c r="F1301" s="27">
        <f t="shared" ca="1" si="41"/>
        <v>31750</v>
      </c>
    </row>
    <row r="1302" spans="1:6" ht="14.25" customHeight="1" x14ac:dyDescent="0.25">
      <c r="A1302" s="25" t="s">
        <v>168</v>
      </c>
      <c r="B1302" s="26" t="str">
        <f t="shared" ca="1" si="40"/>
        <v>Formularios o cuestionarios de negocios</v>
      </c>
      <c r="C1302" s="58" t="str">
        <f>IFERROR(VLOOKUP("UD",'Informacion '!P:Q,2,FALSE),"")</f>
        <v>Unidad</v>
      </c>
      <c r="D1302" s="25">
        <v>50</v>
      </c>
      <c r="E1302" s="28">
        <v>635</v>
      </c>
      <c r="F1302" s="27">
        <f t="shared" ca="1" si="41"/>
        <v>31750</v>
      </c>
    </row>
    <row r="1303" spans="1:6" ht="14.25" customHeight="1" x14ac:dyDescent="0.25">
      <c r="A1303" s="25" t="s">
        <v>168</v>
      </c>
      <c r="B1303" s="26" t="str">
        <f t="shared" ca="1" si="40"/>
        <v>Formularios o cuestionarios de negocios</v>
      </c>
      <c r="C1303" s="58" t="str">
        <f>IFERROR(VLOOKUP("UD",'Informacion '!P:Q,2,FALSE),"")</f>
        <v>Unidad</v>
      </c>
      <c r="D1303" s="25">
        <v>50</v>
      </c>
      <c r="E1303" s="28">
        <v>635</v>
      </c>
      <c r="F1303" s="27">
        <f t="shared" ca="1" si="41"/>
        <v>31750</v>
      </c>
    </row>
    <row r="1304" spans="1:6" ht="14.25" customHeight="1" x14ac:dyDescent="0.25">
      <c r="A1304" s="25" t="s">
        <v>168</v>
      </c>
      <c r="B1304" s="26" t="str">
        <f t="shared" ca="1" si="40"/>
        <v>Formularios o cuestionarios de negocios</v>
      </c>
      <c r="C1304" s="58" t="str">
        <f>IFERROR(VLOOKUP("RESMA",'Informacion '!P:Q,2,FALSE),"")</f>
        <v>Resma</v>
      </c>
      <c r="D1304" s="25">
        <v>200</v>
      </c>
      <c r="E1304" s="28">
        <v>525</v>
      </c>
      <c r="F1304" s="27">
        <f t="shared" ca="1" si="41"/>
        <v>105000</v>
      </c>
    </row>
    <row r="1305" spans="1:6" ht="14.25" customHeight="1" x14ac:dyDescent="0.25">
      <c r="A1305" s="25" t="s">
        <v>168</v>
      </c>
      <c r="B1305" s="26" t="str">
        <f t="shared" ca="1" si="40"/>
        <v>Formularios o cuestionarios de negocios</v>
      </c>
      <c r="C1305" s="58" t="str">
        <f>IFERROR(VLOOKUP("RESMA",'Informacion '!P:Q,2,FALSE),"")</f>
        <v>Resma</v>
      </c>
      <c r="D1305" s="25">
        <v>150</v>
      </c>
      <c r="E1305" s="28">
        <v>615</v>
      </c>
      <c r="F1305" s="27">
        <f t="shared" ca="1" si="41"/>
        <v>92250</v>
      </c>
    </row>
    <row r="1306" spans="1:6" ht="14.25" customHeight="1" x14ac:dyDescent="0.25">
      <c r="A1306" s="25" t="s">
        <v>168</v>
      </c>
      <c r="B1306" s="26" t="str">
        <f t="shared" ca="1" si="40"/>
        <v>Formularios o cuestionarios de negocios</v>
      </c>
      <c r="C1306" s="58" t="str">
        <f>IFERROR(VLOOKUP("CAJ",'Informacion '!P:Q,2,FALSE),"")</f>
        <v>Caja</v>
      </c>
      <c r="D1306" s="25">
        <v>2</v>
      </c>
      <c r="E1306" s="28">
        <v>1350</v>
      </c>
      <c r="F1306" s="27">
        <f t="shared" ca="1" si="41"/>
        <v>2700</v>
      </c>
    </row>
    <row r="1307" spans="1:6" ht="14.25" customHeight="1" x14ac:dyDescent="0.25">
      <c r="A1307" s="25" t="s">
        <v>168</v>
      </c>
      <c r="B1307" s="26" t="str">
        <f t="shared" ca="1" si="40"/>
        <v>Formularios o cuestionarios de negocios</v>
      </c>
      <c r="C1307" s="58" t="str">
        <f>IFERROR(VLOOKUP("CAJ",'Informacion '!P:Q,2,FALSE),"")</f>
        <v>Caja</v>
      </c>
      <c r="D1307" s="25">
        <v>2</v>
      </c>
      <c r="E1307" s="28">
        <v>1850</v>
      </c>
      <c r="F1307" s="27">
        <f t="shared" ca="1" si="41"/>
        <v>3700</v>
      </c>
    </row>
    <row r="1308" spans="1:6" ht="14.25" customHeight="1" x14ac:dyDescent="0.25">
      <c r="A1308" s="25" t="s">
        <v>168</v>
      </c>
      <c r="B1308" s="26" t="str">
        <f t="shared" ca="1" si="40"/>
        <v>Formularios o cuestionarios de negocios</v>
      </c>
      <c r="C1308" s="58" t="str">
        <f>IFERROR(VLOOKUP("CAJ",'Informacion '!P:Q,2,FALSE),"")</f>
        <v>Caja</v>
      </c>
      <c r="D1308" s="25">
        <v>2</v>
      </c>
      <c r="E1308" s="28">
        <v>2100</v>
      </c>
      <c r="F1308" s="27">
        <f t="shared" ca="1" si="41"/>
        <v>4200</v>
      </c>
    </row>
    <row r="1309" spans="1:6" ht="14.25" customHeight="1" x14ac:dyDescent="0.25">
      <c r="A1309" s="25" t="s">
        <v>168</v>
      </c>
      <c r="B1309" s="26" t="str">
        <f t="shared" ca="1" si="40"/>
        <v>Formularios o cuestionarios de negocios</v>
      </c>
      <c r="C1309" s="58" t="str">
        <f>IFERROR(VLOOKUP("UD",'Informacion '!P:Q,2,FALSE),"")</f>
        <v>Unidad</v>
      </c>
      <c r="D1309" s="25">
        <v>3000</v>
      </c>
      <c r="E1309" s="28">
        <v>77.75</v>
      </c>
      <c r="F1309" s="27">
        <f t="shared" ca="1" si="41"/>
        <v>233250</v>
      </c>
    </row>
    <row r="1310" spans="1:6" ht="14.25" customHeight="1" x14ac:dyDescent="0.25">
      <c r="A1310" s="25" t="s">
        <v>168</v>
      </c>
      <c r="B1310" s="26" t="str">
        <f t="shared" ca="1" si="40"/>
        <v>Formularios o cuestionarios de negocios</v>
      </c>
      <c r="C1310" s="58" t="str">
        <f>IFERROR(VLOOKUP("UD",'Informacion '!P:Q,2,FALSE),"")</f>
        <v>Unidad</v>
      </c>
      <c r="D1310" s="25">
        <v>400</v>
      </c>
      <c r="E1310" s="28">
        <v>545</v>
      </c>
      <c r="F1310" s="27">
        <f t="shared" ca="1" si="41"/>
        <v>218000</v>
      </c>
    </row>
    <row r="1311" spans="1:6" ht="14.25" customHeight="1" x14ac:dyDescent="0.25">
      <c r="A1311" s="25" t="s">
        <v>845</v>
      </c>
      <c r="B1311" s="26" t="str">
        <f ca="1">IFERROR(INDEX(UNSPSCDes,MATCH(INDIRECT(ADDRESS(ROW(),COLUMN()-1,4)),UNSPSCCode,0)),IF(INDIRECT(ADDRESS(ROW(),COLUMN()-1,4))="14111805","Cheques o chequeras",""))</f>
        <v>Cheques o chequeras</v>
      </c>
      <c r="C1311" s="58" t="str">
        <f>IFERROR(VLOOKUP("UD",'Informacion '!P:Q,2,FALSE),"")</f>
        <v>Unidad</v>
      </c>
      <c r="D1311" s="25">
        <v>100</v>
      </c>
      <c r="E1311" s="28">
        <v>545</v>
      </c>
      <c r="F1311" s="27">
        <f t="shared" ca="1" si="41"/>
        <v>54500</v>
      </c>
    </row>
    <row r="1312" spans="1:6" ht="14.25" customHeight="1" x14ac:dyDescent="0.25">
      <c r="A1312" s="25" t="s">
        <v>845</v>
      </c>
      <c r="B1312" s="26" t="str">
        <f ca="1">IFERROR(INDEX(UNSPSCDes,MATCH(INDIRECT(ADDRESS(ROW(),COLUMN()-1,4)),UNSPSCCode,0)),IF(INDIRECT(ADDRESS(ROW(),COLUMN()-1,4))="14111805","Cheques o chequeras",""))</f>
        <v>Cheques o chequeras</v>
      </c>
      <c r="C1312" s="58" t="str">
        <f>IFERROR(VLOOKUP("UD",'Informacion '!P:Q,2,FALSE),"")</f>
        <v>Unidad</v>
      </c>
      <c r="D1312" s="25">
        <v>100</v>
      </c>
      <c r="E1312" s="28">
        <v>275</v>
      </c>
      <c r="F1312" s="27">
        <f t="shared" ca="1" si="41"/>
        <v>27500</v>
      </c>
    </row>
    <row r="1313" spans="1:10" ht="14.25" customHeight="1" x14ac:dyDescent="0.25">
      <c r="A1313" s="25" t="s">
        <v>168</v>
      </c>
      <c r="B1313" s="26" t="str">
        <f ca="1">IFERROR(INDEX(UNSPSCDes,MATCH(INDIRECT(ADDRESS(ROW(),COLUMN()-1,4)),UNSPSCCode,0)),IF(INDIRECT(ADDRESS(ROW(),COLUMN()-1,4))="14111806","Formularios o cuestionarios de negocios",""))</f>
        <v>Formularios o cuestionarios de negocios</v>
      </c>
      <c r="C1313" s="58" t="str">
        <f>IFERROR(VLOOKUP("UD",'Informacion '!P:Q,2,FALSE),"")</f>
        <v>Unidad</v>
      </c>
      <c r="D1313" s="25">
        <v>500</v>
      </c>
      <c r="E1313" s="28">
        <v>820.1</v>
      </c>
      <c r="F1313" s="27">
        <f t="shared" ca="1" si="41"/>
        <v>410050</v>
      </c>
    </row>
    <row r="1314" spans="1:10" ht="14.25" customHeight="1" x14ac:dyDescent="0.25">
      <c r="A1314" s="25" t="s">
        <v>845</v>
      </c>
      <c r="B1314" s="26" t="str">
        <f ca="1">IFERROR(INDEX(UNSPSCDes,MATCH(INDIRECT(ADDRESS(ROW(),COLUMN()-1,4)),UNSPSCCode,0)),IF(INDIRECT(ADDRESS(ROW(),COLUMN()-1,4))="14111805","Cheques o chequeras",""))</f>
        <v>Cheques o chequeras</v>
      </c>
      <c r="C1314" s="58" t="str">
        <f>IFERROR(VLOOKUP("UD",'Informacion '!P:Q,2,FALSE),"")</f>
        <v>Unidad</v>
      </c>
      <c r="D1314" s="25">
        <v>1000</v>
      </c>
      <c r="E1314" s="28">
        <v>820.1</v>
      </c>
      <c r="F1314" s="27">
        <f t="shared" ca="1" si="41"/>
        <v>820100</v>
      </c>
    </row>
    <row r="1315" spans="1:10" ht="14.25" customHeight="1" x14ac:dyDescent="0.25">
      <c r="E1315" s="30" t="s">
        <v>816</v>
      </c>
      <c r="F1315" s="31">
        <f ca="1">SUM(Table59[MONTO TOTAL ESTIMADO])</f>
        <v>2130000</v>
      </c>
      <c r="H1315" s="21" t="str">
        <f>C1293</f>
        <v>Bienes</v>
      </c>
      <c r="I1315" s="21" t="str">
        <f>E1293</f>
        <v>Sí</v>
      </c>
      <c r="J1315" s="21" t="str">
        <f>D1293</f>
        <v>Compras Menores</v>
      </c>
    </row>
    <row r="1317" spans="1:10" ht="33.950000000000003" customHeight="1" x14ac:dyDescent="0.25">
      <c r="A1317" s="22" t="s">
        <v>1051</v>
      </c>
      <c r="B1317" s="22" t="s">
        <v>11</v>
      </c>
      <c r="C1317" s="22" t="s">
        <v>751</v>
      </c>
      <c r="D1317" s="22" t="s">
        <v>930</v>
      </c>
      <c r="E1317" s="22" t="s">
        <v>699</v>
      </c>
      <c r="F1317" s="22" t="s">
        <v>710</v>
      </c>
    </row>
    <row r="1318" spans="1:10" ht="14.25" customHeight="1" x14ac:dyDescent="0.25">
      <c r="A1318" s="23" t="s">
        <v>1222</v>
      </c>
      <c r="B1318" s="23" t="s">
        <v>495</v>
      </c>
      <c r="C1318" s="23" t="s">
        <v>1155</v>
      </c>
      <c r="D1318" s="23" t="s">
        <v>1128</v>
      </c>
      <c r="E1318" s="23" t="s">
        <v>561</v>
      </c>
      <c r="F1318" s="23" t="s">
        <v>436</v>
      </c>
    </row>
    <row r="1319" spans="1:10" ht="14.25" customHeight="1" x14ac:dyDescent="0.25">
      <c r="A1319" s="68" t="s">
        <v>965</v>
      </c>
      <c r="B1319" s="24" t="s">
        <v>543</v>
      </c>
      <c r="C1319" s="54">
        <v>46267</v>
      </c>
      <c r="D1319" s="68" t="s">
        <v>598</v>
      </c>
      <c r="E1319" s="56" t="s">
        <v>858</v>
      </c>
      <c r="F1319" s="57" t="s">
        <v>184</v>
      </c>
    </row>
    <row r="1320" spans="1:10" ht="14.25" customHeight="1" x14ac:dyDescent="0.25">
      <c r="A1320" s="69"/>
      <c r="B1320" s="24" t="s">
        <v>112</v>
      </c>
      <c r="C1320" s="55">
        <f>IF(C1319="","",IF(AND(MONTH(C1319)&gt;=1,MONTH(C1319)&lt;=3),1,IF(AND(MONTH(C1319)&gt;=4,MONTH(C1319)&lt;=6),2,IF(AND(MONTH(C1319)&gt;=7,MONTH(C1319)&lt;=9),3,4))))</f>
        <v>3</v>
      </c>
      <c r="D1320" s="69"/>
      <c r="E1320" s="56" t="s">
        <v>143</v>
      </c>
      <c r="F1320" s="57"/>
    </row>
    <row r="1321" spans="1:10" ht="14.25" customHeight="1" x14ac:dyDescent="0.25">
      <c r="A1321" s="69"/>
      <c r="B1321" s="24" t="s">
        <v>844</v>
      </c>
      <c r="C1321" s="54">
        <v>46281</v>
      </c>
      <c r="D1321" s="69"/>
      <c r="E1321" s="56" t="s">
        <v>183</v>
      </c>
      <c r="F1321" s="57"/>
    </row>
    <row r="1322" spans="1:10" ht="14.25" customHeight="1" x14ac:dyDescent="0.25">
      <c r="A1322" s="69"/>
      <c r="B1322" s="24" t="s">
        <v>112</v>
      </c>
      <c r="C1322" s="55">
        <f>IF(C1321="","",IF(AND(MONTH(C1321)&gt;=1,MONTH(C1321)&lt;=3),1,IF(AND(MONTH(C1321)&gt;=4,MONTH(C1321)&lt;=6),2,IF(AND(MONTH(C1321)&gt;=7,MONTH(C1321)&lt;=9),3,4))))</f>
        <v>3</v>
      </c>
      <c r="D1322" s="69"/>
      <c r="E1322" s="56" t="s">
        <v>865</v>
      </c>
      <c r="F1322" s="57"/>
    </row>
    <row r="1324" spans="1:10" ht="14.25" customHeight="1" x14ac:dyDescent="0.25">
      <c r="A1324" s="29" t="s">
        <v>1017</v>
      </c>
      <c r="B1324" s="29" t="s">
        <v>1042</v>
      </c>
      <c r="C1324" s="29" t="s">
        <v>1011</v>
      </c>
      <c r="D1324" s="29" t="s">
        <v>985</v>
      </c>
      <c r="E1324" s="29" t="s">
        <v>449</v>
      </c>
      <c r="F1324" s="29" t="s">
        <v>989</v>
      </c>
    </row>
    <row r="1325" spans="1:10" ht="14.25" customHeight="1" x14ac:dyDescent="0.25">
      <c r="A1325" s="25" t="s">
        <v>304</v>
      </c>
      <c r="B1325" s="26" t="str">
        <f ca="1">IFERROR(INDEX(UNSPSCDes,MATCH(INDIRECT(ADDRESS(ROW(),COLUMN()-1,4)),UNSPSCCode,0)),IF(INDIRECT(ADDRESS(ROW(),COLUMN()-1,4))="14111704","Papel higiénico",""))</f>
        <v>Papel higiénico</v>
      </c>
      <c r="C1325" s="58" t="str">
        <f>IFERROR(VLOOKUP("PAQ",'Informacion '!P:Q,2,FALSE),"")</f>
        <v>Paquete</v>
      </c>
      <c r="D1325" s="25">
        <v>400</v>
      </c>
      <c r="E1325" s="28">
        <v>1600</v>
      </c>
      <c r="F1325" s="27">
        <f t="shared" ref="F1325:F1330" ca="1" si="42">INDIRECT(ADDRESS(ROW(),COLUMN()-2,4))*INDIRECT(ADDRESS(ROW(),COLUMN()-1,4))</f>
        <v>640000</v>
      </c>
    </row>
    <row r="1326" spans="1:10" ht="14.25" customHeight="1" x14ac:dyDescent="0.25">
      <c r="A1326" s="25" t="s">
        <v>304</v>
      </c>
      <c r="B1326" s="26" t="str">
        <f ca="1">IFERROR(INDEX(UNSPSCDes,MATCH(INDIRECT(ADDRESS(ROW(),COLUMN()-1,4)),UNSPSCCode,0)),IF(INDIRECT(ADDRESS(ROW(),COLUMN()-1,4))="14111704","Papel higiénico",""))</f>
        <v>Papel higiénico</v>
      </c>
      <c r="C1326" s="58" t="str">
        <f>IFERROR(VLOOKUP("PAQ",'Informacion '!P:Q,2,FALSE),"")</f>
        <v>Paquete</v>
      </c>
      <c r="D1326" s="25">
        <v>200</v>
      </c>
      <c r="E1326" s="28">
        <v>850</v>
      </c>
      <c r="F1326" s="27">
        <f t="shared" ca="1" si="42"/>
        <v>170000</v>
      </c>
    </row>
    <row r="1327" spans="1:10" ht="14.25" customHeight="1" x14ac:dyDescent="0.25">
      <c r="A1327" s="25" t="s">
        <v>520</v>
      </c>
      <c r="B1327" s="26" t="str">
        <f ca="1">IFERROR(INDEX(UNSPSCDes,MATCH(INDIRECT(ADDRESS(ROW(),COLUMN()-1,4)),UNSPSCCode,0)),IF(INDIRECT(ADDRESS(ROW(),COLUMN()-1,4))="14111703","Toallas de papel",""))</f>
        <v>Toallas de papel</v>
      </c>
      <c r="C1327" s="58" t="str">
        <f>IFERROR(VLOOKUP("PAQ",'Informacion '!P:Q,2,FALSE),"")</f>
        <v>Paquete</v>
      </c>
      <c r="D1327" s="25">
        <v>150</v>
      </c>
      <c r="E1327" s="28">
        <v>950</v>
      </c>
      <c r="F1327" s="27">
        <f t="shared" ca="1" si="42"/>
        <v>142500</v>
      </c>
    </row>
    <row r="1328" spans="1:10" ht="14.25" customHeight="1" x14ac:dyDescent="0.25">
      <c r="A1328" s="25" t="s">
        <v>520</v>
      </c>
      <c r="B1328" s="26" t="str">
        <f ca="1">IFERROR(INDEX(UNSPSCDes,MATCH(INDIRECT(ADDRESS(ROW(),COLUMN()-1,4)),UNSPSCCode,0)),IF(INDIRECT(ADDRESS(ROW(),COLUMN()-1,4))="14111703","Toallas de papel",""))</f>
        <v>Toallas de papel</v>
      </c>
      <c r="C1328" s="58" t="str">
        <f>IFERROR(VLOOKUP("PAQ",'Informacion '!P:Q,2,FALSE),"")</f>
        <v>Paquete</v>
      </c>
      <c r="D1328" s="25">
        <v>100</v>
      </c>
      <c r="E1328" s="28">
        <v>3300</v>
      </c>
      <c r="F1328" s="27">
        <f t="shared" ca="1" si="42"/>
        <v>330000</v>
      </c>
    </row>
    <row r="1329" spans="1:10" ht="14.25" customHeight="1" x14ac:dyDescent="0.25">
      <c r="A1329" s="25" t="s">
        <v>191</v>
      </c>
      <c r="B1329" s="26" t="str">
        <f ca="1">IFERROR(INDEX(UNSPSCDes,MATCH(INDIRECT(ADDRESS(ROW(),COLUMN()-1,4)),UNSPSCCode,0)),IF(INDIRECT(ADDRESS(ROW(),COLUMN()-1,4))="14111705","Servilletas de papel",""))</f>
        <v>Servilletas de papel</v>
      </c>
      <c r="C1329" s="58" t="str">
        <f>IFERROR(VLOOKUP("PAQ",'Informacion '!P:Q,2,FALSE),"")</f>
        <v>Paquete</v>
      </c>
      <c r="D1329" s="25">
        <v>500</v>
      </c>
      <c r="E1329" s="28">
        <v>160</v>
      </c>
      <c r="F1329" s="27">
        <f t="shared" ca="1" si="42"/>
        <v>80000</v>
      </c>
    </row>
    <row r="1330" spans="1:10" ht="14.25" customHeight="1" x14ac:dyDescent="0.25">
      <c r="A1330" s="25" t="s">
        <v>191</v>
      </c>
      <c r="B1330" s="26" t="str">
        <f ca="1">IFERROR(INDEX(UNSPSCDes,MATCH(INDIRECT(ADDRESS(ROW(),COLUMN()-1,4)),UNSPSCCode,0)),IF(INDIRECT(ADDRESS(ROW(),COLUMN()-1,4))="14111705","Servilletas de papel",""))</f>
        <v>Servilletas de papel</v>
      </c>
      <c r="C1330" s="58" t="str">
        <f>IFERROR(VLOOKUP("PAQ",'Informacion '!P:Q,2,FALSE),"")</f>
        <v>Paquete</v>
      </c>
      <c r="D1330" s="25">
        <v>250</v>
      </c>
      <c r="E1330" s="28">
        <v>95</v>
      </c>
      <c r="F1330" s="27">
        <f t="shared" ca="1" si="42"/>
        <v>23750</v>
      </c>
    </row>
    <row r="1331" spans="1:10" ht="14.25" customHeight="1" x14ac:dyDescent="0.25">
      <c r="E1331" s="30" t="s">
        <v>816</v>
      </c>
      <c r="F1331" s="31">
        <f ca="1">SUM(Table60[MONTO TOTAL ESTIMADO])</f>
        <v>1386250</v>
      </c>
      <c r="H1331" s="21" t="str">
        <f>C1318</f>
        <v>Bienes</v>
      </c>
      <c r="I1331" s="21" t="str">
        <f>E1318</f>
        <v>Sí</v>
      </c>
      <c r="J1331" s="21" t="str">
        <f>D1318</f>
        <v>Compras Menores</v>
      </c>
    </row>
    <row r="1333" spans="1:10" ht="33.950000000000003" customHeight="1" x14ac:dyDescent="0.25">
      <c r="A1333" s="22" t="s">
        <v>1051</v>
      </c>
      <c r="B1333" s="22" t="s">
        <v>11</v>
      </c>
      <c r="C1333" s="22" t="s">
        <v>751</v>
      </c>
      <c r="D1333" s="22" t="s">
        <v>930</v>
      </c>
      <c r="E1333" s="22" t="s">
        <v>699</v>
      </c>
      <c r="F1333" s="22" t="s">
        <v>710</v>
      </c>
    </row>
    <row r="1334" spans="1:10" ht="14.25" customHeight="1" x14ac:dyDescent="0.25">
      <c r="A1334" s="23" t="s">
        <v>56</v>
      </c>
      <c r="B1334" s="23" t="s">
        <v>56</v>
      </c>
      <c r="C1334" s="23" t="s">
        <v>1155</v>
      </c>
      <c r="D1334" s="23" t="s">
        <v>1128</v>
      </c>
      <c r="E1334" s="23" t="s">
        <v>561</v>
      </c>
      <c r="F1334" s="23" t="s">
        <v>436</v>
      </c>
    </row>
    <row r="1335" spans="1:10" ht="14.25" customHeight="1" x14ac:dyDescent="0.25">
      <c r="A1335" s="68" t="s">
        <v>965</v>
      </c>
      <c r="B1335" s="24" t="s">
        <v>543</v>
      </c>
      <c r="C1335" s="54">
        <v>46113</v>
      </c>
      <c r="D1335" s="68" t="s">
        <v>598</v>
      </c>
      <c r="E1335" s="56" t="s">
        <v>858</v>
      </c>
      <c r="F1335" s="57" t="s">
        <v>184</v>
      </c>
    </row>
    <row r="1336" spans="1:10" ht="14.25" customHeight="1" x14ac:dyDescent="0.25">
      <c r="A1336" s="69"/>
      <c r="B1336" s="24" t="s">
        <v>112</v>
      </c>
      <c r="C1336" s="55">
        <f>IF(C1335="","",IF(AND(MONTH(C1335)&gt;=1,MONTH(C1335)&lt;=3),1,IF(AND(MONTH(C1335)&gt;=4,MONTH(C1335)&lt;=6),2,IF(AND(MONTH(C1335)&gt;=7,MONTH(C1335)&lt;=9),3,4))))</f>
        <v>2</v>
      </c>
      <c r="D1336" s="69"/>
      <c r="E1336" s="56" t="s">
        <v>143</v>
      </c>
      <c r="F1336" s="57"/>
    </row>
    <row r="1337" spans="1:10" ht="14.25" customHeight="1" x14ac:dyDescent="0.25">
      <c r="A1337" s="69"/>
      <c r="B1337" s="24" t="s">
        <v>844</v>
      </c>
      <c r="C1337" s="54">
        <v>46147</v>
      </c>
      <c r="D1337" s="69"/>
      <c r="E1337" s="56" t="s">
        <v>183</v>
      </c>
      <c r="F1337" s="57"/>
    </row>
    <row r="1338" spans="1:10" ht="14.25" customHeight="1" x14ac:dyDescent="0.25">
      <c r="A1338" s="69"/>
      <c r="B1338" s="24" t="s">
        <v>112</v>
      </c>
      <c r="C1338" s="55">
        <f>IF(C1337="","",IF(AND(MONTH(C1337)&gt;=1,MONTH(C1337)&lt;=3),1,IF(AND(MONTH(C1337)&gt;=4,MONTH(C1337)&lt;=6),2,IF(AND(MONTH(C1337)&gt;=7,MONTH(C1337)&lt;=9),3,4))))</f>
        <v>2</v>
      </c>
      <c r="D1338" s="69"/>
      <c r="E1338" s="56" t="s">
        <v>865</v>
      </c>
      <c r="F1338" s="57"/>
    </row>
    <row r="1340" spans="1:10" ht="14.25" customHeight="1" x14ac:dyDescent="0.25">
      <c r="A1340" s="29" t="s">
        <v>1017</v>
      </c>
      <c r="B1340" s="29" t="s">
        <v>1042</v>
      </c>
      <c r="C1340" s="29" t="s">
        <v>1011</v>
      </c>
      <c r="D1340" s="29" t="s">
        <v>985</v>
      </c>
      <c r="E1340" s="29" t="s">
        <v>449</v>
      </c>
      <c r="F1340" s="29" t="s">
        <v>989</v>
      </c>
    </row>
    <row r="1341" spans="1:10" ht="14.25" customHeight="1" x14ac:dyDescent="0.25">
      <c r="A1341" s="25" t="s">
        <v>645</v>
      </c>
      <c r="B1341" s="26" t="str">
        <f ca="1">IFERROR(INDEX(UNSPSCDes,MATCH(INDIRECT(ADDRESS(ROW(),COLUMN()-1,4)),UNSPSCCode,0)),IF(INDIRECT(ADDRESS(ROW(),COLUMN()-1,4))="49101701","Medallas",""))</f>
        <v>Medallas</v>
      </c>
      <c r="C1341" s="58" t="str">
        <f>IFERROR(VLOOKUP("UD",'Informacion '!P:Q,2,FALSE),"")</f>
        <v>Unidad</v>
      </c>
      <c r="D1341" s="25">
        <v>5</v>
      </c>
      <c r="E1341" s="28">
        <v>400</v>
      </c>
      <c r="F1341" s="27">
        <f ca="1">INDIRECT(ADDRESS(ROW(),COLUMN()-2,4))*INDIRECT(ADDRESS(ROW(),COLUMN()-1,4))</f>
        <v>2000</v>
      </c>
    </row>
    <row r="1342" spans="1:10" ht="14.25" customHeight="1" x14ac:dyDescent="0.25">
      <c r="E1342" s="30" t="s">
        <v>816</v>
      </c>
      <c r="F1342" s="31">
        <f ca="1">SUM(Table61[MONTO TOTAL ESTIMADO])</f>
        <v>2000</v>
      </c>
      <c r="H1342" s="21" t="str">
        <f>C1334</f>
        <v>Bienes</v>
      </c>
      <c r="I1342" s="21" t="str">
        <f>E1334</f>
        <v>Sí</v>
      </c>
      <c r="J1342" s="21" t="str">
        <f>D1334</f>
        <v>Compras Menores</v>
      </c>
    </row>
    <row r="1344" spans="1:10" ht="33.950000000000003" customHeight="1" x14ac:dyDescent="0.25">
      <c r="A1344" s="22" t="s">
        <v>1051</v>
      </c>
      <c r="B1344" s="22" t="s">
        <v>11</v>
      </c>
      <c r="C1344" s="22" t="s">
        <v>751</v>
      </c>
      <c r="D1344" s="22" t="s">
        <v>930</v>
      </c>
      <c r="E1344" s="22" t="s">
        <v>699</v>
      </c>
      <c r="F1344" s="22" t="s">
        <v>710</v>
      </c>
    </row>
    <row r="1345" spans="1:10" ht="14.25" customHeight="1" x14ac:dyDescent="0.25">
      <c r="A1345" s="23" t="s">
        <v>548</v>
      </c>
      <c r="B1345" s="23" t="s">
        <v>548</v>
      </c>
      <c r="C1345" s="23" t="s">
        <v>438</v>
      </c>
      <c r="D1345" s="23" t="s">
        <v>270</v>
      </c>
      <c r="E1345" s="23" t="s">
        <v>1156</v>
      </c>
      <c r="F1345" s="23" t="s">
        <v>436</v>
      </c>
    </row>
    <row r="1346" spans="1:10" ht="14.25" customHeight="1" x14ac:dyDescent="0.25">
      <c r="A1346" s="68" t="s">
        <v>965</v>
      </c>
      <c r="B1346" s="24" t="s">
        <v>543</v>
      </c>
      <c r="C1346" s="54">
        <v>46211</v>
      </c>
      <c r="D1346" s="68" t="s">
        <v>598</v>
      </c>
      <c r="E1346" s="56" t="s">
        <v>858</v>
      </c>
      <c r="F1346" s="57"/>
    </row>
    <row r="1347" spans="1:10" ht="14.25" customHeight="1" x14ac:dyDescent="0.25">
      <c r="A1347" s="69"/>
      <c r="B1347" s="24" t="s">
        <v>112</v>
      </c>
      <c r="C1347" s="55">
        <f>IF(C1346="","",IF(AND(MONTH(C1346)&gt;=1,MONTH(C1346)&lt;=3),1,IF(AND(MONTH(C1346)&gt;=4,MONTH(C1346)&lt;=6),2,IF(AND(MONTH(C1346)&gt;=7,MONTH(C1346)&lt;=9),3,4))))</f>
        <v>3</v>
      </c>
      <c r="D1347" s="69"/>
      <c r="E1347" s="56" t="s">
        <v>143</v>
      </c>
      <c r="F1347" s="57"/>
    </row>
    <row r="1348" spans="1:10" ht="14.25" customHeight="1" x14ac:dyDescent="0.25">
      <c r="A1348" s="69"/>
      <c r="B1348" s="24" t="s">
        <v>844</v>
      </c>
      <c r="C1348" s="54">
        <v>46225</v>
      </c>
      <c r="D1348" s="69"/>
      <c r="E1348" s="56" t="s">
        <v>183</v>
      </c>
      <c r="F1348" s="57"/>
    </row>
    <row r="1349" spans="1:10" ht="14.25" customHeight="1" x14ac:dyDescent="0.25">
      <c r="A1349" s="69"/>
      <c r="B1349" s="24" t="s">
        <v>112</v>
      </c>
      <c r="C1349" s="55">
        <f>IF(C1348="","",IF(AND(MONTH(C1348)&gt;=1,MONTH(C1348)&lt;=3),1,IF(AND(MONTH(C1348)&gt;=4,MONTH(C1348)&lt;=6),2,IF(AND(MONTH(C1348)&gt;=7,MONTH(C1348)&lt;=9),3,4))))</f>
        <v>3</v>
      </c>
      <c r="D1349" s="69"/>
      <c r="E1349" s="56" t="s">
        <v>865</v>
      </c>
      <c r="F1349" s="57"/>
    </row>
    <row r="1351" spans="1:10" ht="14.25" customHeight="1" x14ac:dyDescent="0.25">
      <c r="A1351" s="29" t="s">
        <v>1017</v>
      </c>
      <c r="B1351" s="29" t="s">
        <v>1042</v>
      </c>
      <c r="C1351" s="29" t="s">
        <v>1011</v>
      </c>
      <c r="D1351" s="29" t="s">
        <v>985</v>
      </c>
      <c r="E1351" s="29" t="s">
        <v>449</v>
      </c>
      <c r="F1351" s="29" t="s">
        <v>989</v>
      </c>
    </row>
    <row r="1352" spans="1:10" ht="14.25" customHeight="1" x14ac:dyDescent="0.25">
      <c r="A1352" s="25" t="s">
        <v>655</v>
      </c>
      <c r="B1352" s="26" t="str">
        <f ca="1">IFERROR(INDEX(UNSPSCDes,MATCH(INDIRECT(ADDRESS(ROW(),COLUMN()-1,4)),UNSPSCCode,0)),IF(INDIRECT(ADDRESS(ROW(),COLUMN()-1,4))="82101601","Publicidad en radio",""))</f>
        <v>Publicidad en radio</v>
      </c>
      <c r="C1352" s="58" t="str">
        <f>IFERROR(VLOOKUP("UD",'Informacion '!P:Q,2,FALSE),"")</f>
        <v>Unidad</v>
      </c>
      <c r="D1352" s="25">
        <v>1</v>
      </c>
      <c r="E1352" s="28">
        <v>2000000</v>
      </c>
      <c r="F1352" s="27">
        <f ca="1">INDIRECT(ADDRESS(ROW(),COLUMN()-2,4))*INDIRECT(ADDRESS(ROW(),COLUMN()-1,4))</f>
        <v>2000000</v>
      </c>
    </row>
    <row r="1353" spans="1:10" ht="14.25" customHeight="1" x14ac:dyDescent="0.25">
      <c r="A1353" s="25" t="s">
        <v>972</v>
      </c>
      <c r="B1353" s="26" t="str">
        <f ca="1">IFERROR(INDEX(UNSPSCDes,MATCH(INDIRECT(ADDRESS(ROW(),COLUMN()-1,4)),UNSPSCCode,0)),IF(INDIRECT(ADDRESS(ROW(),COLUMN()-1,4))="82101602","Publicidad en televisión",""))</f>
        <v>Publicidad en televisión</v>
      </c>
      <c r="C1353" s="58" t="str">
        <f>IFERROR(VLOOKUP("UD",'Informacion '!P:Q,2,FALSE),"")</f>
        <v>Unidad</v>
      </c>
      <c r="D1353" s="25">
        <v>1</v>
      </c>
      <c r="E1353" s="28">
        <v>5000000</v>
      </c>
      <c r="F1353" s="27">
        <f ca="1">INDIRECT(ADDRESS(ROW(),COLUMN()-2,4))*INDIRECT(ADDRESS(ROW(),COLUMN()-1,4))</f>
        <v>5000000</v>
      </c>
    </row>
    <row r="1354" spans="1:10" ht="14.25" customHeight="1" x14ac:dyDescent="0.25">
      <c r="A1354" s="25" t="s">
        <v>999</v>
      </c>
      <c r="B1354" s="26" t="str">
        <f ca="1">IFERROR(INDEX(UNSPSCDes,MATCH(INDIRECT(ADDRESS(ROW(),COLUMN()-1,4)),UNSPSCCode,0)),IF(INDIRECT(ADDRESS(ROW(),COLUMN()-1,4))="82101603","Publicidad en internet",""))</f>
        <v>Publicidad en internet</v>
      </c>
      <c r="C1354" s="58" t="str">
        <f>IFERROR(VLOOKUP("UD",'Informacion '!P:Q,2,FALSE),"")</f>
        <v>Unidad</v>
      </c>
      <c r="D1354" s="25">
        <v>1</v>
      </c>
      <c r="E1354" s="28">
        <v>5000000</v>
      </c>
      <c r="F1354" s="27">
        <f ca="1">INDIRECT(ADDRESS(ROW(),COLUMN()-2,4))*INDIRECT(ADDRESS(ROW(),COLUMN()-1,4))</f>
        <v>5000000</v>
      </c>
    </row>
    <row r="1355" spans="1:10" ht="14.25" customHeight="1" x14ac:dyDescent="0.25">
      <c r="E1355" s="30" t="s">
        <v>816</v>
      </c>
      <c r="F1355" s="31">
        <f ca="1">SUM(Table62[MONTO TOTAL ESTIMADO])</f>
        <v>12000000</v>
      </c>
      <c r="H1355" s="21" t="str">
        <f>C1345</f>
        <v>Servicios</v>
      </c>
      <c r="I1355" s="21" t="str">
        <f>E1345</f>
        <v>No</v>
      </c>
      <c r="J1355" s="21" t="str">
        <f>D1345</f>
        <v>Excepción - Contratación de publicidad a través de medios de comunicación social</v>
      </c>
    </row>
    <row r="1357" spans="1:10" ht="33.950000000000003" customHeight="1" x14ac:dyDescent="0.25">
      <c r="A1357" s="22" t="s">
        <v>1051</v>
      </c>
      <c r="B1357" s="22" t="s">
        <v>11</v>
      </c>
      <c r="C1357" s="22" t="s">
        <v>751</v>
      </c>
      <c r="D1357" s="22" t="s">
        <v>930</v>
      </c>
      <c r="E1357" s="22" t="s">
        <v>699</v>
      </c>
      <c r="F1357" s="22" t="s">
        <v>710</v>
      </c>
    </row>
    <row r="1358" spans="1:10" ht="14.25" customHeight="1" x14ac:dyDescent="0.25">
      <c r="A1358" s="23" t="s">
        <v>524</v>
      </c>
      <c r="B1358" s="23" t="s">
        <v>524</v>
      </c>
      <c r="C1358" s="23" t="s">
        <v>438</v>
      </c>
      <c r="D1358" s="23" t="s">
        <v>270</v>
      </c>
      <c r="E1358" s="23" t="s">
        <v>1156</v>
      </c>
      <c r="F1358" s="23" t="s">
        <v>436</v>
      </c>
    </row>
    <row r="1359" spans="1:10" ht="14.25" customHeight="1" x14ac:dyDescent="0.25">
      <c r="A1359" s="68" t="s">
        <v>965</v>
      </c>
      <c r="B1359" s="24" t="s">
        <v>543</v>
      </c>
      <c r="C1359" s="54">
        <v>46218</v>
      </c>
      <c r="D1359" s="68" t="s">
        <v>598</v>
      </c>
      <c r="E1359" s="56" t="s">
        <v>858</v>
      </c>
      <c r="F1359" s="57"/>
    </row>
    <row r="1360" spans="1:10" ht="14.25" customHeight="1" x14ac:dyDescent="0.25">
      <c r="A1360" s="69"/>
      <c r="B1360" s="24" t="s">
        <v>112</v>
      </c>
      <c r="C1360" s="55">
        <f>IF(C1359="","",IF(AND(MONTH(C1359)&gt;=1,MONTH(C1359)&lt;=3),1,IF(AND(MONTH(C1359)&gt;=4,MONTH(C1359)&lt;=6),2,IF(AND(MONTH(C1359)&gt;=7,MONTH(C1359)&lt;=9),3,4))))</f>
        <v>3</v>
      </c>
      <c r="D1360" s="69"/>
      <c r="E1360" s="56" t="s">
        <v>143</v>
      </c>
      <c r="F1360" s="57"/>
    </row>
    <row r="1361" spans="1:10" ht="14.25" customHeight="1" x14ac:dyDescent="0.25">
      <c r="A1361" s="69"/>
      <c r="B1361" s="24" t="s">
        <v>844</v>
      </c>
      <c r="C1361" s="54">
        <v>46246</v>
      </c>
      <c r="D1361" s="69"/>
      <c r="E1361" s="56" t="s">
        <v>183</v>
      </c>
      <c r="F1361" s="57"/>
    </row>
    <row r="1362" spans="1:10" ht="14.25" customHeight="1" x14ac:dyDescent="0.25">
      <c r="A1362" s="69"/>
      <c r="B1362" s="24" t="s">
        <v>112</v>
      </c>
      <c r="C1362" s="55">
        <f>IF(C1361="","",IF(AND(MONTH(C1361)&gt;=1,MONTH(C1361)&lt;=3),1,IF(AND(MONTH(C1361)&gt;=4,MONTH(C1361)&lt;=6),2,IF(AND(MONTH(C1361)&gt;=7,MONTH(C1361)&lt;=9),3,4))))</f>
        <v>3</v>
      </c>
      <c r="D1362" s="69"/>
      <c r="E1362" s="56" t="s">
        <v>865</v>
      </c>
      <c r="F1362" s="57"/>
    </row>
    <row r="1364" spans="1:10" ht="14.25" customHeight="1" x14ac:dyDescent="0.25">
      <c r="A1364" s="29" t="s">
        <v>1017</v>
      </c>
      <c r="B1364" s="29" t="s">
        <v>1042</v>
      </c>
      <c r="C1364" s="29" t="s">
        <v>1011</v>
      </c>
      <c r="D1364" s="29" t="s">
        <v>985</v>
      </c>
      <c r="E1364" s="29" t="s">
        <v>449</v>
      </c>
      <c r="F1364" s="29" t="s">
        <v>989</v>
      </c>
    </row>
    <row r="1365" spans="1:10" ht="14.25" customHeight="1" x14ac:dyDescent="0.25">
      <c r="A1365" s="25" t="s">
        <v>494</v>
      </c>
      <c r="B1365" s="26" t="str">
        <f ca="1">IFERROR(INDEX(UNSPSCDes,MATCH(INDIRECT(ADDRESS(ROW(),COLUMN()-1,4)),UNSPSCCode,0)),IF(INDIRECT(ADDRESS(ROW(),COLUMN()-1,4))="82101503","Publicidad en revistas",""))</f>
        <v>Publicidad en revistas</v>
      </c>
      <c r="C1365" s="58" t="str">
        <f>IFERROR(VLOOKUP("UD",'Informacion '!P:Q,2,FALSE),"")</f>
        <v>Unidad</v>
      </c>
      <c r="D1365" s="25">
        <v>1</v>
      </c>
      <c r="E1365" s="28">
        <v>1000000</v>
      </c>
      <c r="F1365" s="27">
        <f ca="1">INDIRECT(ADDRESS(ROW(),COLUMN()-2,4))*INDIRECT(ADDRESS(ROW(),COLUMN()-1,4))</f>
        <v>1000000</v>
      </c>
    </row>
    <row r="1366" spans="1:10" ht="14.25" customHeight="1" x14ac:dyDescent="0.25">
      <c r="E1366" s="30" t="s">
        <v>816</v>
      </c>
      <c r="F1366" s="31">
        <f ca="1">SUM(Table63[MONTO TOTAL ESTIMADO])</f>
        <v>1000000</v>
      </c>
      <c r="H1366" s="21" t="str">
        <f>C1358</f>
        <v>Servicios</v>
      </c>
      <c r="I1366" s="21" t="str">
        <f>E1358</f>
        <v>No</v>
      </c>
      <c r="J1366" s="21" t="str">
        <f>D1358</f>
        <v>Excepción - Contratación de publicidad a través de medios de comunicación social</v>
      </c>
    </row>
    <row r="1368" spans="1:10" ht="33.950000000000003" customHeight="1" x14ac:dyDescent="0.25">
      <c r="A1368" s="22" t="s">
        <v>1051</v>
      </c>
      <c r="B1368" s="22" t="s">
        <v>11</v>
      </c>
      <c r="C1368" s="22" t="s">
        <v>751</v>
      </c>
      <c r="D1368" s="22" t="s">
        <v>930</v>
      </c>
      <c r="E1368" s="22" t="s">
        <v>699</v>
      </c>
      <c r="F1368" s="22" t="s">
        <v>710</v>
      </c>
    </row>
    <row r="1369" spans="1:10" ht="14.25" customHeight="1" x14ac:dyDescent="0.25">
      <c r="A1369" s="23" t="s">
        <v>1086</v>
      </c>
      <c r="B1369" s="23" t="s">
        <v>864</v>
      </c>
      <c r="C1369" s="23" t="s">
        <v>438</v>
      </c>
      <c r="D1369" s="23" t="s">
        <v>270</v>
      </c>
      <c r="E1369" s="23" t="s">
        <v>1156</v>
      </c>
      <c r="F1369" s="23" t="s">
        <v>436</v>
      </c>
    </row>
    <row r="1370" spans="1:10" ht="14.25" customHeight="1" x14ac:dyDescent="0.25">
      <c r="A1370" s="68" t="s">
        <v>965</v>
      </c>
      <c r="B1370" s="24" t="s">
        <v>543</v>
      </c>
      <c r="C1370" s="54">
        <v>46225</v>
      </c>
      <c r="D1370" s="68" t="s">
        <v>598</v>
      </c>
      <c r="E1370" s="56" t="s">
        <v>858</v>
      </c>
      <c r="F1370" s="57"/>
    </row>
    <row r="1371" spans="1:10" ht="14.25" customHeight="1" x14ac:dyDescent="0.25">
      <c r="A1371" s="69"/>
      <c r="B1371" s="24" t="s">
        <v>112</v>
      </c>
      <c r="C1371" s="55">
        <f>IF(C1370="","",IF(AND(MONTH(C1370)&gt;=1,MONTH(C1370)&lt;=3),1,IF(AND(MONTH(C1370)&gt;=4,MONTH(C1370)&lt;=6),2,IF(AND(MONTH(C1370)&gt;=7,MONTH(C1370)&lt;=9),3,4))))</f>
        <v>3</v>
      </c>
      <c r="D1371" s="69"/>
      <c r="E1371" s="56" t="s">
        <v>143</v>
      </c>
      <c r="F1371" s="57"/>
    </row>
    <row r="1372" spans="1:10" ht="14.25" customHeight="1" x14ac:dyDescent="0.25">
      <c r="A1372" s="69"/>
      <c r="B1372" s="24" t="s">
        <v>844</v>
      </c>
      <c r="C1372" s="54">
        <v>46234</v>
      </c>
      <c r="D1372" s="69"/>
      <c r="E1372" s="56" t="s">
        <v>183</v>
      </c>
      <c r="F1372" s="57"/>
    </row>
    <row r="1373" spans="1:10" ht="14.25" customHeight="1" x14ac:dyDescent="0.25">
      <c r="A1373" s="69"/>
      <c r="B1373" s="24" t="s">
        <v>112</v>
      </c>
      <c r="C1373" s="55">
        <f>IF(C1372="","",IF(AND(MONTH(C1372)&gt;=1,MONTH(C1372)&lt;=3),1,IF(AND(MONTH(C1372)&gt;=4,MONTH(C1372)&lt;=6),2,IF(AND(MONTH(C1372)&gt;=7,MONTH(C1372)&lt;=9),3,4))))</f>
        <v>3</v>
      </c>
      <c r="D1373" s="69"/>
      <c r="E1373" s="56" t="s">
        <v>865</v>
      </c>
      <c r="F1373" s="57"/>
    </row>
    <row r="1375" spans="1:10" ht="14.25" customHeight="1" x14ac:dyDescent="0.25">
      <c r="A1375" s="29" t="s">
        <v>1017</v>
      </c>
      <c r="B1375" s="29" t="s">
        <v>1042</v>
      </c>
      <c r="C1375" s="29" t="s">
        <v>1011</v>
      </c>
      <c r="D1375" s="29" t="s">
        <v>985</v>
      </c>
      <c r="E1375" s="29" t="s">
        <v>449</v>
      </c>
      <c r="F1375" s="29" t="s">
        <v>989</v>
      </c>
    </row>
    <row r="1376" spans="1:10" ht="14.25" customHeight="1" x14ac:dyDescent="0.25">
      <c r="A1376" s="25" t="s">
        <v>384</v>
      </c>
      <c r="B1376" s="26" t="str">
        <f ca="1">IFERROR(INDEX(UNSPSCDes,MATCH(INDIRECT(ADDRESS(ROW(),COLUMN()-1,4)),UNSPSCCode,0)),IF(INDIRECT(ADDRESS(ROW(),COLUMN()-1,4))="82101504","Publicidad en periódicos",""))</f>
        <v>Publicidad en periódicos</v>
      </c>
      <c r="C1376" s="58" t="str">
        <f>IFERROR(VLOOKUP("UD",'Informacion '!P:Q,2,FALSE),"")</f>
        <v>Unidad</v>
      </c>
      <c r="D1376" s="25">
        <v>2</v>
      </c>
      <c r="E1376" s="28">
        <v>1000000</v>
      </c>
      <c r="F1376" s="27">
        <f ca="1">INDIRECT(ADDRESS(ROW(),COLUMN()-2,4))*INDIRECT(ADDRESS(ROW(),COLUMN()-1,4))</f>
        <v>2000000</v>
      </c>
    </row>
    <row r="1377" spans="1:10" ht="14.25" customHeight="1" x14ac:dyDescent="0.25">
      <c r="E1377" s="30" t="s">
        <v>816</v>
      </c>
      <c r="F1377" s="31">
        <f ca="1">SUM(Table64[MONTO TOTAL ESTIMADO])</f>
        <v>2000000</v>
      </c>
      <c r="H1377" s="21" t="str">
        <f>C1369</f>
        <v>Servicios</v>
      </c>
      <c r="I1377" s="21" t="str">
        <f>E1369</f>
        <v>No</v>
      </c>
      <c r="J1377" s="21" t="str">
        <f>D1369</f>
        <v>Excepción - Contratación de publicidad a través de medios de comunicación social</v>
      </c>
    </row>
    <row r="1379" spans="1:10" ht="33.950000000000003" customHeight="1" x14ac:dyDescent="0.25">
      <c r="A1379" s="22" t="s">
        <v>1051</v>
      </c>
      <c r="B1379" s="22" t="s">
        <v>11</v>
      </c>
      <c r="C1379" s="22" t="s">
        <v>751</v>
      </c>
      <c r="D1379" s="22" t="s">
        <v>930</v>
      </c>
      <c r="E1379" s="22" t="s">
        <v>699</v>
      </c>
      <c r="F1379" s="22" t="s">
        <v>710</v>
      </c>
    </row>
    <row r="1380" spans="1:10" ht="14.25" customHeight="1" x14ac:dyDescent="0.25">
      <c r="A1380" s="23" t="s">
        <v>833</v>
      </c>
      <c r="B1380" s="23" t="s">
        <v>833</v>
      </c>
      <c r="C1380" s="23" t="s">
        <v>438</v>
      </c>
      <c r="D1380" s="23" t="s">
        <v>270</v>
      </c>
      <c r="E1380" s="23" t="s">
        <v>1156</v>
      </c>
      <c r="F1380" s="23" t="s">
        <v>436</v>
      </c>
    </row>
    <row r="1381" spans="1:10" ht="14.25" customHeight="1" x14ac:dyDescent="0.25">
      <c r="A1381" s="68" t="s">
        <v>965</v>
      </c>
      <c r="B1381" s="24" t="s">
        <v>543</v>
      </c>
      <c r="C1381" s="54">
        <v>46246</v>
      </c>
      <c r="D1381" s="68" t="s">
        <v>598</v>
      </c>
      <c r="E1381" s="56" t="s">
        <v>858</v>
      </c>
      <c r="F1381" s="57"/>
    </row>
    <row r="1382" spans="1:10" ht="14.25" customHeight="1" x14ac:dyDescent="0.25">
      <c r="A1382" s="69"/>
      <c r="B1382" s="24" t="s">
        <v>112</v>
      </c>
      <c r="C1382" s="55">
        <f>IF(C1381="","",IF(AND(MONTH(C1381)&gt;=1,MONTH(C1381)&lt;=3),1,IF(AND(MONTH(C1381)&gt;=4,MONTH(C1381)&lt;=6),2,IF(AND(MONTH(C1381)&gt;=7,MONTH(C1381)&lt;=9),3,4))))</f>
        <v>3</v>
      </c>
      <c r="D1382" s="69"/>
      <c r="E1382" s="56" t="s">
        <v>143</v>
      </c>
      <c r="F1382" s="57"/>
    </row>
    <row r="1383" spans="1:10" ht="14.25" customHeight="1" x14ac:dyDescent="0.25">
      <c r="A1383" s="69"/>
      <c r="B1383" s="24" t="s">
        <v>844</v>
      </c>
      <c r="C1383" s="54">
        <v>46260</v>
      </c>
      <c r="D1383" s="69"/>
      <c r="E1383" s="56" t="s">
        <v>183</v>
      </c>
      <c r="F1383" s="57"/>
    </row>
    <row r="1384" spans="1:10" ht="14.25" customHeight="1" x14ac:dyDescent="0.25">
      <c r="A1384" s="69"/>
      <c r="B1384" s="24" t="s">
        <v>112</v>
      </c>
      <c r="C1384" s="55">
        <f>IF(C1383="","",IF(AND(MONTH(C1383)&gt;=1,MONTH(C1383)&lt;=3),1,IF(AND(MONTH(C1383)&gt;=4,MONTH(C1383)&lt;=6),2,IF(AND(MONTH(C1383)&gt;=7,MONTH(C1383)&lt;=9),3,4))))</f>
        <v>3</v>
      </c>
      <c r="D1384" s="69"/>
      <c r="E1384" s="56" t="s">
        <v>865</v>
      </c>
      <c r="F1384" s="57"/>
    </row>
    <row r="1386" spans="1:10" ht="14.25" customHeight="1" x14ac:dyDescent="0.25">
      <c r="A1386" s="29" t="s">
        <v>1017</v>
      </c>
      <c r="B1386" s="29" t="s">
        <v>1042</v>
      </c>
      <c r="C1386" s="29" t="s">
        <v>1011</v>
      </c>
      <c r="D1386" s="29" t="s">
        <v>985</v>
      </c>
      <c r="E1386" s="29" t="s">
        <v>449</v>
      </c>
      <c r="F1386" s="29" t="s">
        <v>989</v>
      </c>
    </row>
    <row r="1387" spans="1:10" ht="14.25" customHeight="1" x14ac:dyDescent="0.25">
      <c r="A1387" s="25" t="s">
        <v>503</v>
      </c>
      <c r="B1387" s="26" t="str">
        <f ca="1">IFERROR(INDEX(UNSPSCDes,MATCH(INDIRECT(ADDRESS(ROW(),COLUMN()-1,4)),UNSPSCCode,0)),IF(INDIRECT(ADDRESS(ROW(),COLUMN()-1,4))="82101501","Publicidad en vallas",""))</f>
        <v>Publicidad en vallas</v>
      </c>
      <c r="C1387" s="58" t="str">
        <f>IFERROR(VLOOKUP("UD",'Informacion '!P:Q,2,FALSE),"")</f>
        <v>Unidad</v>
      </c>
      <c r="D1387" s="25">
        <v>1</v>
      </c>
      <c r="E1387" s="28">
        <v>10000000</v>
      </c>
      <c r="F1387" s="27">
        <f ca="1">INDIRECT(ADDRESS(ROW(),COLUMN()-2,4))*INDIRECT(ADDRESS(ROW(),COLUMN()-1,4))</f>
        <v>10000000</v>
      </c>
    </row>
    <row r="1388" spans="1:10" ht="14.25" customHeight="1" x14ac:dyDescent="0.25">
      <c r="E1388" s="30" t="s">
        <v>816</v>
      </c>
      <c r="F1388" s="31">
        <f ca="1">SUM(Table65[MONTO TOTAL ESTIMADO])</f>
        <v>10000000</v>
      </c>
      <c r="H1388" s="21" t="str">
        <f>C1380</f>
        <v>Servicios</v>
      </c>
      <c r="I1388" s="21" t="str">
        <f>E1380</f>
        <v>No</v>
      </c>
      <c r="J1388" s="21" t="str">
        <f>D1380</f>
        <v>Excepción - Contratación de publicidad a través de medios de comunicación social</v>
      </c>
    </row>
    <row r="1390" spans="1:10" ht="33.950000000000003" customHeight="1" x14ac:dyDescent="0.25">
      <c r="A1390" s="22" t="s">
        <v>1051</v>
      </c>
      <c r="B1390" s="22" t="s">
        <v>11</v>
      </c>
      <c r="C1390" s="22" t="s">
        <v>751</v>
      </c>
      <c r="D1390" s="22" t="s">
        <v>930</v>
      </c>
      <c r="E1390" s="22" t="s">
        <v>699</v>
      </c>
      <c r="F1390" s="22" t="s">
        <v>710</v>
      </c>
    </row>
    <row r="1391" spans="1:10" ht="14.25" customHeight="1" x14ac:dyDescent="0.25">
      <c r="A1391" s="23" t="s">
        <v>309</v>
      </c>
      <c r="B1391" s="23" t="s">
        <v>309</v>
      </c>
      <c r="C1391" s="23" t="s">
        <v>438</v>
      </c>
      <c r="D1391" s="23" t="s">
        <v>1128</v>
      </c>
      <c r="E1391" s="23" t="s">
        <v>1156</v>
      </c>
      <c r="F1391" s="23" t="s">
        <v>436</v>
      </c>
    </row>
    <row r="1392" spans="1:10" ht="14.25" customHeight="1" x14ac:dyDescent="0.25">
      <c r="A1392" s="68" t="s">
        <v>965</v>
      </c>
      <c r="B1392" s="24" t="s">
        <v>543</v>
      </c>
      <c r="C1392" s="54">
        <v>46068</v>
      </c>
      <c r="D1392" s="68" t="s">
        <v>598</v>
      </c>
      <c r="E1392" s="56" t="s">
        <v>858</v>
      </c>
      <c r="F1392" s="57"/>
    </row>
    <row r="1393" spans="1:10" ht="14.25" customHeight="1" x14ac:dyDescent="0.25">
      <c r="A1393" s="69"/>
      <c r="B1393" s="24" t="s">
        <v>112</v>
      </c>
      <c r="C1393" s="55">
        <f>IF(C1392="","",IF(AND(MONTH(C1392)&gt;=1,MONTH(C1392)&lt;=3),1,IF(AND(MONTH(C1392)&gt;=4,MONTH(C1392)&lt;=6),2,IF(AND(MONTH(C1392)&gt;=7,MONTH(C1392)&lt;=9),3,4))))</f>
        <v>1</v>
      </c>
      <c r="D1393" s="69"/>
      <c r="E1393" s="56" t="s">
        <v>143</v>
      </c>
      <c r="F1393" s="57"/>
    </row>
    <row r="1394" spans="1:10" ht="14.25" customHeight="1" x14ac:dyDescent="0.25">
      <c r="A1394" s="69"/>
      <c r="B1394" s="24" t="s">
        <v>844</v>
      </c>
      <c r="C1394" s="54">
        <v>46080</v>
      </c>
      <c r="D1394" s="69"/>
      <c r="E1394" s="56" t="s">
        <v>183</v>
      </c>
      <c r="F1394" s="57"/>
    </row>
    <row r="1395" spans="1:10" ht="14.25" customHeight="1" x14ac:dyDescent="0.25">
      <c r="A1395" s="69"/>
      <c r="B1395" s="24" t="s">
        <v>112</v>
      </c>
      <c r="C1395" s="55">
        <f>IF(C1394="","",IF(AND(MONTH(C1394)&gt;=1,MONTH(C1394)&lt;=3),1,IF(AND(MONTH(C1394)&gt;=4,MONTH(C1394)&lt;=6),2,IF(AND(MONTH(C1394)&gt;=7,MONTH(C1394)&lt;=9),3,4))))</f>
        <v>1</v>
      </c>
      <c r="D1395" s="69"/>
      <c r="E1395" s="56" t="s">
        <v>865</v>
      </c>
      <c r="F1395" s="57"/>
    </row>
    <row r="1397" spans="1:10" ht="14.25" customHeight="1" x14ac:dyDescent="0.25">
      <c r="A1397" s="29" t="s">
        <v>1017</v>
      </c>
      <c r="B1397" s="29" t="s">
        <v>1042</v>
      </c>
      <c r="C1397" s="29" t="s">
        <v>1011</v>
      </c>
      <c r="D1397" s="29" t="s">
        <v>985</v>
      </c>
      <c r="E1397" s="29" t="s">
        <v>449</v>
      </c>
      <c r="F1397" s="29" t="s">
        <v>989</v>
      </c>
    </row>
    <row r="1398" spans="1:10" ht="14.25" customHeight="1" x14ac:dyDescent="0.25">
      <c r="A1398" s="25" t="s">
        <v>1014</v>
      </c>
      <c r="B1398" s="26" t="str">
        <f ca="1">IFERROR(INDEX(UNSPSCDes,MATCH(INDIRECT(ADDRESS(ROW(),COLUMN()-1,4)),UNSPSCCode,0)),IF(INDIRECT(ADDRESS(ROW(),COLUMN()-1,4))="72101517","Servicio de mantenimiento o reparación de generadores portátiles",""))</f>
        <v>Servicio de mantenimiento o reparación de generadores portátiles</v>
      </c>
      <c r="C1398" s="58" t="str">
        <f>IFERROR(VLOOKUP("UD",'Informacion '!P:Q,2,FALSE),"")</f>
        <v>Unidad</v>
      </c>
      <c r="D1398" s="25">
        <v>1</v>
      </c>
      <c r="E1398" s="28">
        <v>1250000</v>
      </c>
      <c r="F1398" s="27">
        <f ca="1">INDIRECT(ADDRESS(ROW(),COLUMN()-2,4))*INDIRECT(ADDRESS(ROW(),COLUMN()-1,4))</f>
        <v>1250000</v>
      </c>
    </row>
    <row r="1399" spans="1:10" ht="14.25" customHeight="1" x14ac:dyDescent="0.25">
      <c r="E1399" s="30" t="s">
        <v>816</v>
      </c>
      <c r="F1399" s="31">
        <f ca="1">SUM(Table66[MONTO TOTAL ESTIMADO])</f>
        <v>1250000</v>
      </c>
      <c r="H1399" s="21" t="str">
        <f>C1391</f>
        <v>Servicios</v>
      </c>
      <c r="I1399" s="21" t="str">
        <f>E1391</f>
        <v>No</v>
      </c>
      <c r="J1399" s="21" t="str">
        <f>D1391</f>
        <v>Compras Menores</v>
      </c>
    </row>
    <row r="1401" spans="1:10" ht="33.950000000000003" customHeight="1" x14ac:dyDescent="0.25">
      <c r="A1401" s="22" t="s">
        <v>1051</v>
      </c>
      <c r="B1401" s="22" t="s">
        <v>11</v>
      </c>
      <c r="C1401" s="22" t="s">
        <v>751</v>
      </c>
      <c r="D1401" s="22" t="s">
        <v>930</v>
      </c>
      <c r="E1401" s="22" t="s">
        <v>699</v>
      </c>
      <c r="F1401" s="22" t="s">
        <v>710</v>
      </c>
    </row>
    <row r="1402" spans="1:10" ht="14.25" customHeight="1" x14ac:dyDescent="0.25">
      <c r="A1402" s="23" t="s">
        <v>511</v>
      </c>
      <c r="B1402" s="23" t="s">
        <v>272</v>
      </c>
      <c r="C1402" s="23" t="s">
        <v>438</v>
      </c>
      <c r="D1402" s="23" t="s">
        <v>464</v>
      </c>
      <c r="E1402" s="23" t="s">
        <v>1156</v>
      </c>
      <c r="F1402" s="23" t="s">
        <v>436</v>
      </c>
    </row>
    <row r="1403" spans="1:10" ht="14.25" customHeight="1" x14ac:dyDescent="0.25">
      <c r="A1403" s="68" t="s">
        <v>965</v>
      </c>
      <c r="B1403" s="24" t="s">
        <v>543</v>
      </c>
      <c r="C1403" s="54">
        <v>46220</v>
      </c>
      <c r="D1403" s="68" t="s">
        <v>598</v>
      </c>
      <c r="E1403" s="56" t="s">
        <v>858</v>
      </c>
      <c r="F1403" s="57"/>
    </row>
    <row r="1404" spans="1:10" ht="14.25" customHeight="1" x14ac:dyDescent="0.25">
      <c r="A1404" s="69"/>
      <c r="B1404" s="24" t="s">
        <v>112</v>
      </c>
      <c r="C1404" s="55">
        <f>IF(C1403="","",IF(AND(MONTH(C1403)&gt;=1,MONTH(C1403)&lt;=3),1,IF(AND(MONTH(C1403)&gt;=4,MONTH(C1403)&lt;=6),2,IF(AND(MONTH(C1403)&gt;=7,MONTH(C1403)&lt;=9),3,4))))</f>
        <v>3</v>
      </c>
      <c r="D1404" s="69"/>
      <c r="E1404" s="56" t="s">
        <v>143</v>
      </c>
      <c r="F1404" s="57"/>
    </row>
    <row r="1405" spans="1:10" ht="14.25" customHeight="1" x14ac:dyDescent="0.25">
      <c r="A1405" s="69"/>
      <c r="B1405" s="24" t="s">
        <v>844</v>
      </c>
      <c r="C1405" s="54">
        <v>46225</v>
      </c>
      <c r="D1405" s="69"/>
      <c r="E1405" s="56" t="s">
        <v>183</v>
      </c>
      <c r="F1405" s="57"/>
    </row>
    <row r="1406" spans="1:10" ht="14.25" customHeight="1" x14ac:dyDescent="0.25">
      <c r="A1406" s="69"/>
      <c r="B1406" s="24" t="s">
        <v>112</v>
      </c>
      <c r="C1406" s="55">
        <f>IF(C1405="","",IF(AND(MONTH(C1405)&gt;=1,MONTH(C1405)&lt;=3),1,IF(AND(MONTH(C1405)&gt;=4,MONTH(C1405)&lt;=6),2,IF(AND(MONTH(C1405)&gt;=7,MONTH(C1405)&lt;=9),3,4))))</f>
        <v>3</v>
      </c>
      <c r="D1406" s="69"/>
      <c r="E1406" s="56" t="s">
        <v>865</v>
      </c>
      <c r="F1406" s="57"/>
    </row>
    <row r="1408" spans="1:10" ht="14.25" customHeight="1" x14ac:dyDescent="0.25">
      <c r="A1408" s="29" t="s">
        <v>1017</v>
      </c>
      <c r="B1408" s="29" t="s">
        <v>1042</v>
      </c>
      <c r="C1408" s="29" t="s">
        <v>1011</v>
      </c>
      <c r="D1408" s="29" t="s">
        <v>985</v>
      </c>
      <c r="E1408" s="29" t="s">
        <v>449</v>
      </c>
      <c r="F1408" s="29" t="s">
        <v>989</v>
      </c>
    </row>
    <row r="1409" spans="1:10" ht="14.25" customHeight="1" x14ac:dyDescent="0.25">
      <c r="A1409" s="25" t="s">
        <v>456</v>
      </c>
      <c r="B1409" s="26" t="str">
        <f ca="1">IFERROR(INDEX(UNSPSCDes,MATCH(INDIRECT(ADDRESS(ROW(),COLUMN()-1,4)),UNSPSCCode,0)),IF(INDIRECT(ADDRESS(ROW(),COLUMN()-1,4))="82131603","Servicios de producción de vídeos",""))</f>
        <v>Servicios de producción de vídeos</v>
      </c>
      <c r="C1409" s="58" t="str">
        <f>IFERROR(VLOOKUP("UD",'Informacion '!P:Q,2,FALSE),"")</f>
        <v>Unidad</v>
      </c>
      <c r="D1409" s="25">
        <v>1</v>
      </c>
      <c r="E1409" s="28">
        <v>1800000</v>
      </c>
      <c r="F1409" s="27">
        <f ca="1">INDIRECT(ADDRESS(ROW(),COLUMN()-2,4))*INDIRECT(ADDRESS(ROW(),COLUMN()-1,4))</f>
        <v>1800000</v>
      </c>
    </row>
    <row r="1410" spans="1:10" ht="14.25" customHeight="1" x14ac:dyDescent="0.25">
      <c r="E1410" s="30" t="s">
        <v>816</v>
      </c>
      <c r="F1410" s="31">
        <f ca="1">SUM(Table67[MONTO TOTAL ESTIMADO])</f>
        <v>1800000</v>
      </c>
      <c r="H1410" s="21" t="str">
        <f>C1402</f>
        <v>Servicios</v>
      </c>
      <c r="I1410" s="21" t="str">
        <f>E1402</f>
        <v>No</v>
      </c>
      <c r="J1410" s="21" t="str">
        <f>D1402</f>
        <v>Excepción - Obras científicas, técnicas, artísticas, o restauración  de monumentos históricos</v>
      </c>
    </row>
    <row r="1412" spans="1:10" ht="33.950000000000003" customHeight="1" x14ac:dyDescent="0.25">
      <c r="A1412" s="22" t="s">
        <v>1051</v>
      </c>
      <c r="B1412" s="22" t="s">
        <v>11</v>
      </c>
      <c r="C1412" s="22" t="s">
        <v>751</v>
      </c>
      <c r="D1412" s="22" t="s">
        <v>930</v>
      </c>
      <c r="E1412" s="22" t="s">
        <v>699</v>
      </c>
      <c r="F1412" s="22" t="s">
        <v>710</v>
      </c>
    </row>
    <row r="1413" spans="1:10" ht="14.25" customHeight="1" x14ac:dyDescent="0.25">
      <c r="A1413" s="23" t="s">
        <v>287</v>
      </c>
      <c r="B1413" s="23" t="s">
        <v>287</v>
      </c>
      <c r="C1413" s="23" t="s">
        <v>438</v>
      </c>
      <c r="D1413" s="23" t="s">
        <v>116</v>
      </c>
      <c r="E1413" s="23" t="s">
        <v>1156</v>
      </c>
      <c r="F1413" s="23" t="s">
        <v>436</v>
      </c>
    </row>
    <row r="1414" spans="1:10" ht="14.25" customHeight="1" x14ac:dyDescent="0.25">
      <c r="A1414" s="68" t="s">
        <v>965</v>
      </c>
      <c r="B1414" s="24" t="s">
        <v>543</v>
      </c>
      <c r="C1414" s="54">
        <v>46120</v>
      </c>
      <c r="D1414" s="68" t="s">
        <v>598</v>
      </c>
      <c r="E1414" s="56" t="s">
        <v>858</v>
      </c>
      <c r="F1414" s="57"/>
    </row>
    <row r="1415" spans="1:10" ht="14.25" customHeight="1" x14ac:dyDescent="0.25">
      <c r="A1415" s="69"/>
      <c r="B1415" s="24" t="s">
        <v>112</v>
      </c>
      <c r="C1415" s="55">
        <f>IF(C1414="","",IF(AND(MONTH(C1414)&gt;=1,MONTH(C1414)&lt;=3),1,IF(AND(MONTH(C1414)&gt;=4,MONTH(C1414)&lt;=6),2,IF(AND(MONTH(C1414)&gt;=7,MONTH(C1414)&lt;=9),3,4))))</f>
        <v>2</v>
      </c>
      <c r="D1415" s="69"/>
      <c r="E1415" s="56" t="s">
        <v>143</v>
      </c>
      <c r="F1415" s="57"/>
    </row>
    <row r="1416" spans="1:10" ht="14.25" customHeight="1" x14ac:dyDescent="0.25">
      <c r="A1416" s="69"/>
      <c r="B1416" s="24" t="s">
        <v>844</v>
      </c>
      <c r="C1416" s="54">
        <v>46190</v>
      </c>
      <c r="D1416" s="69"/>
      <c r="E1416" s="56" t="s">
        <v>183</v>
      </c>
      <c r="F1416" s="57"/>
    </row>
    <row r="1417" spans="1:10" ht="14.25" customHeight="1" x14ac:dyDescent="0.25">
      <c r="A1417" s="69"/>
      <c r="B1417" s="24" t="s">
        <v>112</v>
      </c>
      <c r="C1417" s="55">
        <f>IF(C1416="","",IF(AND(MONTH(C1416)&gt;=1,MONTH(C1416)&lt;=3),1,IF(AND(MONTH(C1416)&gt;=4,MONTH(C1416)&lt;=6),2,IF(AND(MONTH(C1416)&gt;=7,MONTH(C1416)&lt;=9),3,4))))</f>
        <v>2</v>
      </c>
      <c r="D1417" s="69"/>
      <c r="E1417" s="56" t="s">
        <v>865</v>
      </c>
      <c r="F1417" s="57"/>
    </row>
    <row r="1419" spans="1:10" ht="14.25" customHeight="1" x14ac:dyDescent="0.25">
      <c r="A1419" s="29" t="s">
        <v>1017</v>
      </c>
      <c r="B1419" s="29" t="s">
        <v>1042</v>
      </c>
      <c r="C1419" s="29" t="s">
        <v>1011</v>
      </c>
      <c r="D1419" s="29" t="s">
        <v>985</v>
      </c>
      <c r="E1419" s="29" t="s">
        <v>449</v>
      </c>
      <c r="F1419" s="29" t="s">
        <v>989</v>
      </c>
    </row>
    <row r="1420" spans="1:10" ht="14.25" customHeight="1" x14ac:dyDescent="0.25">
      <c r="A1420" s="25" t="s">
        <v>398</v>
      </c>
      <c r="B1420" s="26" t="str">
        <f ca="1">IFERROR(INDEX(UNSPSCDes,MATCH(INDIRECT(ADDRESS(ROW(),COLUMN()-1,4)),UNSPSCCode,0)),IF(INDIRECT(ADDRESS(ROW(),COLUMN()-1,4))="80161507","Servicios audiovisuales",""))</f>
        <v>Servicios audiovisuales</v>
      </c>
      <c r="C1420" s="58" t="str">
        <f>IFERROR(VLOOKUP("UD",'Informacion '!P:Q,2,FALSE),"")</f>
        <v>Unidad</v>
      </c>
      <c r="D1420" s="25">
        <v>5</v>
      </c>
      <c r="E1420" s="28">
        <v>1000000</v>
      </c>
      <c r="F1420" s="27">
        <f ca="1">INDIRECT(ADDRESS(ROW(),COLUMN()-2,4))*INDIRECT(ADDRESS(ROW(),COLUMN()-1,4))</f>
        <v>5000000</v>
      </c>
    </row>
    <row r="1421" spans="1:10" ht="14.25" customHeight="1" x14ac:dyDescent="0.25">
      <c r="E1421" s="30" t="s">
        <v>816</v>
      </c>
      <c r="F1421" s="31">
        <f ca="1">SUM(Table68[MONTO TOTAL ESTIMADO])</f>
        <v>5000000</v>
      </c>
      <c r="H1421" s="21" t="str">
        <f>C1413</f>
        <v>Servicios</v>
      </c>
      <c r="I1421" s="21" t="str">
        <f>E1413</f>
        <v>No</v>
      </c>
      <c r="J1421" s="21" t="str">
        <f>D1413</f>
        <v>Comparacion de Precios</v>
      </c>
    </row>
    <row r="1423" spans="1:10" ht="33.950000000000003" customHeight="1" x14ac:dyDescent="0.25">
      <c r="A1423" s="22" t="s">
        <v>1051</v>
      </c>
      <c r="B1423" s="22" t="s">
        <v>11</v>
      </c>
      <c r="C1423" s="22" t="s">
        <v>751</v>
      </c>
      <c r="D1423" s="22" t="s">
        <v>930</v>
      </c>
      <c r="E1423" s="22" t="s">
        <v>699</v>
      </c>
      <c r="F1423" s="22" t="s">
        <v>710</v>
      </c>
    </row>
    <row r="1424" spans="1:10" ht="14.25" customHeight="1" x14ac:dyDescent="0.25">
      <c r="A1424" s="23" t="s">
        <v>309</v>
      </c>
      <c r="B1424" s="23" t="s">
        <v>309</v>
      </c>
      <c r="C1424" s="23" t="s">
        <v>438</v>
      </c>
      <c r="D1424" s="23" t="s">
        <v>1128</v>
      </c>
      <c r="E1424" s="23" t="s">
        <v>1156</v>
      </c>
      <c r="F1424" s="23" t="s">
        <v>436</v>
      </c>
    </row>
    <row r="1425" spans="1:10" ht="14.25" customHeight="1" x14ac:dyDescent="0.25">
      <c r="A1425" s="68" t="s">
        <v>965</v>
      </c>
      <c r="B1425" s="24" t="s">
        <v>543</v>
      </c>
      <c r="C1425" s="54">
        <v>46218</v>
      </c>
      <c r="D1425" s="68" t="s">
        <v>598</v>
      </c>
      <c r="E1425" s="56" t="s">
        <v>858</v>
      </c>
      <c r="F1425" s="57" t="s">
        <v>184</v>
      </c>
    </row>
    <row r="1426" spans="1:10" ht="14.25" customHeight="1" x14ac:dyDescent="0.25">
      <c r="A1426" s="69"/>
      <c r="B1426" s="24" t="s">
        <v>112</v>
      </c>
      <c r="C1426" s="55">
        <f>IF(C1425="","",IF(AND(MONTH(C1425)&gt;=1,MONTH(C1425)&lt;=3),1,IF(AND(MONTH(C1425)&gt;=4,MONTH(C1425)&lt;=6),2,IF(AND(MONTH(C1425)&gt;=7,MONTH(C1425)&lt;=9),3,4))))</f>
        <v>3</v>
      </c>
      <c r="D1426" s="69"/>
      <c r="E1426" s="56" t="s">
        <v>143</v>
      </c>
      <c r="F1426" s="57"/>
    </row>
    <row r="1427" spans="1:10" ht="14.25" customHeight="1" x14ac:dyDescent="0.25">
      <c r="A1427" s="69"/>
      <c r="B1427" s="24" t="s">
        <v>844</v>
      </c>
      <c r="C1427" s="54">
        <v>46232</v>
      </c>
      <c r="D1427" s="69"/>
      <c r="E1427" s="56" t="s">
        <v>183</v>
      </c>
      <c r="F1427" s="57"/>
    </row>
    <row r="1428" spans="1:10" ht="14.25" customHeight="1" x14ac:dyDescent="0.25">
      <c r="A1428" s="69"/>
      <c r="B1428" s="24" t="s">
        <v>112</v>
      </c>
      <c r="C1428" s="55">
        <f>IF(C1427="","",IF(AND(MONTH(C1427)&gt;=1,MONTH(C1427)&lt;=3),1,IF(AND(MONTH(C1427)&gt;=4,MONTH(C1427)&lt;=6),2,IF(AND(MONTH(C1427)&gt;=7,MONTH(C1427)&lt;=9),3,4))))</f>
        <v>3</v>
      </c>
      <c r="D1428" s="69"/>
      <c r="E1428" s="56" t="s">
        <v>865</v>
      </c>
      <c r="F1428" s="57"/>
    </row>
    <row r="1430" spans="1:10" ht="14.25" customHeight="1" x14ac:dyDescent="0.25">
      <c r="A1430" s="29" t="s">
        <v>1017</v>
      </c>
      <c r="B1430" s="29" t="s">
        <v>1042</v>
      </c>
      <c r="C1430" s="29" t="s">
        <v>1011</v>
      </c>
      <c r="D1430" s="29" t="s">
        <v>985</v>
      </c>
      <c r="E1430" s="29" t="s">
        <v>449</v>
      </c>
      <c r="F1430" s="29" t="s">
        <v>989</v>
      </c>
    </row>
    <row r="1431" spans="1:10" ht="14.25" customHeight="1" x14ac:dyDescent="0.25">
      <c r="A1431" s="25" t="s">
        <v>1014</v>
      </c>
      <c r="B1431" s="26" t="str">
        <f ca="1">IFERROR(INDEX(UNSPSCDes,MATCH(INDIRECT(ADDRESS(ROW(),COLUMN()-1,4)),UNSPSCCode,0)),IF(INDIRECT(ADDRESS(ROW(),COLUMN()-1,4))="72101517","Servicio de mantenimiento o reparación de generadores portátiles",""))</f>
        <v>Servicio de mantenimiento o reparación de generadores portátiles</v>
      </c>
      <c r="C1431" s="58" t="str">
        <f>IFERROR(VLOOKUP("UD",'Informacion '!P:Q,2,FALSE),"")</f>
        <v>Unidad</v>
      </c>
      <c r="D1431" s="25">
        <v>1</v>
      </c>
      <c r="E1431" s="28">
        <v>1500000</v>
      </c>
      <c r="F1431" s="27">
        <f ca="1">INDIRECT(ADDRESS(ROW(),COLUMN()-2,4))*INDIRECT(ADDRESS(ROW(),COLUMN()-1,4))</f>
        <v>1500000</v>
      </c>
    </row>
    <row r="1432" spans="1:10" ht="14.25" customHeight="1" x14ac:dyDescent="0.25">
      <c r="E1432" s="30" t="s">
        <v>816</v>
      </c>
      <c r="F1432" s="31">
        <f ca="1">SUM(Table69[MONTO TOTAL ESTIMADO])</f>
        <v>1500000</v>
      </c>
      <c r="H1432" s="21" t="str">
        <f>C1424</f>
        <v>Servicios</v>
      </c>
      <c r="I1432" s="21" t="str">
        <f>E1424</f>
        <v>No</v>
      </c>
      <c r="J1432" s="21" t="str">
        <f>D1424</f>
        <v>Compras Menores</v>
      </c>
    </row>
    <row r="1434" spans="1:10" ht="33.950000000000003" customHeight="1" x14ac:dyDescent="0.25">
      <c r="A1434" s="22" t="s">
        <v>1051</v>
      </c>
      <c r="B1434" s="22" t="s">
        <v>11</v>
      </c>
      <c r="C1434" s="22" t="s">
        <v>751</v>
      </c>
      <c r="D1434" s="22" t="s">
        <v>930</v>
      </c>
      <c r="E1434" s="22" t="s">
        <v>699</v>
      </c>
      <c r="F1434" s="22" t="s">
        <v>710</v>
      </c>
    </row>
    <row r="1435" spans="1:10" ht="14.25" customHeight="1" x14ac:dyDescent="0.25">
      <c r="A1435" s="23" t="s">
        <v>876</v>
      </c>
      <c r="B1435" s="23" t="s">
        <v>1188</v>
      </c>
      <c r="C1435" s="23" t="s">
        <v>1155</v>
      </c>
      <c r="D1435" s="23" t="s">
        <v>1128</v>
      </c>
      <c r="E1435" s="23" t="s">
        <v>1156</v>
      </c>
      <c r="F1435" s="23" t="s">
        <v>436</v>
      </c>
    </row>
    <row r="1436" spans="1:10" ht="14.25" customHeight="1" x14ac:dyDescent="0.25">
      <c r="A1436" s="68" t="s">
        <v>965</v>
      </c>
      <c r="B1436" s="24" t="s">
        <v>543</v>
      </c>
      <c r="C1436" s="54">
        <v>46055</v>
      </c>
      <c r="D1436" s="68" t="s">
        <v>598</v>
      </c>
      <c r="E1436" s="56" t="s">
        <v>858</v>
      </c>
      <c r="F1436" s="57" t="s">
        <v>184</v>
      </c>
    </row>
    <row r="1437" spans="1:10" ht="14.25" customHeight="1" x14ac:dyDescent="0.25">
      <c r="A1437" s="69"/>
      <c r="B1437" s="24" t="s">
        <v>112</v>
      </c>
      <c r="C1437" s="55">
        <f>IF(C1436="","",IF(AND(MONTH(C1436)&gt;=1,MONTH(C1436)&lt;=3),1,IF(AND(MONTH(C1436)&gt;=4,MONTH(C1436)&lt;=6),2,IF(AND(MONTH(C1436)&gt;=7,MONTH(C1436)&lt;=9),3,4))))</f>
        <v>1</v>
      </c>
      <c r="D1437" s="69"/>
      <c r="E1437" s="56" t="s">
        <v>143</v>
      </c>
      <c r="F1437" s="57"/>
    </row>
    <row r="1438" spans="1:10" ht="14.25" customHeight="1" x14ac:dyDescent="0.25">
      <c r="A1438" s="69"/>
      <c r="B1438" s="24" t="s">
        <v>844</v>
      </c>
      <c r="C1438" s="54">
        <v>46091</v>
      </c>
      <c r="D1438" s="69"/>
      <c r="E1438" s="56" t="s">
        <v>183</v>
      </c>
      <c r="F1438" s="57"/>
    </row>
    <row r="1439" spans="1:10" ht="14.25" customHeight="1" x14ac:dyDescent="0.25">
      <c r="A1439" s="69"/>
      <c r="B1439" s="24" t="s">
        <v>112</v>
      </c>
      <c r="C1439" s="55">
        <f>IF(C1438="","",IF(AND(MONTH(C1438)&gt;=1,MONTH(C1438)&lt;=3),1,IF(AND(MONTH(C1438)&gt;=4,MONTH(C1438)&lt;=6),2,IF(AND(MONTH(C1438)&gt;=7,MONTH(C1438)&lt;=9),3,4))))</f>
        <v>1</v>
      </c>
      <c r="D1439" s="69"/>
      <c r="E1439" s="56" t="s">
        <v>865</v>
      </c>
      <c r="F1439" s="57"/>
    </row>
    <row r="1441" spans="1:10" ht="14.25" customHeight="1" x14ac:dyDescent="0.25">
      <c r="A1441" s="29" t="s">
        <v>1017</v>
      </c>
      <c r="B1441" s="29" t="s">
        <v>1042</v>
      </c>
      <c r="C1441" s="29" t="s">
        <v>1011</v>
      </c>
      <c r="D1441" s="29" t="s">
        <v>985</v>
      </c>
      <c r="E1441" s="29" t="s">
        <v>449</v>
      </c>
      <c r="F1441" s="29" t="s">
        <v>989</v>
      </c>
    </row>
    <row r="1442" spans="1:10" ht="14.25" customHeight="1" x14ac:dyDescent="0.25">
      <c r="A1442" s="25" t="s">
        <v>1176</v>
      </c>
      <c r="B1442" s="26" t="str">
        <f t="shared" ref="B1442:B1447" ca="1" si="43">IFERROR(INDEX(UNSPSCDes,MATCH(INDIRECT(ADDRESS(ROW(),COLUMN()-1,4)),UNSPSCCode,0)),IF(INDIRECT(ADDRESS(ROW(),COLUMN()-1,4))="46181507","Chalecos de seguridad",""))</f>
        <v>Chalecos de seguridad</v>
      </c>
      <c r="C1442" s="58" t="str">
        <f>IFERROR(VLOOKUP("UD",'Informacion '!P:Q,2,FALSE),"")</f>
        <v>Unidad</v>
      </c>
      <c r="D1442" s="25">
        <v>250</v>
      </c>
      <c r="E1442" s="28">
        <v>359</v>
      </c>
      <c r="F1442" s="27">
        <f t="shared" ref="F1442:F1448" ca="1" si="44">INDIRECT(ADDRESS(ROW(),COLUMN()-2,4))*INDIRECT(ADDRESS(ROW(),COLUMN()-1,4))</f>
        <v>89750</v>
      </c>
    </row>
    <row r="1443" spans="1:10" ht="14.25" customHeight="1" x14ac:dyDescent="0.25">
      <c r="A1443" s="25" t="s">
        <v>1176</v>
      </c>
      <c r="B1443" s="26" t="str">
        <f t="shared" ca="1" si="43"/>
        <v>Chalecos de seguridad</v>
      </c>
      <c r="C1443" s="58" t="str">
        <f>IFERROR(VLOOKUP("UD",'Informacion '!P:Q,2,FALSE),"")</f>
        <v>Unidad</v>
      </c>
      <c r="D1443" s="25">
        <v>250</v>
      </c>
      <c r="E1443" s="28">
        <v>359</v>
      </c>
      <c r="F1443" s="27">
        <f t="shared" ca="1" si="44"/>
        <v>89750</v>
      </c>
    </row>
    <row r="1444" spans="1:10" ht="14.25" customHeight="1" x14ac:dyDescent="0.25">
      <c r="A1444" s="25" t="s">
        <v>1176</v>
      </c>
      <c r="B1444" s="26" t="str">
        <f t="shared" ca="1" si="43"/>
        <v>Chalecos de seguridad</v>
      </c>
      <c r="C1444" s="58" t="str">
        <f>IFERROR(VLOOKUP("UD",'Informacion '!P:Q,2,FALSE),"")</f>
        <v>Unidad</v>
      </c>
      <c r="D1444" s="25">
        <v>250</v>
      </c>
      <c r="E1444" s="28">
        <v>359</v>
      </c>
      <c r="F1444" s="27">
        <f t="shared" ca="1" si="44"/>
        <v>89750</v>
      </c>
    </row>
    <row r="1445" spans="1:10" ht="14.25" customHeight="1" x14ac:dyDescent="0.25">
      <c r="A1445" s="25" t="s">
        <v>1176</v>
      </c>
      <c r="B1445" s="26" t="str">
        <f t="shared" ca="1" si="43"/>
        <v>Chalecos de seguridad</v>
      </c>
      <c r="C1445" s="58" t="str">
        <f>IFERROR(VLOOKUP("UD",'Informacion '!P:Q,2,FALSE),"")</f>
        <v>Unidad</v>
      </c>
      <c r="D1445" s="25">
        <v>250</v>
      </c>
      <c r="E1445" s="28">
        <v>359</v>
      </c>
      <c r="F1445" s="27">
        <f t="shared" ca="1" si="44"/>
        <v>89750</v>
      </c>
    </row>
    <row r="1446" spans="1:10" ht="14.25" customHeight="1" x14ac:dyDescent="0.25">
      <c r="A1446" s="25" t="s">
        <v>1176</v>
      </c>
      <c r="B1446" s="26" t="str">
        <f t="shared" ca="1" si="43"/>
        <v>Chalecos de seguridad</v>
      </c>
      <c r="C1446" s="58" t="str">
        <f>IFERROR(VLOOKUP("UD",'Informacion '!P:Q,2,FALSE),"")</f>
        <v>Unidad</v>
      </c>
      <c r="D1446" s="25">
        <v>250</v>
      </c>
      <c r="E1446" s="28">
        <v>359</v>
      </c>
      <c r="F1446" s="27">
        <f t="shared" ca="1" si="44"/>
        <v>89750</v>
      </c>
    </row>
    <row r="1447" spans="1:10" ht="14.25" customHeight="1" x14ac:dyDescent="0.25">
      <c r="A1447" s="25" t="s">
        <v>1176</v>
      </c>
      <c r="B1447" s="26" t="str">
        <f t="shared" ca="1" si="43"/>
        <v>Chalecos de seguridad</v>
      </c>
      <c r="C1447" s="58" t="str">
        <f>IFERROR(VLOOKUP("UD",'Informacion '!P:Q,2,FALSE),"")</f>
        <v>Unidad</v>
      </c>
      <c r="D1447" s="25">
        <v>250</v>
      </c>
      <c r="E1447" s="28">
        <v>359</v>
      </c>
      <c r="F1447" s="27">
        <f t="shared" ca="1" si="44"/>
        <v>89750</v>
      </c>
    </row>
    <row r="1448" spans="1:10" ht="14.25" customHeight="1" x14ac:dyDescent="0.25">
      <c r="A1448" s="25" t="s">
        <v>1162</v>
      </c>
      <c r="B1448" s="26" t="str">
        <f ca="1">IFERROR(INDEX(UNSPSCDes,MATCH(INDIRECT(ADDRESS(ROW(),COLUMN()-1,4)),UNSPSCCode,0)),IF(INDIRECT(ADDRESS(ROW(),COLUMN()-1,4))="46181701","Cascos",""))</f>
        <v>Cascos</v>
      </c>
      <c r="C1448" s="58" t="str">
        <f>IFERROR(VLOOKUP("UD",'Informacion '!P:Q,2,FALSE),"")</f>
        <v>Unidad</v>
      </c>
      <c r="D1448" s="25">
        <v>300</v>
      </c>
      <c r="E1448" s="28">
        <v>500</v>
      </c>
      <c r="F1448" s="27">
        <f t="shared" ca="1" si="44"/>
        <v>150000</v>
      </c>
    </row>
    <row r="1449" spans="1:10" ht="14.25" customHeight="1" x14ac:dyDescent="0.25">
      <c r="E1449" s="30" t="s">
        <v>816</v>
      </c>
      <c r="F1449" s="31">
        <f ca="1">SUM(Table70[MONTO TOTAL ESTIMADO])</f>
        <v>688500</v>
      </c>
      <c r="H1449" s="21" t="str">
        <f>C1435</f>
        <v>Bienes</v>
      </c>
      <c r="I1449" s="21" t="str">
        <f>E1435</f>
        <v>No</v>
      </c>
      <c r="J1449" s="21" t="str">
        <f>D1435</f>
        <v>Compras Menores</v>
      </c>
    </row>
    <row r="1451" spans="1:10" ht="33.950000000000003" customHeight="1" x14ac:dyDescent="0.25">
      <c r="A1451" s="22" t="s">
        <v>1051</v>
      </c>
      <c r="B1451" s="22" t="s">
        <v>11</v>
      </c>
      <c r="C1451" s="22" t="s">
        <v>751</v>
      </c>
      <c r="D1451" s="22" t="s">
        <v>930</v>
      </c>
      <c r="E1451" s="22" t="s">
        <v>699</v>
      </c>
      <c r="F1451" s="22" t="s">
        <v>710</v>
      </c>
    </row>
    <row r="1452" spans="1:10" ht="14.25" customHeight="1" x14ac:dyDescent="0.25">
      <c r="A1452" s="23" t="s">
        <v>840</v>
      </c>
      <c r="B1452" s="23" t="s">
        <v>840</v>
      </c>
      <c r="C1452" s="23" t="s">
        <v>438</v>
      </c>
      <c r="D1452" s="23" t="s">
        <v>473</v>
      </c>
      <c r="E1452" s="23" t="s">
        <v>1156</v>
      </c>
      <c r="F1452" s="23" t="s">
        <v>436</v>
      </c>
    </row>
    <row r="1453" spans="1:10" ht="14.25" customHeight="1" x14ac:dyDescent="0.25">
      <c r="A1453" s="68" t="s">
        <v>965</v>
      </c>
      <c r="B1453" s="24" t="s">
        <v>543</v>
      </c>
      <c r="C1453" s="54">
        <v>46157</v>
      </c>
      <c r="D1453" s="68" t="s">
        <v>598</v>
      </c>
      <c r="E1453" s="56" t="s">
        <v>858</v>
      </c>
      <c r="F1453" s="57" t="s">
        <v>184</v>
      </c>
    </row>
    <row r="1454" spans="1:10" ht="14.25" customHeight="1" x14ac:dyDescent="0.25">
      <c r="A1454" s="69"/>
      <c r="B1454" s="24" t="s">
        <v>112</v>
      </c>
      <c r="C1454" s="55">
        <f>IF(C1453="","",IF(AND(MONTH(C1453)&gt;=1,MONTH(C1453)&lt;=3),1,IF(AND(MONTH(C1453)&gt;=4,MONTH(C1453)&lt;=6),2,IF(AND(MONTH(C1453)&gt;=7,MONTH(C1453)&lt;=9),3,4))))</f>
        <v>2</v>
      </c>
      <c r="D1454" s="69"/>
      <c r="E1454" s="56" t="s">
        <v>143</v>
      </c>
      <c r="F1454" s="57"/>
    </row>
    <row r="1455" spans="1:10" ht="14.25" customHeight="1" x14ac:dyDescent="0.25">
      <c r="A1455" s="69"/>
      <c r="B1455" s="24" t="s">
        <v>844</v>
      </c>
      <c r="C1455" s="54">
        <v>46168</v>
      </c>
      <c r="D1455" s="69"/>
      <c r="E1455" s="56" t="s">
        <v>183</v>
      </c>
      <c r="F1455" s="57"/>
    </row>
    <row r="1456" spans="1:10" ht="14.25" customHeight="1" x14ac:dyDescent="0.25">
      <c r="A1456" s="69"/>
      <c r="B1456" s="24" t="s">
        <v>112</v>
      </c>
      <c r="C1456" s="55">
        <f>IF(C1455="","",IF(AND(MONTH(C1455)&gt;=1,MONTH(C1455)&lt;=3),1,IF(AND(MONTH(C1455)&gt;=4,MONTH(C1455)&lt;=6),2,IF(AND(MONTH(C1455)&gt;=7,MONTH(C1455)&lt;=9),3,4))))</f>
        <v>2</v>
      </c>
      <c r="D1456" s="69"/>
      <c r="E1456" s="56" t="s">
        <v>865</v>
      </c>
      <c r="F1456" s="57"/>
    </row>
    <row r="1458" spans="1:10" ht="14.25" customHeight="1" x14ac:dyDescent="0.25">
      <c r="A1458" s="29" t="s">
        <v>1017</v>
      </c>
      <c r="B1458" s="29" t="s">
        <v>1042</v>
      </c>
      <c r="C1458" s="29" t="s">
        <v>1011</v>
      </c>
      <c r="D1458" s="29" t="s">
        <v>985</v>
      </c>
      <c r="E1458" s="29" t="s">
        <v>449</v>
      </c>
      <c r="F1458" s="29" t="s">
        <v>989</v>
      </c>
    </row>
    <row r="1459" spans="1:10" ht="14.25" customHeight="1" x14ac:dyDescent="0.25">
      <c r="A1459" s="25" t="s">
        <v>594</v>
      </c>
      <c r="B1459" s="26" t="str">
        <f ca="1">IFERROR(INDEX(UNSPSCDes,MATCH(INDIRECT(ADDRESS(ROW(),COLUMN()-1,4)),UNSPSCCode,0)),IF(INDIRECT(ADDRESS(ROW(),COLUMN()-1,4))="80131502","Arrendamiento de instalaciones comerciales o industriales",""))</f>
        <v>Arrendamiento de instalaciones comerciales o industriales</v>
      </c>
      <c r="C1459" s="58" t="str">
        <f>IFERROR(VLOOKUP("UD",'Informacion '!P:Q,2,FALSE),"")</f>
        <v>Unidad</v>
      </c>
      <c r="D1459" s="25">
        <v>12</v>
      </c>
      <c r="E1459" s="28">
        <v>912935.32</v>
      </c>
      <c r="F1459" s="27">
        <f ca="1">INDIRECT(ADDRESS(ROW(),COLUMN()-2,4))*INDIRECT(ADDRESS(ROW(),COLUMN()-1,4))</f>
        <v>10955223.84</v>
      </c>
    </row>
    <row r="1460" spans="1:10" ht="14.25" customHeight="1" x14ac:dyDescent="0.25">
      <c r="E1460" s="30" t="s">
        <v>816</v>
      </c>
      <c r="F1460" s="31">
        <f ca="1">SUM(Table71[MONTO TOTAL ESTIMADO])</f>
        <v>10955223.84</v>
      </c>
      <c r="H1460" s="21" t="str">
        <f>C1452</f>
        <v>Servicios</v>
      </c>
      <c r="I1460" s="21" t="str">
        <f>E1452</f>
        <v>No</v>
      </c>
      <c r="J1460" s="21" t="str">
        <f>D1452</f>
        <v>Excepción - Proveedor Único</v>
      </c>
    </row>
    <row r="1462" spans="1:10" ht="33.950000000000003" customHeight="1" x14ac:dyDescent="0.25">
      <c r="A1462" s="22" t="s">
        <v>1051</v>
      </c>
      <c r="B1462" s="22" t="s">
        <v>11</v>
      </c>
      <c r="C1462" s="22" t="s">
        <v>751</v>
      </c>
      <c r="D1462" s="22" t="s">
        <v>930</v>
      </c>
      <c r="E1462" s="22" t="s">
        <v>699</v>
      </c>
      <c r="F1462" s="22" t="s">
        <v>710</v>
      </c>
    </row>
    <row r="1463" spans="1:10" ht="14.25" customHeight="1" x14ac:dyDescent="0.25">
      <c r="A1463" s="23" t="s">
        <v>974</v>
      </c>
      <c r="B1463" s="23" t="s">
        <v>974</v>
      </c>
      <c r="C1463" s="23" t="s">
        <v>1155</v>
      </c>
      <c r="D1463" s="23" t="s">
        <v>1128</v>
      </c>
      <c r="E1463" s="23" t="s">
        <v>561</v>
      </c>
      <c r="F1463" s="23" t="s">
        <v>436</v>
      </c>
    </row>
    <row r="1464" spans="1:10" ht="14.25" customHeight="1" x14ac:dyDescent="0.25">
      <c r="A1464" s="68" t="s">
        <v>965</v>
      </c>
      <c r="B1464" s="24" t="s">
        <v>543</v>
      </c>
      <c r="C1464" s="54">
        <v>46274</v>
      </c>
      <c r="D1464" s="68" t="s">
        <v>598</v>
      </c>
      <c r="E1464" s="56" t="s">
        <v>858</v>
      </c>
      <c r="F1464" s="57" t="s">
        <v>184</v>
      </c>
    </row>
    <row r="1465" spans="1:10" ht="14.25" customHeight="1" x14ac:dyDescent="0.25">
      <c r="A1465" s="69"/>
      <c r="B1465" s="24" t="s">
        <v>112</v>
      </c>
      <c r="C1465" s="55">
        <f>IF(C1464="","",IF(AND(MONTH(C1464)&gt;=1,MONTH(C1464)&lt;=3),1,IF(AND(MONTH(C1464)&gt;=4,MONTH(C1464)&lt;=6),2,IF(AND(MONTH(C1464)&gt;=7,MONTH(C1464)&lt;=9),3,4))))</f>
        <v>3</v>
      </c>
      <c r="D1465" s="69"/>
      <c r="E1465" s="56" t="s">
        <v>143</v>
      </c>
      <c r="F1465" s="57"/>
    </row>
    <row r="1466" spans="1:10" ht="14.25" customHeight="1" x14ac:dyDescent="0.25">
      <c r="A1466" s="69"/>
      <c r="B1466" s="24" t="s">
        <v>844</v>
      </c>
      <c r="C1466" s="54">
        <v>46283</v>
      </c>
      <c r="D1466" s="69"/>
      <c r="E1466" s="56" t="s">
        <v>183</v>
      </c>
      <c r="F1466" s="57"/>
    </row>
    <row r="1467" spans="1:10" ht="14.25" customHeight="1" x14ac:dyDescent="0.25">
      <c r="A1467" s="69"/>
      <c r="B1467" s="24" t="s">
        <v>112</v>
      </c>
      <c r="C1467" s="55">
        <f>IF(C1466="","",IF(AND(MONTH(C1466)&gt;=1,MONTH(C1466)&lt;=3),1,IF(AND(MONTH(C1466)&gt;=4,MONTH(C1466)&lt;=6),2,IF(AND(MONTH(C1466)&gt;=7,MONTH(C1466)&lt;=9),3,4))))</f>
        <v>3</v>
      </c>
      <c r="D1467" s="69"/>
      <c r="E1467" s="56" t="s">
        <v>865</v>
      </c>
      <c r="F1467" s="57"/>
    </row>
    <row r="1469" spans="1:10" ht="14.25" customHeight="1" x14ac:dyDescent="0.25">
      <c r="A1469" s="29" t="s">
        <v>1017</v>
      </c>
      <c r="B1469" s="29" t="s">
        <v>1042</v>
      </c>
      <c r="C1469" s="29" t="s">
        <v>1011</v>
      </c>
      <c r="D1469" s="29" t="s">
        <v>985</v>
      </c>
      <c r="E1469" s="29" t="s">
        <v>449</v>
      </c>
      <c r="F1469" s="29" t="s">
        <v>989</v>
      </c>
    </row>
    <row r="1470" spans="1:10" ht="14.25" customHeight="1" x14ac:dyDescent="0.25">
      <c r="A1470" s="25" t="s">
        <v>315</v>
      </c>
      <c r="B1470" s="26" t="str">
        <f t="shared" ref="B1470:B1478" ca="1" si="45">IFERROR(INDEX(UNSPSCDes,MATCH(INDIRECT(ADDRESS(ROW(),COLUMN()-1,4)),UNSPSCCode,0)),IF(INDIRECT(ADDRESS(ROW(),COLUMN()-1,4))="30161701","Alfombrado",""))</f>
        <v>Alfombrado</v>
      </c>
      <c r="C1470" s="58" t="str">
        <f>IFERROR(VLOOKUP("UD",'Informacion '!P:Q,2,FALSE),"")</f>
        <v>Unidad</v>
      </c>
      <c r="D1470" s="25">
        <v>4</v>
      </c>
      <c r="E1470" s="28">
        <v>11795</v>
      </c>
      <c r="F1470" s="27">
        <f t="shared" ref="F1470:F1478" ca="1" si="46">INDIRECT(ADDRESS(ROW(),COLUMN()-2,4))*INDIRECT(ADDRESS(ROW(),COLUMN()-1,4))</f>
        <v>47180</v>
      </c>
    </row>
    <row r="1471" spans="1:10" ht="14.25" customHeight="1" x14ac:dyDescent="0.25">
      <c r="A1471" s="25" t="s">
        <v>315</v>
      </c>
      <c r="B1471" s="26" t="str">
        <f t="shared" ca="1" si="45"/>
        <v>Alfombrado</v>
      </c>
      <c r="C1471" s="58" t="str">
        <f>IFERROR(VLOOKUP("UD",'Informacion '!P:Q,2,FALSE),"")</f>
        <v>Unidad</v>
      </c>
      <c r="D1471" s="25">
        <v>4</v>
      </c>
      <c r="E1471" s="28">
        <v>13595</v>
      </c>
      <c r="F1471" s="27">
        <f t="shared" ca="1" si="46"/>
        <v>54380</v>
      </c>
    </row>
    <row r="1472" spans="1:10" ht="14.25" customHeight="1" x14ac:dyDescent="0.25">
      <c r="A1472" s="25" t="s">
        <v>315</v>
      </c>
      <c r="B1472" s="26" t="str">
        <f t="shared" ca="1" si="45"/>
        <v>Alfombrado</v>
      </c>
      <c r="C1472" s="58" t="str">
        <f>IFERROR(VLOOKUP("UD",'Informacion '!P:Q,2,FALSE),"")</f>
        <v>Unidad</v>
      </c>
      <c r="D1472" s="25">
        <v>4</v>
      </c>
      <c r="E1472" s="28">
        <v>12795</v>
      </c>
      <c r="F1472" s="27">
        <f t="shared" ca="1" si="46"/>
        <v>51180</v>
      </c>
    </row>
    <row r="1473" spans="1:10" ht="14.25" customHeight="1" x14ac:dyDescent="0.25">
      <c r="A1473" s="25" t="s">
        <v>315</v>
      </c>
      <c r="B1473" s="26" t="str">
        <f t="shared" ca="1" si="45"/>
        <v>Alfombrado</v>
      </c>
      <c r="C1473" s="58" t="str">
        <f>IFERROR(VLOOKUP("UD",'Informacion '!P:Q,2,FALSE),"")</f>
        <v>Unidad</v>
      </c>
      <c r="D1473" s="25">
        <v>4</v>
      </c>
      <c r="E1473" s="28">
        <v>12995</v>
      </c>
      <c r="F1473" s="27">
        <f t="shared" ca="1" si="46"/>
        <v>51980</v>
      </c>
    </row>
    <row r="1474" spans="1:10" ht="14.25" customHeight="1" x14ac:dyDescent="0.25">
      <c r="A1474" s="25" t="s">
        <v>315</v>
      </c>
      <c r="B1474" s="26" t="str">
        <f t="shared" ca="1" si="45"/>
        <v>Alfombrado</v>
      </c>
      <c r="C1474" s="58" t="str">
        <f>IFERROR(VLOOKUP("UD",'Informacion '!P:Q,2,FALSE),"")</f>
        <v>Unidad</v>
      </c>
      <c r="D1474" s="25">
        <v>4</v>
      </c>
      <c r="E1474" s="28">
        <v>12285</v>
      </c>
      <c r="F1474" s="27">
        <f t="shared" ca="1" si="46"/>
        <v>49140</v>
      </c>
    </row>
    <row r="1475" spans="1:10" ht="14.25" customHeight="1" x14ac:dyDescent="0.25">
      <c r="A1475" s="25" t="s">
        <v>315</v>
      </c>
      <c r="B1475" s="26" t="str">
        <f t="shared" ca="1" si="45"/>
        <v>Alfombrado</v>
      </c>
      <c r="C1475" s="58" t="str">
        <f>IFERROR(VLOOKUP("UD",'Informacion '!P:Q,2,FALSE),"")</f>
        <v>Unidad</v>
      </c>
      <c r="D1475" s="25">
        <v>4</v>
      </c>
      <c r="E1475" s="28">
        <v>13295</v>
      </c>
      <c r="F1475" s="27">
        <f t="shared" ca="1" si="46"/>
        <v>53180</v>
      </c>
    </row>
    <row r="1476" spans="1:10" ht="14.25" customHeight="1" x14ac:dyDescent="0.25">
      <c r="A1476" s="25" t="s">
        <v>315</v>
      </c>
      <c r="B1476" s="26" t="str">
        <f t="shared" ca="1" si="45"/>
        <v>Alfombrado</v>
      </c>
      <c r="C1476" s="58" t="str">
        <f>IFERROR(VLOOKUP("UD",'Informacion '!P:Q,2,FALSE),"")</f>
        <v>Unidad</v>
      </c>
      <c r="D1476" s="25">
        <v>3</v>
      </c>
      <c r="E1476" s="28">
        <v>15295</v>
      </c>
      <c r="F1476" s="27">
        <f t="shared" ca="1" si="46"/>
        <v>45885</v>
      </c>
    </row>
    <row r="1477" spans="1:10" ht="14.25" customHeight="1" x14ac:dyDescent="0.25">
      <c r="A1477" s="25" t="s">
        <v>315</v>
      </c>
      <c r="B1477" s="26" t="str">
        <f t="shared" ca="1" si="45"/>
        <v>Alfombrado</v>
      </c>
      <c r="C1477" s="58" t="str">
        <f>IFERROR(VLOOKUP("UD",'Informacion '!P:Q,2,FALSE),"")</f>
        <v>Unidad</v>
      </c>
      <c r="D1477" s="25">
        <v>3</v>
      </c>
      <c r="E1477" s="28">
        <v>15295</v>
      </c>
      <c r="F1477" s="27">
        <f t="shared" ca="1" si="46"/>
        <v>45885</v>
      </c>
    </row>
    <row r="1478" spans="1:10" ht="14.25" customHeight="1" x14ac:dyDescent="0.25">
      <c r="A1478" s="25" t="s">
        <v>315</v>
      </c>
      <c r="B1478" s="26" t="str">
        <f t="shared" ca="1" si="45"/>
        <v>Alfombrado</v>
      </c>
      <c r="C1478" s="58" t="str">
        <f>IFERROR(VLOOKUP("UD",'Informacion '!P:Q,2,FALSE),"")</f>
        <v>Unidad</v>
      </c>
      <c r="D1478" s="25">
        <v>3</v>
      </c>
      <c r="E1478" s="28">
        <v>11795</v>
      </c>
      <c r="F1478" s="27">
        <f t="shared" ca="1" si="46"/>
        <v>35385</v>
      </c>
    </row>
    <row r="1479" spans="1:10" ht="14.25" customHeight="1" x14ac:dyDescent="0.25">
      <c r="E1479" s="30" t="s">
        <v>816</v>
      </c>
      <c r="F1479" s="31">
        <f ca="1">SUM(Table72[MONTO TOTAL ESTIMADO])</f>
        <v>434195</v>
      </c>
      <c r="H1479" s="21" t="str">
        <f>C1463</f>
        <v>Bienes</v>
      </c>
      <c r="I1479" s="21" t="str">
        <f>E1463</f>
        <v>Sí</v>
      </c>
      <c r="J1479" s="21" t="str">
        <f>D1463</f>
        <v>Compras Menores</v>
      </c>
    </row>
    <row r="1481" spans="1:10" ht="33.950000000000003" customHeight="1" x14ac:dyDescent="0.25">
      <c r="A1481" s="22" t="s">
        <v>1051</v>
      </c>
      <c r="B1481" s="22" t="s">
        <v>11</v>
      </c>
      <c r="C1481" s="22" t="s">
        <v>751</v>
      </c>
      <c r="D1481" s="22" t="s">
        <v>930</v>
      </c>
      <c r="E1481" s="22" t="s">
        <v>699</v>
      </c>
      <c r="F1481" s="22" t="s">
        <v>710</v>
      </c>
    </row>
    <row r="1482" spans="1:10" ht="14.25" customHeight="1" x14ac:dyDescent="0.25">
      <c r="A1482" s="23" t="s">
        <v>238</v>
      </c>
      <c r="B1482" s="23" t="s">
        <v>238</v>
      </c>
      <c r="C1482" s="23" t="s">
        <v>438</v>
      </c>
      <c r="D1482" s="23" t="s">
        <v>116</v>
      </c>
      <c r="E1482" s="23" t="s">
        <v>1156</v>
      </c>
      <c r="F1482" s="23" t="s">
        <v>436</v>
      </c>
    </row>
    <row r="1483" spans="1:10" ht="14.25" customHeight="1" x14ac:dyDescent="0.25">
      <c r="A1483" s="68" t="s">
        <v>965</v>
      </c>
      <c r="B1483" s="24" t="s">
        <v>543</v>
      </c>
      <c r="C1483" s="54">
        <v>46058</v>
      </c>
      <c r="D1483" s="68" t="s">
        <v>598</v>
      </c>
      <c r="E1483" s="56" t="s">
        <v>858</v>
      </c>
      <c r="F1483" s="57" t="s">
        <v>184</v>
      </c>
    </row>
    <row r="1484" spans="1:10" ht="14.25" customHeight="1" x14ac:dyDescent="0.25">
      <c r="A1484" s="69"/>
      <c r="B1484" s="24" t="s">
        <v>112</v>
      </c>
      <c r="C1484" s="55">
        <f>IF(C1483="","",IF(AND(MONTH(C1483)&gt;=1,MONTH(C1483)&lt;=3),1,IF(AND(MONTH(C1483)&gt;=4,MONTH(C1483)&lt;=6),2,IF(AND(MONTH(C1483)&gt;=7,MONTH(C1483)&lt;=9),3,4))))</f>
        <v>1</v>
      </c>
      <c r="D1484" s="69"/>
      <c r="E1484" s="56" t="s">
        <v>143</v>
      </c>
      <c r="F1484" s="57"/>
    </row>
    <row r="1485" spans="1:10" ht="14.25" customHeight="1" x14ac:dyDescent="0.25">
      <c r="A1485" s="69"/>
      <c r="B1485" s="24" t="s">
        <v>844</v>
      </c>
      <c r="C1485" s="54">
        <v>46094</v>
      </c>
      <c r="D1485" s="69"/>
      <c r="E1485" s="56" t="s">
        <v>183</v>
      </c>
      <c r="F1485" s="57"/>
    </row>
    <row r="1486" spans="1:10" ht="14.25" customHeight="1" x14ac:dyDescent="0.25">
      <c r="A1486" s="69"/>
      <c r="B1486" s="24" t="s">
        <v>112</v>
      </c>
      <c r="C1486" s="55">
        <f>IF(C1485="","",IF(AND(MONTH(C1485)&gt;=1,MONTH(C1485)&lt;=3),1,IF(AND(MONTH(C1485)&gt;=4,MONTH(C1485)&lt;=6),2,IF(AND(MONTH(C1485)&gt;=7,MONTH(C1485)&lt;=9),3,4))))</f>
        <v>1</v>
      </c>
      <c r="D1486" s="69"/>
      <c r="E1486" s="56" t="s">
        <v>865</v>
      </c>
      <c r="F1486" s="57"/>
    </row>
    <row r="1488" spans="1:10" ht="14.25" customHeight="1" x14ac:dyDescent="0.25">
      <c r="A1488" s="29" t="s">
        <v>1017</v>
      </c>
      <c r="B1488" s="29" t="s">
        <v>1042</v>
      </c>
      <c r="C1488" s="29" t="s">
        <v>1011</v>
      </c>
      <c r="D1488" s="29" t="s">
        <v>985</v>
      </c>
      <c r="E1488" s="29" t="s">
        <v>449</v>
      </c>
      <c r="F1488" s="29" t="s">
        <v>989</v>
      </c>
    </row>
    <row r="1489" spans="1:10" ht="14.25" customHeight="1" x14ac:dyDescent="0.25">
      <c r="A1489" s="25" t="s">
        <v>477</v>
      </c>
      <c r="B1489" s="26"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489" s="58" t="str">
        <f>IFERROR(VLOOKUP("UD",'Informacion '!P:Q,2,FALSE),"")</f>
        <v>Unidad</v>
      </c>
      <c r="D1489" s="25">
        <v>1</v>
      </c>
      <c r="E1489" s="28">
        <v>2515240</v>
      </c>
      <c r="F1489" s="27">
        <f ca="1">INDIRECT(ADDRESS(ROW(),COLUMN()-2,4))*INDIRECT(ADDRESS(ROW(),COLUMN()-1,4))</f>
        <v>2515240</v>
      </c>
    </row>
    <row r="1490" spans="1:10" ht="14.25" customHeight="1" x14ac:dyDescent="0.25">
      <c r="E1490" s="30" t="s">
        <v>816</v>
      </c>
      <c r="F1490" s="31">
        <f ca="1">SUM(Table73[MONTO TOTAL ESTIMADO])</f>
        <v>2515240</v>
      </c>
      <c r="H1490" s="21" t="str">
        <f>C1482</f>
        <v>Servicios</v>
      </c>
      <c r="I1490" s="21" t="str">
        <f>E1482</f>
        <v>No</v>
      </c>
      <c r="J1490" s="21" t="str">
        <f>D1482</f>
        <v>Comparacion de Precios</v>
      </c>
    </row>
    <row r="1492" spans="1:10" ht="33.950000000000003" customHeight="1" x14ac:dyDescent="0.25">
      <c r="A1492" s="22" t="s">
        <v>1051</v>
      </c>
      <c r="B1492" s="22" t="s">
        <v>11</v>
      </c>
      <c r="C1492" s="22" t="s">
        <v>751</v>
      </c>
      <c r="D1492" s="22" t="s">
        <v>930</v>
      </c>
      <c r="E1492" s="22" t="s">
        <v>699</v>
      </c>
      <c r="F1492" s="22" t="s">
        <v>710</v>
      </c>
    </row>
    <row r="1493" spans="1:10" ht="14.25" customHeight="1" x14ac:dyDescent="0.25">
      <c r="A1493" s="23" t="s">
        <v>547</v>
      </c>
      <c r="B1493" s="23" t="s">
        <v>794</v>
      </c>
      <c r="C1493" s="23" t="s">
        <v>1155</v>
      </c>
      <c r="D1493" s="23" t="s">
        <v>1128</v>
      </c>
      <c r="E1493" s="23" t="s">
        <v>1156</v>
      </c>
      <c r="F1493" s="23" t="s">
        <v>436</v>
      </c>
    </row>
    <row r="1494" spans="1:10" ht="14.25" customHeight="1" x14ac:dyDescent="0.25">
      <c r="A1494" s="68" t="s">
        <v>965</v>
      </c>
      <c r="B1494" s="24" t="s">
        <v>543</v>
      </c>
      <c r="C1494" s="54">
        <v>46065</v>
      </c>
      <c r="D1494" s="68" t="s">
        <v>598</v>
      </c>
      <c r="E1494" s="56" t="s">
        <v>858</v>
      </c>
      <c r="F1494" s="57" t="s">
        <v>184</v>
      </c>
    </row>
    <row r="1495" spans="1:10" ht="14.25" customHeight="1" x14ac:dyDescent="0.25">
      <c r="A1495" s="69"/>
      <c r="B1495" s="24" t="s">
        <v>112</v>
      </c>
      <c r="C1495" s="55">
        <f>IF(C1494="","",IF(AND(MONTH(C1494)&gt;=1,MONTH(C1494)&lt;=3),1,IF(AND(MONTH(C1494)&gt;=4,MONTH(C1494)&lt;=6),2,IF(AND(MONTH(C1494)&gt;=7,MONTH(C1494)&lt;=9),3,4))))</f>
        <v>1</v>
      </c>
      <c r="D1495" s="69"/>
      <c r="E1495" s="56" t="s">
        <v>143</v>
      </c>
      <c r="F1495" s="57"/>
    </row>
    <row r="1496" spans="1:10" ht="14.25" customHeight="1" x14ac:dyDescent="0.25">
      <c r="A1496" s="69"/>
      <c r="B1496" s="24" t="s">
        <v>844</v>
      </c>
      <c r="C1496" s="54">
        <v>46102</v>
      </c>
      <c r="D1496" s="69"/>
      <c r="E1496" s="56" t="s">
        <v>183</v>
      </c>
      <c r="F1496" s="57"/>
    </row>
    <row r="1497" spans="1:10" ht="14.25" customHeight="1" x14ac:dyDescent="0.25">
      <c r="A1497" s="69"/>
      <c r="B1497" s="24" t="s">
        <v>112</v>
      </c>
      <c r="C1497" s="55">
        <f>IF(C1496="","",IF(AND(MONTH(C1496)&gt;=1,MONTH(C1496)&lt;=3),1,IF(AND(MONTH(C1496)&gt;=4,MONTH(C1496)&lt;=6),2,IF(AND(MONTH(C1496)&gt;=7,MONTH(C1496)&lt;=9),3,4))))</f>
        <v>1</v>
      </c>
      <c r="D1497" s="69"/>
      <c r="E1497" s="56" t="s">
        <v>865</v>
      </c>
      <c r="F1497" s="57"/>
    </row>
    <row r="1499" spans="1:10" ht="14.25" customHeight="1" x14ac:dyDescent="0.25">
      <c r="A1499" s="29" t="s">
        <v>1017</v>
      </c>
      <c r="B1499" s="29" t="s">
        <v>1042</v>
      </c>
      <c r="C1499" s="29" t="s">
        <v>1011</v>
      </c>
      <c r="D1499" s="29" t="s">
        <v>985</v>
      </c>
      <c r="E1499" s="29" t="s">
        <v>449</v>
      </c>
      <c r="F1499" s="29" t="s">
        <v>989</v>
      </c>
    </row>
    <row r="1500" spans="1:10" ht="14.25" customHeight="1" x14ac:dyDescent="0.25">
      <c r="A1500" s="25" t="s">
        <v>390</v>
      </c>
      <c r="B1500" s="26" t="str">
        <f ca="1">IFERROR(INDEX(UNSPSCDes,MATCH(INDIRECT(ADDRESS(ROW(),COLUMN()-1,4)),UNSPSCCode,0)),IF(INDIRECT(ADDRESS(ROW(),COLUMN()-1,4))="56101702","Gabinetes de archivo o accesorios",""))</f>
        <v>Gabinetes de archivo o accesorios</v>
      </c>
      <c r="C1500" s="58" t="str">
        <f>IFERROR(VLOOKUP("UD",'Informacion '!P:Q,2,FALSE),"")</f>
        <v>Unidad</v>
      </c>
      <c r="D1500" s="25">
        <v>6</v>
      </c>
      <c r="E1500" s="28">
        <v>6535</v>
      </c>
      <c r="F1500" s="27">
        <f t="shared" ref="F1500:F1519" ca="1" si="47">INDIRECT(ADDRESS(ROW(),COLUMN()-2,4))*INDIRECT(ADDRESS(ROW(),COLUMN()-1,4))</f>
        <v>39210</v>
      </c>
    </row>
    <row r="1501" spans="1:10" ht="14.25" customHeight="1" x14ac:dyDescent="0.25">
      <c r="A1501" s="25" t="s">
        <v>169</v>
      </c>
      <c r="B1501" s="26" t="str">
        <f ca="1">IFERROR(INDEX(UNSPSCDes,MATCH(INDIRECT(ADDRESS(ROW(),COLUMN()-1,4)),UNSPSCCode,0)),IF(INDIRECT(ADDRESS(ROW(),COLUMN()-1,4))="56101703","Escritorios",""))</f>
        <v>Escritorios</v>
      </c>
      <c r="C1501" s="58" t="str">
        <f>IFERROR(VLOOKUP("UD",'Informacion '!P:Q,2,FALSE),"")</f>
        <v>Unidad</v>
      </c>
      <c r="D1501" s="25">
        <v>1</v>
      </c>
      <c r="E1501" s="28">
        <v>32000</v>
      </c>
      <c r="F1501" s="27">
        <f t="shared" ca="1" si="47"/>
        <v>32000</v>
      </c>
    </row>
    <row r="1502" spans="1:10" ht="14.25" customHeight="1" x14ac:dyDescent="0.25">
      <c r="A1502" s="25" t="s">
        <v>690</v>
      </c>
      <c r="B1502" s="26" t="str">
        <f ca="1">IFERROR(INDEX(UNSPSCDes,MATCH(INDIRECT(ADDRESS(ROW(),COLUMN()-1,4)),UNSPSCCode,0)),IF(INDIRECT(ADDRESS(ROW(),COLUMN()-1,4))="56112104","Sillas para ejecutivos",""))</f>
        <v>Sillas para ejecutivos</v>
      </c>
      <c r="C1502" s="58" t="str">
        <f>IFERROR(VLOOKUP("UD",'Informacion '!P:Q,2,FALSE),"")</f>
        <v>Unidad</v>
      </c>
      <c r="D1502" s="25">
        <v>22</v>
      </c>
      <c r="E1502" s="28">
        <v>9502</v>
      </c>
      <c r="F1502" s="27">
        <f t="shared" ca="1" si="47"/>
        <v>209044</v>
      </c>
    </row>
    <row r="1503" spans="1:10" ht="14.25" customHeight="1" x14ac:dyDescent="0.25">
      <c r="A1503" s="25" t="s">
        <v>1022</v>
      </c>
      <c r="B1503" s="26" t="str">
        <f ca="1">IFERROR(INDEX(UNSPSCDes,MATCH(INDIRECT(ADDRESS(ROW(),COLUMN()-1,4)),UNSPSCCode,0)),IF(INDIRECT(ADDRESS(ROW(),COLUMN()-1,4))="56101504","Asientos",""))</f>
        <v>Asientos</v>
      </c>
      <c r="C1503" s="58" t="str">
        <f>IFERROR(VLOOKUP("UD",'Informacion '!P:Q,2,FALSE),"")</f>
        <v>Unidad</v>
      </c>
      <c r="D1503" s="25">
        <v>50</v>
      </c>
      <c r="E1503" s="28">
        <v>2300</v>
      </c>
      <c r="F1503" s="27">
        <f t="shared" ca="1" si="47"/>
        <v>115000</v>
      </c>
    </row>
    <row r="1504" spans="1:10" ht="14.25" customHeight="1" x14ac:dyDescent="0.25">
      <c r="A1504" s="25" t="s">
        <v>1022</v>
      </c>
      <c r="B1504" s="26" t="str">
        <f ca="1">IFERROR(INDEX(UNSPSCDes,MATCH(INDIRECT(ADDRESS(ROW(),COLUMN()-1,4)),UNSPSCCode,0)),IF(INDIRECT(ADDRESS(ROW(),COLUMN()-1,4))="56101504","Asientos",""))</f>
        <v>Asientos</v>
      </c>
      <c r="C1504" s="58" t="str">
        <f>IFERROR(VLOOKUP("UD",'Informacion '!P:Q,2,FALSE),"")</f>
        <v>Unidad</v>
      </c>
      <c r="D1504" s="25">
        <v>50</v>
      </c>
      <c r="E1504" s="28">
        <v>4725</v>
      </c>
      <c r="F1504" s="27">
        <f t="shared" ca="1" si="47"/>
        <v>236250</v>
      </c>
    </row>
    <row r="1505" spans="1:10" ht="14.25" customHeight="1" x14ac:dyDescent="0.25">
      <c r="A1505" s="25" t="s">
        <v>875</v>
      </c>
      <c r="B1505" s="26" t="str">
        <f ca="1">IFERROR(INDEX(UNSPSCDes,MATCH(INDIRECT(ADDRESS(ROW(),COLUMN()-1,4)),UNSPSCCode,0)),IF(INDIRECT(ADDRESS(ROW(),COLUMN()-1,4))="56112102","Sillas para grupos de trabajo",""))</f>
        <v>Sillas para grupos de trabajo</v>
      </c>
      <c r="C1505" s="58" t="str">
        <f>IFERROR(VLOOKUP("UD",'Informacion '!P:Q,2,FALSE),"")</f>
        <v>Unidad</v>
      </c>
      <c r="D1505" s="25">
        <v>50</v>
      </c>
      <c r="E1505" s="28">
        <v>5000</v>
      </c>
      <c r="F1505" s="27">
        <f t="shared" ca="1" si="47"/>
        <v>250000</v>
      </c>
    </row>
    <row r="1506" spans="1:10" ht="14.25" customHeight="1" x14ac:dyDescent="0.25">
      <c r="A1506" s="25" t="s">
        <v>169</v>
      </c>
      <c r="B1506" s="26" t="str">
        <f ca="1">IFERROR(INDEX(UNSPSCDes,MATCH(INDIRECT(ADDRESS(ROW(),COLUMN()-1,4)),UNSPSCCode,0)),IF(INDIRECT(ADDRESS(ROW(),COLUMN()-1,4))="56101703","Escritorios",""))</f>
        <v>Escritorios</v>
      </c>
      <c r="C1506" s="58" t="str">
        <f>IFERROR(VLOOKUP("UD",'Informacion '!P:Q,2,FALSE),"")</f>
        <v>Unidad</v>
      </c>
      <c r="D1506" s="25">
        <v>30</v>
      </c>
      <c r="E1506" s="28">
        <v>10000</v>
      </c>
      <c r="F1506" s="27">
        <f t="shared" ca="1" si="47"/>
        <v>300000</v>
      </c>
    </row>
    <row r="1507" spans="1:10" ht="14.25" customHeight="1" x14ac:dyDescent="0.25">
      <c r="A1507" s="25" t="s">
        <v>390</v>
      </c>
      <c r="B1507" s="26" t="str">
        <f ca="1">IFERROR(INDEX(UNSPSCDes,MATCH(INDIRECT(ADDRESS(ROW(),COLUMN()-1,4)),UNSPSCCode,0)),IF(INDIRECT(ADDRESS(ROW(),COLUMN()-1,4))="56101702","Gabinetes de archivo o accesorios",""))</f>
        <v>Gabinetes de archivo o accesorios</v>
      </c>
      <c r="C1507" s="58" t="str">
        <f>IFERROR(VLOOKUP("UD",'Informacion '!P:Q,2,FALSE),"")</f>
        <v>Unidad</v>
      </c>
      <c r="D1507" s="25">
        <v>31</v>
      </c>
      <c r="E1507" s="28">
        <v>6535</v>
      </c>
      <c r="F1507" s="27">
        <f t="shared" ca="1" si="47"/>
        <v>202585</v>
      </c>
    </row>
    <row r="1508" spans="1:10" ht="14.25" customHeight="1" x14ac:dyDescent="0.25">
      <c r="A1508" s="25" t="s">
        <v>169</v>
      </c>
      <c r="B1508" s="26" t="str">
        <f ca="1">IFERROR(INDEX(UNSPSCDes,MATCH(INDIRECT(ADDRESS(ROW(),COLUMN()-1,4)),UNSPSCCode,0)),IF(INDIRECT(ADDRESS(ROW(),COLUMN()-1,4))="56101703","Escritorios",""))</f>
        <v>Escritorios</v>
      </c>
      <c r="C1508" s="58" t="str">
        <f>IFERROR(VLOOKUP("UD",'Informacion '!P:Q,2,FALSE),"")</f>
        <v>Unidad</v>
      </c>
      <c r="D1508" s="25">
        <v>10</v>
      </c>
      <c r="E1508" s="28">
        <v>20000</v>
      </c>
      <c r="F1508" s="27">
        <f t="shared" ca="1" si="47"/>
        <v>200000</v>
      </c>
    </row>
    <row r="1509" spans="1:10" ht="14.25" customHeight="1" x14ac:dyDescent="0.25">
      <c r="A1509" s="25" t="s">
        <v>348</v>
      </c>
      <c r="B1509" s="26" t="str">
        <f ca="1">IFERROR(INDEX(UNSPSCDes,MATCH(INDIRECT(ADDRESS(ROW(),COLUMN()-1,4)),UNSPSCCode,0)),IF(INDIRECT(ADDRESS(ROW(),COLUMN()-1,4))="56101530","Gabinetes de almacenamiento",""))</f>
        <v>Gabinetes de almacenamiento</v>
      </c>
      <c r="C1509" s="58" t="str">
        <f>IFERROR(VLOOKUP("UD",'Informacion '!P:Q,2,FALSE),"")</f>
        <v>Unidad</v>
      </c>
      <c r="D1509" s="25">
        <v>3</v>
      </c>
      <c r="E1509" s="28">
        <v>7932</v>
      </c>
      <c r="F1509" s="27">
        <f t="shared" ca="1" si="47"/>
        <v>23796</v>
      </c>
    </row>
    <row r="1510" spans="1:10" ht="14.25" customHeight="1" x14ac:dyDescent="0.25">
      <c r="A1510" s="25" t="s">
        <v>169</v>
      </c>
      <c r="B1510" s="26" t="str">
        <f ca="1">IFERROR(INDEX(UNSPSCDes,MATCH(INDIRECT(ADDRESS(ROW(),COLUMN()-1,4)),UNSPSCCode,0)),IF(INDIRECT(ADDRESS(ROW(),COLUMN()-1,4))="56101703","Escritorios",""))</f>
        <v>Escritorios</v>
      </c>
      <c r="C1510" s="58" t="str">
        <f>IFERROR(VLOOKUP("UD",'Informacion '!P:Q,2,FALSE),"")</f>
        <v>Unidad</v>
      </c>
      <c r="D1510" s="25">
        <v>15</v>
      </c>
      <c r="E1510" s="28">
        <v>12000</v>
      </c>
      <c r="F1510" s="27">
        <f t="shared" ca="1" si="47"/>
        <v>180000</v>
      </c>
    </row>
    <row r="1511" spans="1:10" ht="14.25" customHeight="1" x14ac:dyDescent="0.25">
      <c r="A1511" s="25" t="s">
        <v>1018</v>
      </c>
      <c r="B1511" s="26" t="str">
        <f ca="1">IFERROR(INDEX(UNSPSCDes,MATCH(INDIRECT(ADDRESS(ROW(),COLUMN()-1,4)),UNSPSCCode,0)),IF(INDIRECT(ADDRESS(ROW(),COLUMN()-1,4))="44111607","Archivos de cheques",""))</f>
        <v>Archivos de cheques</v>
      </c>
      <c r="C1511" s="58" t="str">
        <f>IFERROR(VLOOKUP("UD",'Informacion '!P:Q,2,FALSE),"")</f>
        <v>Unidad</v>
      </c>
      <c r="D1511" s="25">
        <v>20</v>
      </c>
      <c r="E1511" s="28">
        <v>4500</v>
      </c>
      <c r="F1511" s="27">
        <f t="shared" ca="1" si="47"/>
        <v>90000</v>
      </c>
    </row>
    <row r="1512" spans="1:10" ht="14.25" customHeight="1" x14ac:dyDescent="0.25">
      <c r="A1512" s="25" t="s">
        <v>169</v>
      </c>
      <c r="B1512" s="26" t="str">
        <f ca="1">IFERROR(INDEX(UNSPSCDes,MATCH(INDIRECT(ADDRESS(ROW(),COLUMN()-1,4)),UNSPSCCode,0)),IF(INDIRECT(ADDRESS(ROW(),COLUMN()-1,4))="56101703","Escritorios",""))</f>
        <v>Escritorios</v>
      </c>
      <c r="C1512" s="58" t="str">
        <f>IFERROR(VLOOKUP("UD",'Informacion '!P:Q,2,FALSE),"")</f>
        <v>Unidad</v>
      </c>
      <c r="D1512" s="25">
        <v>5</v>
      </c>
      <c r="E1512" s="28">
        <v>80350</v>
      </c>
      <c r="F1512" s="27">
        <f t="shared" ca="1" si="47"/>
        <v>401750</v>
      </c>
    </row>
    <row r="1513" spans="1:10" ht="14.25" customHeight="1" x14ac:dyDescent="0.25">
      <c r="A1513" s="25" t="s">
        <v>169</v>
      </c>
      <c r="B1513" s="26" t="str">
        <f ca="1">IFERROR(INDEX(UNSPSCDes,MATCH(INDIRECT(ADDRESS(ROW(),COLUMN()-1,4)),UNSPSCCode,0)),IF(INDIRECT(ADDRESS(ROW(),COLUMN()-1,4))="56101703","Escritorios",""))</f>
        <v>Escritorios</v>
      </c>
      <c r="C1513" s="58" t="str">
        <f>IFERROR(VLOOKUP("UD",'Informacion '!P:Q,2,FALSE),"")</f>
        <v>Unidad</v>
      </c>
      <c r="D1513" s="25">
        <v>10</v>
      </c>
      <c r="E1513" s="28">
        <v>3000</v>
      </c>
      <c r="F1513" s="27">
        <f t="shared" ca="1" si="47"/>
        <v>30000</v>
      </c>
    </row>
    <row r="1514" spans="1:10" ht="14.25" customHeight="1" x14ac:dyDescent="0.25">
      <c r="A1514" s="25" t="s">
        <v>713</v>
      </c>
      <c r="B1514" s="26" t="str">
        <f ca="1">IFERROR(INDEX(UNSPSCDes,MATCH(INDIRECT(ADDRESS(ROW(),COLUMN()-1,4)),UNSPSCCode,0)),IF(INDIRECT(ADDRESS(ROW(),COLUMN()-1,4))="56101532","Set de muebles",""))</f>
        <v>Set de muebles</v>
      </c>
      <c r="C1514" s="58" t="str">
        <f>IFERROR(VLOOKUP("UD",'Informacion '!P:Q,2,FALSE),"")</f>
        <v>Unidad</v>
      </c>
      <c r="D1514" s="25">
        <v>2</v>
      </c>
      <c r="E1514" s="28">
        <v>12000</v>
      </c>
      <c r="F1514" s="27">
        <f t="shared" ca="1" si="47"/>
        <v>24000</v>
      </c>
    </row>
    <row r="1515" spans="1:10" ht="14.25" customHeight="1" x14ac:dyDescent="0.25">
      <c r="A1515" s="25" t="s">
        <v>390</v>
      </c>
      <c r="B1515" s="26" t="str">
        <f ca="1">IFERROR(INDEX(UNSPSCDes,MATCH(INDIRECT(ADDRESS(ROW(),COLUMN()-1,4)),UNSPSCCode,0)),IF(INDIRECT(ADDRESS(ROW(),COLUMN()-1,4))="56101702","Gabinetes de archivo o accesorios",""))</f>
        <v>Gabinetes de archivo o accesorios</v>
      </c>
      <c r="C1515" s="58" t="str">
        <f>IFERROR(VLOOKUP("UD",'Informacion '!P:Q,2,FALSE),"")</f>
        <v>Unidad</v>
      </c>
      <c r="D1515" s="25">
        <v>6</v>
      </c>
      <c r="E1515" s="28">
        <v>8900</v>
      </c>
      <c r="F1515" s="27">
        <f t="shared" ca="1" si="47"/>
        <v>53400</v>
      </c>
    </row>
    <row r="1516" spans="1:10" ht="14.25" customHeight="1" x14ac:dyDescent="0.25">
      <c r="A1516" s="25" t="s">
        <v>390</v>
      </c>
      <c r="B1516" s="26" t="str">
        <f ca="1">IFERROR(INDEX(UNSPSCDes,MATCH(INDIRECT(ADDRESS(ROW(),COLUMN()-1,4)),UNSPSCCode,0)),IF(INDIRECT(ADDRESS(ROW(),COLUMN()-1,4))="56101702","Gabinetes de archivo o accesorios",""))</f>
        <v>Gabinetes de archivo o accesorios</v>
      </c>
      <c r="C1516" s="58" t="str">
        <f>IFERROR(VLOOKUP("UD",'Informacion '!P:Q,2,FALSE),"")</f>
        <v>Unidad</v>
      </c>
      <c r="D1516" s="25">
        <v>6</v>
      </c>
      <c r="E1516" s="28">
        <v>6500</v>
      </c>
      <c r="F1516" s="27">
        <f t="shared" ca="1" si="47"/>
        <v>39000</v>
      </c>
    </row>
    <row r="1517" spans="1:10" ht="14.25" customHeight="1" x14ac:dyDescent="0.25">
      <c r="A1517" s="25" t="s">
        <v>169</v>
      </c>
      <c r="B1517" s="26" t="str">
        <f ca="1">IFERROR(INDEX(UNSPSCDes,MATCH(INDIRECT(ADDRESS(ROW(),COLUMN()-1,4)),UNSPSCCode,0)),IF(INDIRECT(ADDRESS(ROW(),COLUMN()-1,4))="56101703","Escritorios",""))</f>
        <v>Escritorios</v>
      </c>
      <c r="C1517" s="58" t="str">
        <f>IFERROR(VLOOKUP("UD",'Informacion '!P:Q,2,FALSE),"")</f>
        <v>Unidad</v>
      </c>
      <c r="D1517" s="25">
        <v>3</v>
      </c>
      <c r="E1517" s="28">
        <v>15000</v>
      </c>
      <c r="F1517" s="27">
        <f t="shared" ca="1" si="47"/>
        <v>45000</v>
      </c>
    </row>
    <row r="1518" spans="1:10" ht="14.25" customHeight="1" x14ac:dyDescent="0.25">
      <c r="A1518" s="25" t="s">
        <v>875</v>
      </c>
      <c r="B1518" s="26" t="str">
        <f ca="1">IFERROR(INDEX(UNSPSCDes,MATCH(INDIRECT(ADDRESS(ROW(),COLUMN()-1,4)),UNSPSCCode,0)),IF(INDIRECT(ADDRESS(ROW(),COLUMN()-1,4))="56112102","Sillas para grupos de trabajo",""))</f>
        <v>Sillas para grupos de trabajo</v>
      </c>
      <c r="C1518" s="58" t="str">
        <f>IFERROR(VLOOKUP("UD",'Informacion '!P:Q,2,FALSE),"")</f>
        <v>Unidad</v>
      </c>
      <c r="D1518" s="25">
        <v>3</v>
      </c>
      <c r="E1518" s="28">
        <v>5000</v>
      </c>
      <c r="F1518" s="27">
        <f t="shared" ca="1" si="47"/>
        <v>15000</v>
      </c>
    </row>
    <row r="1519" spans="1:10" ht="14.25" customHeight="1" x14ac:dyDescent="0.25">
      <c r="A1519" s="25" t="s">
        <v>263</v>
      </c>
      <c r="B1519" s="26" t="str">
        <f ca="1">IFERROR(INDEX(UNSPSCDes,MATCH(INDIRECT(ADDRESS(ROW(),COLUMN()-1,4)),UNSPSCCode,0)),IF(INDIRECT(ADDRESS(ROW(),COLUMN()-1,4))="24112405","Armarios",""))</f>
        <v>Armarios</v>
      </c>
      <c r="C1519" s="58" t="str">
        <f>IFERROR(VLOOKUP("UD",'Informacion '!P:Q,2,FALSE),"")</f>
        <v>Unidad</v>
      </c>
      <c r="D1519" s="25">
        <v>3</v>
      </c>
      <c r="E1519" s="28">
        <v>20000</v>
      </c>
      <c r="F1519" s="27">
        <f t="shared" ca="1" si="47"/>
        <v>60000</v>
      </c>
    </row>
    <row r="1520" spans="1:10" ht="14.25" customHeight="1" x14ac:dyDescent="0.25">
      <c r="E1520" s="30" t="s">
        <v>816</v>
      </c>
      <c r="F1520" s="31">
        <f ca="1">SUM(Table74[MONTO TOTAL ESTIMADO])</f>
        <v>2546035</v>
      </c>
      <c r="H1520" s="21" t="str">
        <f>C1493</f>
        <v>Bienes</v>
      </c>
      <c r="I1520" s="21" t="str">
        <f>E1493</f>
        <v>No</v>
      </c>
      <c r="J1520" s="21" t="str">
        <f>D1493</f>
        <v>Compras Menores</v>
      </c>
    </row>
    <row r="1522" spans="1:6" ht="33.950000000000003" customHeight="1" x14ac:dyDescent="0.25">
      <c r="A1522" s="22" t="s">
        <v>1051</v>
      </c>
      <c r="B1522" s="22" t="s">
        <v>11</v>
      </c>
      <c r="C1522" s="22" t="s">
        <v>751</v>
      </c>
      <c r="D1522" s="22" t="s">
        <v>930</v>
      </c>
      <c r="E1522" s="22" t="s">
        <v>699</v>
      </c>
      <c r="F1522" s="22" t="s">
        <v>710</v>
      </c>
    </row>
    <row r="1523" spans="1:6" ht="14.25" customHeight="1" x14ac:dyDescent="0.25">
      <c r="A1523" s="23" t="s">
        <v>933</v>
      </c>
      <c r="B1523" s="23" t="s">
        <v>933</v>
      </c>
      <c r="C1523" s="23" t="s">
        <v>1155</v>
      </c>
      <c r="D1523" s="23" t="s">
        <v>1128</v>
      </c>
      <c r="E1523" s="23" t="s">
        <v>1156</v>
      </c>
      <c r="F1523" s="23" t="s">
        <v>436</v>
      </c>
    </row>
    <row r="1524" spans="1:6" ht="14.25" customHeight="1" x14ac:dyDescent="0.25">
      <c r="A1524" s="68" t="s">
        <v>965</v>
      </c>
      <c r="B1524" s="24" t="s">
        <v>543</v>
      </c>
      <c r="C1524" s="54">
        <v>46062</v>
      </c>
      <c r="D1524" s="68" t="s">
        <v>598</v>
      </c>
      <c r="E1524" s="56" t="s">
        <v>858</v>
      </c>
      <c r="F1524" s="57" t="s">
        <v>184</v>
      </c>
    </row>
    <row r="1525" spans="1:6" ht="14.25" customHeight="1" x14ac:dyDescent="0.25">
      <c r="A1525" s="69"/>
      <c r="B1525" s="24" t="s">
        <v>112</v>
      </c>
      <c r="C1525" s="55">
        <f>IF(C1524="","",IF(AND(MONTH(C1524)&gt;=1,MONTH(C1524)&lt;=3),1,IF(AND(MONTH(C1524)&gt;=4,MONTH(C1524)&lt;=6),2,IF(AND(MONTH(C1524)&gt;=7,MONTH(C1524)&lt;=9),3,4))))</f>
        <v>1</v>
      </c>
      <c r="D1525" s="69"/>
      <c r="E1525" s="56" t="s">
        <v>143</v>
      </c>
      <c r="F1525" s="57"/>
    </row>
    <row r="1526" spans="1:6" ht="14.25" customHeight="1" x14ac:dyDescent="0.25">
      <c r="A1526" s="69"/>
      <c r="B1526" s="24" t="s">
        <v>844</v>
      </c>
      <c r="C1526" s="54">
        <v>46097</v>
      </c>
      <c r="D1526" s="69"/>
      <c r="E1526" s="56" t="s">
        <v>183</v>
      </c>
      <c r="F1526" s="57"/>
    </row>
    <row r="1527" spans="1:6" ht="14.25" customHeight="1" x14ac:dyDescent="0.25">
      <c r="A1527" s="69"/>
      <c r="B1527" s="24" t="s">
        <v>112</v>
      </c>
      <c r="C1527" s="55">
        <f>IF(C1526="","",IF(AND(MONTH(C1526)&gt;=1,MONTH(C1526)&lt;=3),1,IF(AND(MONTH(C1526)&gt;=4,MONTH(C1526)&lt;=6),2,IF(AND(MONTH(C1526)&gt;=7,MONTH(C1526)&lt;=9),3,4))))</f>
        <v>1</v>
      </c>
      <c r="D1527" s="69"/>
      <c r="E1527" s="56" t="s">
        <v>865</v>
      </c>
      <c r="F1527" s="57"/>
    </row>
    <row r="1529" spans="1:6" ht="14.25" customHeight="1" x14ac:dyDescent="0.25">
      <c r="A1529" s="29" t="s">
        <v>1017</v>
      </c>
      <c r="B1529" s="29" t="s">
        <v>1042</v>
      </c>
      <c r="C1529" s="29" t="s">
        <v>1011</v>
      </c>
      <c r="D1529" s="29" t="s">
        <v>985</v>
      </c>
      <c r="E1529" s="29" t="s">
        <v>449</v>
      </c>
      <c r="F1529" s="29" t="s">
        <v>989</v>
      </c>
    </row>
    <row r="1530" spans="1:6" ht="14.25" customHeight="1" x14ac:dyDescent="0.25">
      <c r="A1530" s="25" t="s">
        <v>1176</v>
      </c>
      <c r="B1530" s="26" t="str">
        <f t="shared" ref="B1530:B1535" ca="1" si="48">IFERROR(INDEX(UNSPSCDes,MATCH(INDIRECT(ADDRESS(ROW(),COLUMN()-1,4)),UNSPSCCode,0)),IF(INDIRECT(ADDRESS(ROW(),COLUMN()-1,4))="46181507","Chalecos de seguridad",""))</f>
        <v>Chalecos de seguridad</v>
      </c>
      <c r="C1530" s="58" t="str">
        <f>IFERROR(VLOOKUP("UD",'Informacion '!P:Q,2,FALSE),"")</f>
        <v>Unidad</v>
      </c>
      <c r="D1530" s="25">
        <v>250</v>
      </c>
      <c r="E1530" s="28">
        <v>359</v>
      </c>
      <c r="F1530" s="27">
        <f t="shared" ref="F1530:F1536" ca="1" si="49">INDIRECT(ADDRESS(ROW(),COLUMN()-2,4))*INDIRECT(ADDRESS(ROW(),COLUMN()-1,4))</f>
        <v>89750</v>
      </c>
    </row>
    <row r="1531" spans="1:6" ht="14.25" customHeight="1" x14ac:dyDescent="0.25">
      <c r="A1531" s="25" t="s">
        <v>1176</v>
      </c>
      <c r="B1531" s="26" t="str">
        <f t="shared" ca="1" si="48"/>
        <v>Chalecos de seguridad</v>
      </c>
      <c r="C1531" s="58" t="str">
        <f>IFERROR(VLOOKUP("UD",'Informacion '!P:Q,2,FALSE),"")</f>
        <v>Unidad</v>
      </c>
      <c r="D1531" s="25">
        <v>250</v>
      </c>
      <c r="E1531" s="28">
        <v>359</v>
      </c>
      <c r="F1531" s="27">
        <f t="shared" ca="1" si="49"/>
        <v>89750</v>
      </c>
    </row>
    <row r="1532" spans="1:6" ht="14.25" customHeight="1" x14ac:dyDescent="0.25">
      <c r="A1532" s="25" t="s">
        <v>1176</v>
      </c>
      <c r="B1532" s="26" t="str">
        <f t="shared" ca="1" si="48"/>
        <v>Chalecos de seguridad</v>
      </c>
      <c r="C1532" s="58" t="str">
        <f>IFERROR(VLOOKUP("UD",'Informacion '!P:Q,2,FALSE),"")</f>
        <v>Unidad</v>
      </c>
      <c r="D1532" s="25">
        <v>250</v>
      </c>
      <c r="E1532" s="28">
        <v>359</v>
      </c>
      <c r="F1532" s="27">
        <f t="shared" ca="1" si="49"/>
        <v>89750</v>
      </c>
    </row>
    <row r="1533" spans="1:6" ht="14.25" customHeight="1" x14ac:dyDescent="0.25">
      <c r="A1533" s="25" t="s">
        <v>1176</v>
      </c>
      <c r="B1533" s="26" t="str">
        <f t="shared" ca="1" si="48"/>
        <v>Chalecos de seguridad</v>
      </c>
      <c r="C1533" s="58" t="str">
        <f>IFERROR(VLOOKUP("UD",'Informacion '!P:Q,2,FALSE),"")</f>
        <v>Unidad</v>
      </c>
      <c r="D1533" s="25">
        <v>250</v>
      </c>
      <c r="E1533" s="28">
        <v>359</v>
      </c>
      <c r="F1533" s="27">
        <f t="shared" ca="1" si="49"/>
        <v>89750</v>
      </c>
    </row>
    <row r="1534" spans="1:6" ht="14.25" customHeight="1" x14ac:dyDescent="0.25">
      <c r="A1534" s="25" t="s">
        <v>1176</v>
      </c>
      <c r="B1534" s="26" t="str">
        <f t="shared" ca="1" si="48"/>
        <v>Chalecos de seguridad</v>
      </c>
      <c r="C1534" s="58" t="str">
        <f>IFERROR(VLOOKUP("UD",'Informacion '!P:Q,2,FALSE),"")</f>
        <v>Unidad</v>
      </c>
      <c r="D1534" s="25">
        <v>250</v>
      </c>
      <c r="E1534" s="28">
        <v>359</v>
      </c>
      <c r="F1534" s="27">
        <f t="shared" ca="1" si="49"/>
        <v>89750</v>
      </c>
    </row>
    <row r="1535" spans="1:6" ht="14.25" customHeight="1" x14ac:dyDescent="0.25">
      <c r="A1535" s="25" t="s">
        <v>1176</v>
      </c>
      <c r="B1535" s="26" t="str">
        <f t="shared" ca="1" si="48"/>
        <v>Chalecos de seguridad</v>
      </c>
      <c r="C1535" s="58" t="str">
        <f>IFERROR(VLOOKUP("UD",'Informacion '!P:Q,2,FALSE),"")</f>
        <v>Unidad</v>
      </c>
      <c r="D1535" s="25">
        <v>250</v>
      </c>
      <c r="E1535" s="28">
        <v>359</v>
      </c>
      <c r="F1535" s="27">
        <f t="shared" ca="1" si="49"/>
        <v>89750</v>
      </c>
    </row>
    <row r="1536" spans="1:6" ht="14.25" customHeight="1" x14ac:dyDescent="0.25">
      <c r="A1536" s="25" t="s">
        <v>1162</v>
      </c>
      <c r="B1536" s="26" t="str">
        <f ca="1">IFERROR(INDEX(UNSPSCDes,MATCH(INDIRECT(ADDRESS(ROW(),COLUMN()-1,4)),UNSPSCCode,0)),IF(INDIRECT(ADDRESS(ROW(),COLUMN()-1,4))="46181701","Cascos",""))</f>
        <v>Cascos</v>
      </c>
      <c r="C1536" s="58" t="str">
        <f>IFERROR(VLOOKUP("UD",'Informacion '!P:Q,2,FALSE),"")</f>
        <v>Unidad</v>
      </c>
      <c r="D1536" s="25">
        <v>300</v>
      </c>
      <c r="E1536" s="28">
        <v>500</v>
      </c>
      <c r="F1536" s="27">
        <f t="shared" ca="1" si="49"/>
        <v>150000</v>
      </c>
    </row>
    <row r="1537" spans="1:10" ht="14.25" customHeight="1" x14ac:dyDescent="0.25">
      <c r="E1537" s="30" t="s">
        <v>816</v>
      </c>
      <c r="F1537" s="31">
        <f ca="1">SUM(Table75[MONTO TOTAL ESTIMADO])</f>
        <v>688500</v>
      </c>
      <c r="H1537" s="21" t="str">
        <f>C1523</f>
        <v>Bienes</v>
      </c>
      <c r="I1537" s="21" t="str">
        <f>E1523</f>
        <v>No</v>
      </c>
      <c r="J1537" s="21" t="str">
        <f>D1523</f>
        <v>Compras Menores</v>
      </c>
    </row>
    <row r="1539" spans="1:10" ht="33.950000000000003" customHeight="1" x14ac:dyDescent="0.25">
      <c r="A1539" s="22" t="s">
        <v>1051</v>
      </c>
      <c r="B1539" s="22" t="s">
        <v>11</v>
      </c>
      <c r="C1539" s="22" t="s">
        <v>751</v>
      </c>
      <c r="D1539" s="22" t="s">
        <v>930</v>
      </c>
      <c r="E1539" s="22" t="s">
        <v>699</v>
      </c>
      <c r="F1539" s="22" t="s">
        <v>710</v>
      </c>
    </row>
    <row r="1540" spans="1:10" ht="14.25" customHeight="1" x14ac:dyDescent="0.25">
      <c r="A1540" s="23" t="s">
        <v>740</v>
      </c>
      <c r="B1540" s="23" t="s">
        <v>740</v>
      </c>
      <c r="C1540" s="23" t="s">
        <v>1155</v>
      </c>
      <c r="D1540" s="23" t="s">
        <v>116</v>
      </c>
      <c r="E1540" s="23" t="s">
        <v>385</v>
      </c>
      <c r="F1540" s="23" t="s">
        <v>436</v>
      </c>
    </row>
    <row r="1541" spans="1:10" ht="14.25" customHeight="1" x14ac:dyDescent="0.25">
      <c r="A1541" s="68" t="s">
        <v>965</v>
      </c>
      <c r="B1541" s="24" t="s">
        <v>543</v>
      </c>
      <c r="C1541" s="54">
        <v>46145</v>
      </c>
      <c r="D1541" s="68" t="s">
        <v>598</v>
      </c>
      <c r="E1541" s="56" t="s">
        <v>858</v>
      </c>
      <c r="F1541" s="57" t="s">
        <v>184</v>
      </c>
    </row>
    <row r="1542" spans="1:10" ht="14.25" customHeight="1" x14ac:dyDescent="0.25">
      <c r="A1542" s="69"/>
      <c r="B1542" s="24" t="s">
        <v>112</v>
      </c>
      <c r="C1542" s="55">
        <f>IF(C1541="","",IF(AND(MONTH(C1541)&gt;=1,MONTH(C1541)&lt;=3),1,IF(AND(MONTH(C1541)&gt;=4,MONTH(C1541)&lt;=6),2,IF(AND(MONTH(C1541)&gt;=7,MONTH(C1541)&lt;=9),3,4))))</f>
        <v>2</v>
      </c>
      <c r="D1542" s="69"/>
      <c r="E1542" s="56" t="s">
        <v>143</v>
      </c>
      <c r="F1542" s="57"/>
    </row>
    <row r="1543" spans="1:10" ht="14.25" customHeight="1" x14ac:dyDescent="0.25">
      <c r="A1543" s="69"/>
      <c r="B1543" s="24" t="s">
        <v>844</v>
      </c>
      <c r="C1543" s="54">
        <v>46203</v>
      </c>
      <c r="D1543" s="69"/>
      <c r="E1543" s="56" t="s">
        <v>183</v>
      </c>
      <c r="F1543" s="57"/>
    </row>
    <row r="1544" spans="1:10" ht="14.25" customHeight="1" x14ac:dyDescent="0.25">
      <c r="A1544" s="69"/>
      <c r="B1544" s="24" t="s">
        <v>112</v>
      </c>
      <c r="C1544" s="55">
        <f>IF(C1543="","",IF(AND(MONTH(C1543)&gt;=1,MONTH(C1543)&lt;=3),1,IF(AND(MONTH(C1543)&gt;=4,MONTH(C1543)&lt;=6),2,IF(AND(MONTH(C1543)&gt;=7,MONTH(C1543)&lt;=9),3,4))))</f>
        <v>2</v>
      </c>
      <c r="D1544" s="69"/>
      <c r="E1544" s="56" t="s">
        <v>865</v>
      </c>
      <c r="F1544" s="57"/>
    </row>
    <row r="1546" spans="1:10" ht="14.25" customHeight="1" x14ac:dyDescent="0.25">
      <c r="A1546" s="29" t="s">
        <v>1017</v>
      </c>
      <c r="B1546" s="29" t="s">
        <v>1042</v>
      </c>
      <c r="C1546" s="29" t="s">
        <v>1011</v>
      </c>
      <c r="D1546" s="29" t="s">
        <v>985</v>
      </c>
      <c r="E1546" s="29" t="s">
        <v>449</v>
      </c>
      <c r="F1546" s="29" t="s">
        <v>989</v>
      </c>
    </row>
    <row r="1547" spans="1:10" ht="14.25" customHeight="1" x14ac:dyDescent="0.25">
      <c r="A1547" s="25" t="s">
        <v>366</v>
      </c>
      <c r="B1547" s="26" t="str">
        <f ca="1">IFERROR(INDEX(UNSPSCDes,MATCH(INDIRECT(ADDRESS(ROW(),COLUMN()-1,4)),UNSPSCCode,0)),IF(INDIRECT(ADDRESS(ROW(),COLUMN()-1,4))="80141605","Mercancía promocional",""))</f>
        <v>Mercancía promocional</v>
      </c>
      <c r="C1547" s="58" t="str">
        <f>IFERROR(VLOOKUP("UD",'Informacion '!P:Q,2,FALSE),"")</f>
        <v>Unidad</v>
      </c>
      <c r="D1547" s="25">
        <v>3000</v>
      </c>
      <c r="E1547" s="28">
        <v>240</v>
      </c>
      <c r="F1547" s="27">
        <f ca="1">INDIRECT(ADDRESS(ROW(),COLUMN()-2,4))*INDIRECT(ADDRESS(ROW(),COLUMN()-1,4))</f>
        <v>720000</v>
      </c>
    </row>
    <row r="1548" spans="1:10" ht="14.25" customHeight="1" x14ac:dyDescent="0.25">
      <c r="A1548" s="25" t="s">
        <v>366</v>
      </c>
      <c r="B1548" s="26" t="str">
        <f ca="1">IFERROR(INDEX(UNSPSCDes,MATCH(INDIRECT(ADDRESS(ROW(),COLUMN()-1,4)),UNSPSCCode,0)),IF(INDIRECT(ADDRESS(ROW(),COLUMN()-1,4))="80141605","Mercancía promocional",""))</f>
        <v>Mercancía promocional</v>
      </c>
      <c r="C1548" s="58" t="str">
        <f>IFERROR(VLOOKUP("UD",'Informacion '!P:Q,2,FALSE),"")</f>
        <v>Unidad</v>
      </c>
      <c r="D1548" s="25">
        <v>1500</v>
      </c>
      <c r="E1548" s="28">
        <v>500</v>
      </c>
      <c r="F1548" s="27">
        <f ca="1">INDIRECT(ADDRESS(ROW(),COLUMN()-2,4))*INDIRECT(ADDRESS(ROW(),COLUMN()-1,4))</f>
        <v>750000</v>
      </c>
    </row>
    <row r="1549" spans="1:10" ht="14.25" customHeight="1" x14ac:dyDescent="0.25">
      <c r="A1549" s="25" t="s">
        <v>366</v>
      </c>
      <c r="B1549" s="26" t="str">
        <f ca="1">IFERROR(INDEX(UNSPSCDes,MATCH(INDIRECT(ADDRESS(ROW(),COLUMN()-1,4)),UNSPSCCode,0)),IF(INDIRECT(ADDRESS(ROW(),COLUMN()-1,4))="80141605","Mercancía promocional",""))</f>
        <v>Mercancía promocional</v>
      </c>
      <c r="C1549" s="58" t="str">
        <f>IFERROR(VLOOKUP("UD",'Informacion '!P:Q,2,FALSE),"")</f>
        <v>Unidad</v>
      </c>
      <c r="D1549" s="25">
        <v>2000</v>
      </c>
      <c r="E1549" s="28">
        <v>450</v>
      </c>
      <c r="F1549" s="27">
        <f ca="1">INDIRECT(ADDRESS(ROW(),COLUMN()-2,4))*INDIRECT(ADDRESS(ROW(),COLUMN()-1,4))</f>
        <v>900000</v>
      </c>
    </row>
    <row r="1550" spans="1:10" ht="14.25" customHeight="1" x14ac:dyDescent="0.25">
      <c r="A1550" s="25" t="s">
        <v>366</v>
      </c>
      <c r="B1550" s="26" t="str">
        <f ca="1">IFERROR(INDEX(UNSPSCDes,MATCH(INDIRECT(ADDRESS(ROW(),COLUMN()-1,4)),UNSPSCCode,0)),IF(INDIRECT(ADDRESS(ROW(),COLUMN()-1,4))="80141605","Mercancía promocional",""))</f>
        <v>Mercancía promocional</v>
      </c>
      <c r="C1550" s="58" t="str">
        <f>IFERROR(VLOOKUP("UD",'Informacion '!P:Q,2,FALSE),"")</f>
        <v>Unidad</v>
      </c>
      <c r="D1550" s="25">
        <v>150</v>
      </c>
      <c r="E1550" s="28">
        <v>350</v>
      </c>
      <c r="F1550" s="27">
        <f ca="1">INDIRECT(ADDRESS(ROW(),COLUMN()-2,4))*INDIRECT(ADDRESS(ROW(),COLUMN()-1,4))</f>
        <v>52500</v>
      </c>
    </row>
    <row r="1551" spans="1:10" ht="14.25" customHeight="1" x14ac:dyDescent="0.25">
      <c r="A1551" s="25" t="s">
        <v>366</v>
      </c>
      <c r="B1551" s="26" t="str">
        <f ca="1">IFERROR(INDEX(UNSPSCDes,MATCH(INDIRECT(ADDRESS(ROW(),COLUMN()-1,4)),UNSPSCCode,0)),IF(INDIRECT(ADDRESS(ROW(),COLUMN()-1,4))="80141605","Mercancía promocional",""))</f>
        <v>Mercancía promocional</v>
      </c>
      <c r="C1551" s="58" t="str">
        <f>IFERROR(VLOOKUP("UD",'Informacion '!P:Q,2,FALSE),"")</f>
        <v>Unidad</v>
      </c>
      <c r="D1551" s="25">
        <v>2900</v>
      </c>
      <c r="E1551" s="28">
        <v>100</v>
      </c>
      <c r="F1551" s="27">
        <f ca="1">INDIRECT(ADDRESS(ROW(),COLUMN()-2,4))*INDIRECT(ADDRESS(ROW(),COLUMN()-1,4))</f>
        <v>290000</v>
      </c>
    </row>
    <row r="1552" spans="1:10" ht="14.25" customHeight="1" x14ac:dyDescent="0.25">
      <c r="E1552" s="30" t="s">
        <v>816</v>
      </c>
      <c r="F1552" s="31">
        <f ca="1">SUM(Table76[MONTO TOTAL ESTIMADO])</f>
        <v>2712500</v>
      </c>
      <c r="H1552" s="21" t="str">
        <f>C1540</f>
        <v>Bienes</v>
      </c>
      <c r="I1552" s="21" t="str">
        <f>E1540</f>
        <v>MIPYME Mujeres</v>
      </c>
      <c r="J1552" s="21" t="str">
        <f>D1540</f>
        <v>Comparacion de Precios</v>
      </c>
    </row>
    <row r="1554" spans="1:10" ht="33.950000000000003" customHeight="1" x14ac:dyDescent="0.25">
      <c r="A1554" s="22" t="s">
        <v>1051</v>
      </c>
      <c r="B1554" s="22" t="s">
        <v>11</v>
      </c>
      <c r="C1554" s="22" t="s">
        <v>751</v>
      </c>
      <c r="D1554" s="22" t="s">
        <v>930</v>
      </c>
      <c r="E1554" s="22" t="s">
        <v>699</v>
      </c>
      <c r="F1554" s="22" t="s">
        <v>710</v>
      </c>
    </row>
    <row r="1555" spans="1:10" ht="14.25" customHeight="1" x14ac:dyDescent="0.25">
      <c r="A1555" s="23" t="s">
        <v>287</v>
      </c>
      <c r="B1555" s="23" t="s">
        <v>287</v>
      </c>
      <c r="C1555" s="23" t="s">
        <v>438</v>
      </c>
      <c r="D1555" s="23" t="s">
        <v>116</v>
      </c>
      <c r="E1555" s="23" t="s">
        <v>1156</v>
      </c>
      <c r="F1555" s="23" t="s">
        <v>436</v>
      </c>
    </row>
    <row r="1556" spans="1:10" ht="14.25" customHeight="1" x14ac:dyDescent="0.25">
      <c r="A1556" s="68" t="s">
        <v>965</v>
      </c>
      <c r="B1556" s="24" t="s">
        <v>543</v>
      </c>
      <c r="C1556" s="54">
        <v>46309</v>
      </c>
      <c r="D1556" s="68" t="s">
        <v>598</v>
      </c>
      <c r="E1556" s="56" t="s">
        <v>858</v>
      </c>
      <c r="F1556" s="57"/>
    </row>
    <row r="1557" spans="1:10" ht="14.25" customHeight="1" x14ac:dyDescent="0.25">
      <c r="A1557" s="69"/>
      <c r="B1557" s="24" t="s">
        <v>112</v>
      </c>
      <c r="C1557" s="55">
        <f>IF(C1556="","",IF(AND(MONTH(C1556)&gt;=1,MONTH(C1556)&lt;=3),1,IF(AND(MONTH(C1556)&gt;=4,MONTH(C1556)&lt;=6),2,IF(AND(MONTH(C1556)&gt;=7,MONTH(C1556)&lt;=9),3,4))))</f>
        <v>4</v>
      </c>
      <c r="D1557" s="69"/>
      <c r="E1557" s="56" t="s">
        <v>143</v>
      </c>
      <c r="F1557" s="57"/>
    </row>
    <row r="1558" spans="1:10" ht="14.25" customHeight="1" x14ac:dyDescent="0.25">
      <c r="A1558" s="69"/>
      <c r="B1558" s="24" t="s">
        <v>844</v>
      </c>
      <c r="C1558" s="54">
        <v>46318</v>
      </c>
      <c r="D1558" s="69"/>
      <c r="E1558" s="56" t="s">
        <v>183</v>
      </c>
      <c r="F1558" s="57"/>
    </row>
    <row r="1559" spans="1:10" ht="14.25" customHeight="1" x14ac:dyDescent="0.25">
      <c r="A1559" s="69"/>
      <c r="B1559" s="24" t="s">
        <v>112</v>
      </c>
      <c r="C1559" s="55">
        <f>IF(C1558="","",IF(AND(MONTH(C1558)&gt;=1,MONTH(C1558)&lt;=3),1,IF(AND(MONTH(C1558)&gt;=4,MONTH(C1558)&lt;=6),2,IF(AND(MONTH(C1558)&gt;=7,MONTH(C1558)&lt;=9),3,4))))</f>
        <v>4</v>
      </c>
      <c r="D1559" s="69"/>
      <c r="E1559" s="56" t="s">
        <v>865</v>
      </c>
      <c r="F1559" s="57"/>
    </row>
    <row r="1561" spans="1:10" ht="14.25" customHeight="1" x14ac:dyDescent="0.25">
      <c r="A1561" s="29" t="s">
        <v>1017</v>
      </c>
      <c r="B1561" s="29" t="s">
        <v>1042</v>
      </c>
      <c r="C1561" s="29" t="s">
        <v>1011</v>
      </c>
      <c r="D1561" s="29" t="s">
        <v>985</v>
      </c>
      <c r="E1561" s="29" t="s">
        <v>449</v>
      </c>
      <c r="F1561" s="29" t="s">
        <v>989</v>
      </c>
    </row>
    <row r="1562" spans="1:10" ht="14.25" customHeight="1" x14ac:dyDescent="0.25">
      <c r="A1562" s="25" t="s">
        <v>398</v>
      </c>
      <c r="B1562" s="26" t="str">
        <f ca="1">IFERROR(INDEX(UNSPSCDes,MATCH(INDIRECT(ADDRESS(ROW(),COLUMN()-1,4)),UNSPSCCode,0)),IF(INDIRECT(ADDRESS(ROW(),COLUMN()-1,4))="80161507","Servicios audiovisuales",""))</f>
        <v>Servicios audiovisuales</v>
      </c>
      <c r="C1562" s="58" t="str">
        <f>IFERROR(VLOOKUP("UD",'Informacion '!P:Q,2,FALSE),"")</f>
        <v>Unidad</v>
      </c>
      <c r="D1562" s="25">
        <v>5</v>
      </c>
      <c r="E1562" s="28">
        <v>1000000</v>
      </c>
      <c r="F1562" s="27">
        <f ca="1">INDIRECT(ADDRESS(ROW(),COLUMN()-2,4))*INDIRECT(ADDRESS(ROW(),COLUMN()-1,4))</f>
        <v>5000000</v>
      </c>
    </row>
    <row r="1563" spans="1:10" ht="14.25" customHeight="1" x14ac:dyDescent="0.25">
      <c r="E1563" s="30" t="s">
        <v>816</v>
      </c>
      <c r="F1563" s="31">
        <f ca="1">SUM(Table77[MONTO TOTAL ESTIMADO])</f>
        <v>5000000</v>
      </c>
      <c r="H1563" s="21" t="str">
        <f>C1555</f>
        <v>Servicios</v>
      </c>
      <c r="I1563" s="21" t="str">
        <f>E1555</f>
        <v>No</v>
      </c>
      <c r="J1563" s="21" t="str">
        <f>D1555</f>
        <v>Comparacion de Precios</v>
      </c>
    </row>
    <row r="1565" spans="1:10" ht="33.950000000000003" customHeight="1" x14ac:dyDescent="0.25">
      <c r="A1565" s="22" t="s">
        <v>1051</v>
      </c>
      <c r="B1565" s="22" t="s">
        <v>11</v>
      </c>
      <c r="C1565" s="22" t="s">
        <v>751</v>
      </c>
      <c r="D1565" s="22" t="s">
        <v>930</v>
      </c>
      <c r="E1565" s="22" t="s">
        <v>699</v>
      </c>
      <c r="F1565" s="22" t="s">
        <v>710</v>
      </c>
    </row>
    <row r="1566" spans="1:10" ht="14.25" customHeight="1" x14ac:dyDescent="0.25">
      <c r="A1566" s="23" t="s">
        <v>1188</v>
      </c>
      <c r="B1566" s="23" t="s">
        <v>1188</v>
      </c>
      <c r="C1566" s="23" t="s">
        <v>1155</v>
      </c>
      <c r="D1566" s="23" t="s">
        <v>116</v>
      </c>
      <c r="E1566" s="23" t="s">
        <v>385</v>
      </c>
      <c r="F1566" s="23" t="s">
        <v>436</v>
      </c>
    </row>
    <row r="1567" spans="1:10" ht="14.25" customHeight="1" x14ac:dyDescent="0.25">
      <c r="A1567" s="68" t="s">
        <v>965</v>
      </c>
      <c r="B1567" s="24" t="s">
        <v>543</v>
      </c>
      <c r="C1567" s="54">
        <v>46163</v>
      </c>
      <c r="D1567" s="68" t="s">
        <v>598</v>
      </c>
      <c r="E1567" s="56" t="s">
        <v>858</v>
      </c>
      <c r="F1567" s="57" t="s">
        <v>184</v>
      </c>
    </row>
    <row r="1568" spans="1:10" ht="14.25" customHeight="1" x14ac:dyDescent="0.25">
      <c r="A1568" s="69"/>
      <c r="B1568" s="24" t="s">
        <v>112</v>
      </c>
      <c r="C1568" s="55">
        <f>IF(C1567="","",IF(AND(MONTH(C1567)&gt;=1,MONTH(C1567)&lt;=3),1,IF(AND(MONTH(C1567)&gt;=4,MONTH(C1567)&lt;=6),2,IF(AND(MONTH(C1567)&gt;=7,MONTH(C1567)&lt;=9),3,4))))</f>
        <v>2</v>
      </c>
      <c r="D1568" s="69"/>
      <c r="E1568" s="56" t="s">
        <v>143</v>
      </c>
      <c r="F1568" s="57"/>
    </row>
    <row r="1569" spans="1:6" ht="14.25" customHeight="1" x14ac:dyDescent="0.25">
      <c r="A1569" s="69"/>
      <c r="B1569" s="24" t="s">
        <v>844</v>
      </c>
      <c r="C1569" s="54">
        <v>46203</v>
      </c>
      <c r="D1569" s="69"/>
      <c r="E1569" s="56" t="s">
        <v>183</v>
      </c>
      <c r="F1569" s="57"/>
    </row>
    <row r="1570" spans="1:6" ht="14.25" customHeight="1" x14ac:dyDescent="0.25">
      <c r="A1570" s="69"/>
      <c r="B1570" s="24" t="s">
        <v>112</v>
      </c>
      <c r="C1570" s="55">
        <f>IF(C1569="","",IF(AND(MONTH(C1569)&gt;=1,MONTH(C1569)&lt;=3),1,IF(AND(MONTH(C1569)&gt;=4,MONTH(C1569)&lt;=6),2,IF(AND(MONTH(C1569)&gt;=7,MONTH(C1569)&lt;=9),3,4))))</f>
        <v>2</v>
      </c>
      <c r="D1570" s="69"/>
      <c r="E1570" s="56" t="s">
        <v>865</v>
      </c>
      <c r="F1570" s="57"/>
    </row>
    <row r="1572" spans="1:6" ht="14.25" customHeight="1" x14ac:dyDescent="0.25">
      <c r="A1572" s="29" t="s">
        <v>1017</v>
      </c>
      <c r="B1572" s="29" t="s">
        <v>1042</v>
      </c>
      <c r="C1572" s="29" t="s">
        <v>1011</v>
      </c>
      <c r="D1572" s="29" t="s">
        <v>985</v>
      </c>
      <c r="E1572" s="29" t="s">
        <v>449</v>
      </c>
      <c r="F1572" s="29" t="s">
        <v>989</v>
      </c>
    </row>
    <row r="1573" spans="1:6" ht="14.25" customHeight="1" x14ac:dyDescent="0.25">
      <c r="A1573" s="25" t="s">
        <v>58</v>
      </c>
      <c r="B1573" s="26" t="str">
        <f ca="1">IFERROR(INDEX(UNSPSCDes,MATCH(INDIRECT(ADDRESS(ROW(),COLUMN()-1,4)),UNSPSCCode,0)),IF(INDIRECT(ADDRESS(ROW(),COLUMN()-1,4))="46181504","Guantes de protección",""))</f>
        <v>Guantes de protección</v>
      </c>
      <c r="C1573" s="58" t="str">
        <f>IFERROR(VLOOKUP("UD",'Informacion '!P:Q,2,FALSE),"")</f>
        <v>Unidad</v>
      </c>
      <c r="D1573" s="25">
        <v>200</v>
      </c>
      <c r="E1573" s="28">
        <v>100</v>
      </c>
      <c r="F1573" s="27">
        <f t="shared" ref="F1573:F1586" ca="1" si="50">INDIRECT(ADDRESS(ROW(),COLUMN()-2,4))*INDIRECT(ADDRESS(ROW(),COLUMN()-1,4))</f>
        <v>20000</v>
      </c>
    </row>
    <row r="1574" spans="1:6" ht="14.25" customHeight="1" x14ac:dyDescent="0.25">
      <c r="A1574" s="25" t="s">
        <v>58</v>
      </c>
      <c r="B1574" s="26" t="str">
        <f ca="1">IFERROR(INDEX(UNSPSCDes,MATCH(INDIRECT(ADDRESS(ROW(),COLUMN()-1,4)),UNSPSCCode,0)),IF(INDIRECT(ADDRESS(ROW(),COLUMN()-1,4))="46181504","Guantes de protección",""))</f>
        <v>Guantes de protección</v>
      </c>
      <c r="C1574" s="58" t="str">
        <f>IFERROR(VLOOKUP("UD",'Informacion '!P:Q,2,FALSE),"")</f>
        <v>Unidad</v>
      </c>
      <c r="D1574" s="25">
        <v>200</v>
      </c>
      <c r="E1574" s="28">
        <v>300</v>
      </c>
      <c r="F1574" s="27">
        <f t="shared" ca="1" si="50"/>
        <v>60000</v>
      </c>
    </row>
    <row r="1575" spans="1:6" ht="14.25" customHeight="1" x14ac:dyDescent="0.25">
      <c r="A1575" s="25" t="s">
        <v>68</v>
      </c>
      <c r="B1575" s="26" t="str">
        <f ca="1">IFERROR(INDEX(UNSPSCDes,MATCH(INDIRECT(ADDRESS(ROW(),COLUMN()-1,4)),UNSPSCCode,0)),IF(INDIRECT(ADDRESS(ROW(),COLUMN()-1,4))="46182306","Arneses o cinturones de seguridad",""))</f>
        <v>Arneses o cinturones de seguridad</v>
      </c>
      <c r="C1575" s="58" t="str">
        <f>IFERROR(VLOOKUP("UD",'Informacion '!P:Q,2,FALSE),"")</f>
        <v>Unidad</v>
      </c>
      <c r="D1575" s="25">
        <v>100</v>
      </c>
      <c r="E1575" s="28">
        <v>1345</v>
      </c>
      <c r="F1575" s="27">
        <f t="shared" ca="1" si="50"/>
        <v>134500</v>
      </c>
    </row>
    <row r="1576" spans="1:6" ht="14.25" customHeight="1" x14ac:dyDescent="0.25">
      <c r="A1576" s="25" t="s">
        <v>684</v>
      </c>
      <c r="B1576" s="26" t="str">
        <f ca="1">IFERROR(INDEX(UNSPSCDes,MATCH(INDIRECT(ADDRESS(ROW(),COLUMN()-1,4)),UNSPSCCode,0)),IF(INDIRECT(ADDRESS(ROW(),COLUMN()-1,4))="42241811","Faja para hernias",""))</f>
        <v>Faja para hernias</v>
      </c>
      <c r="C1576" s="58" t="str">
        <f>IFERROR(VLOOKUP("UD",'Informacion '!P:Q,2,FALSE),"")</f>
        <v>Unidad</v>
      </c>
      <c r="D1576" s="25">
        <v>150</v>
      </c>
      <c r="E1576" s="28">
        <v>1000</v>
      </c>
      <c r="F1576" s="27">
        <f t="shared" ca="1" si="50"/>
        <v>150000</v>
      </c>
    </row>
    <row r="1577" spans="1:6" ht="14.25" customHeight="1" x14ac:dyDescent="0.25">
      <c r="A1577" s="25" t="s">
        <v>1056</v>
      </c>
      <c r="B1577" s="26" t="str">
        <f ca="1">IFERROR(INDEX(UNSPSCDes,MATCH(INDIRECT(ADDRESS(ROW(),COLUMN()-1,4)),UNSPSCCode,0)),IF(INDIRECT(ADDRESS(ROW(),COLUMN()-1,4))="46181804","Gafas protectoras",""))</f>
        <v>Gafas protectoras</v>
      </c>
      <c r="C1577" s="58" t="str">
        <f>IFERROR(VLOOKUP("UD",'Informacion '!P:Q,2,FALSE),"")</f>
        <v>Unidad</v>
      </c>
      <c r="D1577" s="25">
        <v>100</v>
      </c>
      <c r="E1577" s="28">
        <v>250</v>
      </c>
      <c r="F1577" s="27">
        <f t="shared" ca="1" si="50"/>
        <v>25000</v>
      </c>
    </row>
    <row r="1578" spans="1:6" ht="14.25" customHeight="1" x14ac:dyDescent="0.25">
      <c r="A1578" s="25" t="s">
        <v>1056</v>
      </c>
      <c r="B1578" s="26" t="str">
        <f ca="1">IFERROR(INDEX(UNSPSCDes,MATCH(INDIRECT(ADDRESS(ROW(),COLUMN()-1,4)),UNSPSCCode,0)),IF(INDIRECT(ADDRESS(ROW(),COLUMN()-1,4))="46181804","Gafas protectoras",""))</f>
        <v>Gafas protectoras</v>
      </c>
      <c r="C1578" s="58" t="str">
        <f>IFERROR(VLOOKUP("UD",'Informacion '!P:Q,2,FALSE),"")</f>
        <v>Unidad</v>
      </c>
      <c r="D1578" s="25">
        <v>100</v>
      </c>
      <c r="E1578" s="28">
        <v>250</v>
      </c>
      <c r="F1578" s="27">
        <f t="shared" ca="1" si="50"/>
        <v>25000</v>
      </c>
    </row>
    <row r="1579" spans="1:6" ht="14.25" customHeight="1" x14ac:dyDescent="0.25">
      <c r="A1579" s="25" t="s">
        <v>1176</v>
      </c>
      <c r="B1579" s="26" t="str">
        <f t="shared" ref="B1579:B1585" ca="1" si="51">IFERROR(INDEX(UNSPSCDes,MATCH(INDIRECT(ADDRESS(ROW(),COLUMN()-1,4)),UNSPSCCode,0)),IF(INDIRECT(ADDRESS(ROW(),COLUMN()-1,4))="46181507","Chalecos de seguridad",""))</f>
        <v>Chalecos de seguridad</v>
      </c>
      <c r="C1579" s="58" t="str">
        <f>IFERROR(VLOOKUP("UD",'Informacion '!P:Q,2,FALSE),"")</f>
        <v>Unidad</v>
      </c>
      <c r="D1579" s="25">
        <v>100</v>
      </c>
      <c r="E1579" s="28">
        <v>600</v>
      </c>
      <c r="F1579" s="27">
        <f t="shared" ca="1" si="50"/>
        <v>60000</v>
      </c>
    </row>
    <row r="1580" spans="1:6" ht="14.25" customHeight="1" x14ac:dyDescent="0.25">
      <c r="A1580" s="25" t="s">
        <v>1176</v>
      </c>
      <c r="B1580" s="26" t="str">
        <f t="shared" ca="1" si="51"/>
        <v>Chalecos de seguridad</v>
      </c>
      <c r="C1580" s="58" t="str">
        <f>IFERROR(VLOOKUP("UD",'Informacion '!P:Q,2,FALSE),"")</f>
        <v>Unidad</v>
      </c>
      <c r="D1580" s="25">
        <v>250</v>
      </c>
      <c r="E1580" s="28">
        <v>359</v>
      </c>
      <c r="F1580" s="27">
        <f t="shared" ca="1" si="50"/>
        <v>89750</v>
      </c>
    </row>
    <row r="1581" spans="1:6" ht="14.25" customHeight="1" x14ac:dyDescent="0.25">
      <c r="A1581" s="25" t="s">
        <v>1176</v>
      </c>
      <c r="B1581" s="26" t="str">
        <f t="shared" ca="1" si="51"/>
        <v>Chalecos de seguridad</v>
      </c>
      <c r="C1581" s="58" t="str">
        <f>IFERROR(VLOOKUP("UD",'Informacion '!P:Q,2,FALSE),"")</f>
        <v>Unidad</v>
      </c>
      <c r="D1581" s="25">
        <v>250</v>
      </c>
      <c r="E1581" s="28">
        <v>359</v>
      </c>
      <c r="F1581" s="27">
        <f t="shared" ca="1" si="50"/>
        <v>89750</v>
      </c>
    </row>
    <row r="1582" spans="1:6" ht="14.25" customHeight="1" x14ac:dyDescent="0.25">
      <c r="A1582" s="25" t="s">
        <v>1176</v>
      </c>
      <c r="B1582" s="26" t="str">
        <f t="shared" ca="1" si="51"/>
        <v>Chalecos de seguridad</v>
      </c>
      <c r="C1582" s="58" t="str">
        <f>IFERROR(VLOOKUP("UD",'Informacion '!P:Q,2,FALSE),"")</f>
        <v>Unidad</v>
      </c>
      <c r="D1582" s="25">
        <v>250</v>
      </c>
      <c r="E1582" s="28">
        <v>359</v>
      </c>
      <c r="F1582" s="27">
        <f t="shared" ca="1" si="50"/>
        <v>89750</v>
      </c>
    </row>
    <row r="1583" spans="1:6" ht="14.25" customHeight="1" x14ac:dyDescent="0.25">
      <c r="A1583" s="25" t="s">
        <v>1176</v>
      </c>
      <c r="B1583" s="26" t="str">
        <f t="shared" ca="1" si="51"/>
        <v>Chalecos de seguridad</v>
      </c>
      <c r="C1583" s="58" t="str">
        <f>IFERROR(VLOOKUP("UD",'Informacion '!P:Q,2,FALSE),"")</f>
        <v>Unidad</v>
      </c>
      <c r="D1583" s="25">
        <v>250</v>
      </c>
      <c r="E1583" s="28">
        <v>359</v>
      </c>
      <c r="F1583" s="27">
        <f t="shared" ca="1" si="50"/>
        <v>89750</v>
      </c>
    </row>
    <row r="1584" spans="1:6" ht="14.25" customHeight="1" x14ac:dyDescent="0.25">
      <c r="A1584" s="25" t="s">
        <v>1176</v>
      </c>
      <c r="B1584" s="26" t="str">
        <f t="shared" ca="1" si="51"/>
        <v>Chalecos de seguridad</v>
      </c>
      <c r="C1584" s="58" t="str">
        <f>IFERROR(VLOOKUP("UD",'Informacion '!P:Q,2,FALSE),"")</f>
        <v>Unidad</v>
      </c>
      <c r="D1584" s="25">
        <v>250</v>
      </c>
      <c r="E1584" s="28">
        <v>359</v>
      </c>
      <c r="F1584" s="27">
        <f t="shared" ca="1" si="50"/>
        <v>89750</v>
      </c>
    </row>
    <row r="1585" spans="1:10" ht="14.25" customHeight="1" x14ac:dyDescent="0.25">
      <c r="A1585" s="25" t="s">
        <v>1176</v>
      </c>
      <c r="B1585" s="26" t="str">
        <f t="shared" ca="1" si="51"/>
        <v>Chalecos de seguridad</v>
      </c>
      <c r="C1585" s="58" t="str">
        <f>IFERROR(VLOOKUP("UD",'Informacion '!P:Q,2,FALSE),"")</f>
        <v>Unidad</v>
      </c>
      <c r="D1585" s="25">
        <v>250</v>
      </c>
      <c r="E1585" s="28">
        <v>359</v>
      </c>
      <c r="F1585" s="27">
        <f t="shared" ca="1" si="50"/>
        <v>89750</v>
      </c>
    </row>
    <row r="1586" spans="1:10" ht="14.25" customHeight="1" x14ac:dyDescent="0.25">
      <c r="A1586" s="25" t="s">
        <v>1162</v>
      </c>
      <c r="B1586" s="26" t="str">
        <f ca="1">IFERROR(INDEX(UNSPSCDes,MATCH(INDIRECT(ADDRESS(ROW(),COLUMN()-1,4)),UNSPSCCode,0)),IF(INDIRECT(ADDRESS(ROW(),COLUMN()-1,4))="46181701","Cascos",""))</f>
        <v>Cascos</v>
      </c>
      <c r="C1586" s="58" t="str">
        <f>IFERROR(VLOOKUP("UD",'Informacion '!P:Q,2,FALSE),"")</f>
        <v>Unidad</v>
      </c>
      <c r="D1586" s="25">
        <v>300</v>
      </c>
      <c r="E1586" s="28">
        <v>500</v>
      </c>
      <c r="F1586" s="27">
        <f t="shared" ca="1" si="50"/>
        <v>150000</v>
      </c>
    </row>
    <row r="1587" spans="1:10" ht="14.25" customHeight="1" x14ac:dyDescent="0.25">
      <c r="E1587" s="30" t="s">
        <v>816</v>
      </c>
      <c r="F1587" s="31">
        <f ca="1">SUM(Table78[MONTO TOTAL ESTIMADO])</f>
        <v>1163000</v>
      </c>
      <c r="H1587" s="21" t="str">
        <f>C1566</f>
        <v>Bienes</v>
      </c>
      <c r="I1587" s="21" t="str">
        <f>E1566</f>
        <v>MIPYME Mujeres</v>
      </c>
      <c r="J1587" s="21" t="str">
        <f>D1566</f>
        <v>Comparacion de Precios</v>
      </c>
    </row>
    <row r="1589" spans="1:10" ht="33.950000000000003" customHeight="1" x14ac:dyDescent="0.25">
      <c r="A1589" s="22" t="s">
        <v>1051</v>
      </c>
      <c r="B1589" s="22" t="s">
        <v>11</v>
      </c>
      <c r="C1589" s="22" t="s">
        <v>751</v>
      </c>
      <c r="D1589" s="22" t="s">
        <v>930</v>
      </c>
      <c r="E1589" s="22" t="s">
        <v>699</v>
      </c>
      <c r="F1589" s="22" t="s">
        <v>710</v>
      </c>
    </row>
    <row r="1590" spans="1:10" ht="14.25" customHeight="1" x14ac:dyDescent="0.25">
      <c r="A1590" s="23" t="s">
        <v>832</v>
      </c>
      <c r="B1590" s="23" t="s">
        <v>832</v>
      </c>
      <c r="C1590" s="23" t="s">
        <v>1155</v>
      </c>
      <c r="D1590" s="23" t="s">
        <v>116</v>
      </c>
      <c r="E1590" s="23" t="s">
        <v>561</v>
      </c>
      <c r="F1590" s="23" t="s">
        <v>436</v>
      </c>
    </row>
    <row r="1591" spans="1:10" ht="14.25" customHeight="1" x14ac:dyDescent="0.25">
      <c r="A1591" s="68" t="s">
        <v>965</v>
      </c>
      <c r="B1591" s="24" t="s">
        <v>543</v>
      </c>
      <c r="C1591" s="54">
        <v>46057</v>
      </c>
      <c r="D1591" s="68" t="s">
        <v>598</v>
      </c>
      <c r="E1591" s="56" t="s">
        <v>858</v>
      </c>
      <c r="F1591" s="57" t="s">
        <v>184</v>
      </c>
    </row>
    <row r="1592" spans="1:10" ht="14.25" customHeight="1" x14ac:dyDescent="0.25">
      <c r="A1592" s="69"/>
      <c r="B1592" s="24" t="s">
        <v>112</v>
      </c>
      <c r="C1592" s="55">
        <f>IF(C1591="","",IF(AND(MONTH(C1591)&gt;=1,MONTH(C1591)&lt;=3),1,IF(AND(MONTH(C1591)&gt;=4,MONTH(C1591)&lt;=6),2,IF(AND(MONTH(C1591)&gt;=7,MONTH(C1591)&lt;=9),3,4))))</f>
        <v>1</v>
      </c>
      <c r="D1592" s="69"/>
      <c r="E1592" s="56" t="s">
        <v>143</v>
      </c>
      <c r="F1592" s="57"/>
    </row>
    <row r="1593" spans="1:10" ht="14.25" customHeight="1" x14ac:dyDescent="0.25">
      <c r="A1593" s="69"/>
      <c r="B1593" s="24" t="s">
        <v>844</v>
      </c>
      <c r="C1593" s="54">
        <v>46094</v>
      </c>
      <c r="D1593" s="69"/>
      <c r="E1593" s="56" t="s">
        <v>183</v>
      </c>
      <c r="F1593" s="57"/>
    </row>
    <row r="1594" spans="1:10" ht="14.25" customHeight="1" x14ac:dyDescent="0.25">
      <c r="A1594" s="69"/>
      <c r="B1594" s="24" t="s">
        <v>112</v>
      </c>
      <c r="C1594" s="55">
        <f>IF(C1593="","",IF(AND(MONTH(C1593)&gt;=1,MONTH(C1593)&lt;=3),1,IF(AND(MONTH(C1593)&gt;=4,MONTH(C1593)&lt;=6),2,IF(AND(MONTH(C1593)&gt;=7,MONTH(C1593)&lt;=9),3,4))))</f>
        <v>1</v>
      </c>
      <c r="D1594" s="69"/>
      <c r="E1594" s="56" t="s">
        <v>865</v>
      </c>
      <c r="F1594" s="57"/>
    </row>
    <row r="1596" spans="1:10" ht="14.25" customHeight="1" x14ac:dyDescent="0.25">
      <c r="A1596" s="29" t="s">
        <v>1017</v>
      </c>
      <c r="B1596" s="29" t="s">
        <v>1042</v>
      </c>
      <c r="C1596" s="29" t="s">
        <v>1011</v>
      </c>
      <c r="D1596" s="29" t="s">
        <v>985</v>
      </c>
      <c r="E1596" s="29" t="s">
        <v>449</v>
      </c>
      <c r="F1596" s="29" t="s">
        <v>989</v>
      </c>
    </row>
    <row r="1597" spans="1:10" ht="14.25" customHeight="1" x14ac:dyDescent="0.25">
      <c r="A1597" s="25" t="s">
        <v>778</v>
      </c>
      <c r="B1597" s="26" t="str">
        <f ca="1">IFERROR(INDEX(UNSPSCDes,MATCH(INDIRECT(ADDRESS(ROW(),COLUMN()-1,4)),UNSPSCCode,0)),IF(INDIRECT(ADDRESS(ROW(),COLUMN()-1,4))="45121603","Lentes para cámaras",""))</f>
        <v>Lentes para cámaras</v>
      </c>
      <c r="C1597" s="58" t="str">
        <f>IFERROR(VLOOKUP("UD",'Informacion '!P:Q,2,FALSE),"")</f>
        <v>Unidad</v>
      </c>
      <c r="D1597" s="25">
        <v>7</v>
      </c>
      <c r="E1597" s="28">
        <v>165200</v>
      </c>
      <c r="F1597" s="27">
        <f t="shared" ref="F1597:F1605" ca="1" si="52">INDIRECT(ADDRESS(ROW(),COLUMN()-2,4))*INDIRECT(ADDRESS(ROW(),COLUMN()-1,4))</f>
        <v>1156400</v>
      </c>
    </row>
    <row r="1598" spans="1:10" ht="14.25" customHeight="1" x14ac:dyDescent="0.25">
      <c r="A1598" s="25" t="s">
        <v>778</v>
      </c>
      <c r="B1598" s="26" t="str">
        <f ca="1">IFERROR(INDEX(UNSPSCDes,MATCH(INDIRECT(ADDRESS(ROW(),COLUMN()-1,4)),UNSPSCCode,0)),IF(INDIRECT(ADDRESS(ROW(),COLUMN()-1,4))="45121603","Lentes para cámaras",""))</f>
        <v>Lentes para cámaras</v>
      </c>
      <c r="C1598" s="58" t="str">
        <f>IFERROR(VLOOKUP("UD",'Informacion '!P:Q,2,FALSE),"")</f>
        <v>Unidad</v>
      </c>
      <c r="D1598" s="25">
        <v>5</v>
      </c>
      <c r="E1598" s="28">
        <v>1500</v>
      </c>
      <c r="F1598" s="27">
        <f t="shared" ca="1" si="52"/>
        <v>7500</v>
      </c>
    </row>
    <row r="1599" spans="1:10" ht="14.25" customHeight="1" x14ac:dyDescent="0.25">
      <c r="A1599" s="25" t="s">
        <v>837</v>
      </c>
      <c r="B1599" s="26" t="str">
        <f ca="1">IFERROR(INDEX(UNSPSCDes,MATCH(INDIRECT(ADDRESS(ROW(),COLUMN()-1,4)),UNSPSCCode,0)),IF(INDIRECT(ADDRESS(ROW(),COLUMN()-1,4))="26111704","Cargadores de baterías",""))</f>
        <v>Cargadores de baterías</v>
      </c>
      <c r="C1599" s="58" t="str">
        <f>IFERROR(VLOOKUP("UD",'Informacion '!P:Q,2,FALSE),"")</f>
        <v>Unidad</v>
      </c>
      <c r="D1599" s="25">
        <v>10</v>
      </c>
      <c r="E1599" s="28">
        <v>5900</v>
      </c>
      <c r="F1599" s="27">
        <f t="shared" ca="1" si="52"/>
        <v>59000</v>
      </c>
    </row>
    <row r="1600" spans="1:10" ht="14.25" customHeight="1" x14ac:dyDescent="0.25">
      <c r="A1600" s="25" t="s">
        <v>1135</v>
      </c>
      <c r="B1600" s="26" t="str">
        <f ca="1">IFERROR(INDEX(UNSPSCDes,MATCH(INDIRECT(ADDRESS(ROW(),COLUMN()-1,4)),UNSPSCCode,0)),IF(INDIRECT(ADDRESS(ROW(),COLUMN()-1,4))="45121607","Bloques o sujetadores para cámaras",""))</f>
        <v>Bloques o sujetadores para cámaras</v>
      </c>
      <c r="C1600" s="58" t="str">
        <f>IFERROR(VLOOKUP("UD",'Informacion '!P:Q,2,FALSE),"")</f>
        <v>Unidad</v>
      </c>
      <c r="D1600" s="25">
        <v>8</v>
      </c>
      <c r="E1600" s="28">
        <v>8000</v>
      </c>
      <c r="F1600" s="27">
        <f t="shared" ca="1" si="52"/>
        <v>64000</v>
      </c>
    </row>
    <row r="1601" spans="1:10" ht="14.25" customHeight="1" x14ac:dyDescent="0.25">
      <c r="A1601" s="25" t="s">
        <v>562</v>
      </c>
      <c r="B1601" s="26" t="str">
        <f ca="1">IFERROR(INDEX(UNSPSCDes,MATCH(INDIRECT(ADDRESS(ROW(),COLUMN()-1,4)),UNSPSCCode,0)),IF(INDIRECT(ADDRESS(ROW(),COLUMN()-1,4))="45121602","Trípodes para cámaras",""))</f>
        <v>Trípodes para cámaras</v>
      </c>
      <c r="C1601" s="58" t="str">
        <f>IFERROR(VLOOKUP("UD",'Informacion '!P:Q,2,FALSE),"")</f>
        <v>Unidad</v>
      </c>
      <c r="D1601" s="25">
        <v>1</v>
      </c>
      <c r="E1601" s="28">
        <v>15000</v>
      </c>
      <c r="F1601" s="27">
        <f t="shared" ca="1" si="52"/>
        <v>15000</v>
      </c>
    </row>
    <row r="1602" spans="1:10" ht="14.25" customHeight="1" x14ac:dyDescent="0.25">
      <c r="A1602" s="25" t="s">
        <v>779</v>
      </c>
      <c r="B1602" s="26" t="str">
        <f ca="1">IFERROR(INDEX(UNSPSCDes,MATCH(INDIRECT(ADDRESS(ROW(),COLUMN()-1,4)),UNSPSCCode,0)),IF(INDIRECT(ADDRESS(ROW(),COLUMN()-1,4))="45121504","Cámaras digitales",""))</f>
        <v>Cámaras digitales</v>
      </c>
      <c r="C1602" s="58" t="str">
        <f>IFERROR(VLOOKUP("UD",'Informacion '!P:Q,2,FALSE),"")</f>
        <v>Unidad</v>
      </c>
      <c r="D1602" s="25">
        <v>2</v>
      </c>
      <c r="E1602" s="28">
        <v>45000</v>
      </c>
      <c r="F1602" s="27">
        <f t="shared" ca="1" si="52"/>
        <v>90000</v>
      </c>
    </row>
    <row r="1603" spans="1:10" ht="14.25" customHeight="1" x14ac:dyDescent="0.25">
      <c r="A1603" s="25" t="s">
        <v>778</v>
      </c>
      <c r="B1603" s="26" t="str">
        <f ca="1">IFERROR(INDEX(UNSPSCDes,MATCH(INDIRECT(ADDRESS(ROW(),COLUMN()-1,4)),UNSPSCCode,0)),IF(INDIRECT(ADDRESS(ROW(),COLUMN()-1,4))="45121603","Lentes para cámaras",""))</f>
        <v>Lentes para cámaras</v>
      </c>
      <c r="C1603" s="58" t="str">
        <f>IFERROR(VLOOKUP("UD",'Informacion '!P:Q,2,FALSE),"")</f>
        <v>Unidad</v>
      </c>
      <c r="D1603" s="25">
        <v>8</v>
      </c>
      <c r="E1603" s="28">
        <v>3500</v>
      </c>
      <c r="F1603" s="27">
        <f t="shared" ca="1" si="52"/>
        <v>28000</v>
      </c>
    </row>
    <row r="1604" spans="1:10" ht="14.25" customHeight="1" x14ac:dyDescent="0.25">
      <c r="A1604" s="25" t="s">
        <v>778</v>
      </c>
      <c r="B1604" s="26" t="str">
        <f ca="1">IFERROR(INDEX(UNSPSCDes,MATCH(INDIRECT(ADDRESS(ROW(),COLUMN()-1,4)),UNSPSCCode,0)),IF(INDIRECT(ADDRESS(ROW(),COLUMN()-1,4))="45121603","Lentes para cámaras",""))</f>
        <v>Lentes para cámaras</v>
      </c>
      <c r="C1604" s="58" t="str">
        <f>IFERROR(VLOOKUP("UD",'Informacion '!P:Q,2,FALSE),"")</f>
        <v>Unidad</v>
      </c>
      <c r="D1604" s="25">
        <v>2</v>
      </c>
      <c r="E1604" s="28">
        <v>3500</v>
      </c>
      <c r="F1604" s="27">
        <f t="shared" ca="1" si="52"/>
        <v>7000</v>
      </c>
    </row>
    <row r="1605" spans="1:10" ht="14.25" customHeight="1" x14ac:dyDescent="0.25">
      <c r="A1605" s="25" t="s">
        <v>121</v>
      </c>
      <c r="B1605" s="26" t="str">
        <f ca="1">IFERROR(INDEX(UNSPSCDes,MATCH(INDIRECT(ADDRESS(ROW(),COLUMN()-1,4)),UNSPSCCode,0)),IF(INDIRECT(ADDRESS(ROW(),COLUMN()-1,4))="25201708","Cámaras de avión",""))</f>
        <v>Cámaras de avión</v>
      </c>
      <c r="C1605" s="58" t="str">
        <f>IFERROR(VLOOKUP("UD",'Informacion '!P:Q,2,FALSE),"")</f>
        <v>Unidad</v>
      </c>
      <c r="D1605" s="25">
        <v>3</v>
      </c>
      <c r="E1605" s="28">
        <v>125000</v>
      </c>
      <c r="F1605" s="27">
        <f t="shared" ca="1" si="52"/>
        <v>375000</v>
      </c>
    </row>
    <row r="1606" spans="1:10" ht="14.25" customHeight="1" x14ac:dyDescent="0.25">
      <c r="E1606" s="30" t="s">
        <v>816</v>
      </c>
      <c r="F1606" s="31">
        <f ca="1">SUM(Table79[MONTO TOTAL ESTIMADO])</f>
        <v>1801900</v>
      </c>
      <c r="H1606" s="21" t="str">
        <f>C1590</f>
        <v>Bienes</v>
      </c>
      <c r="I1606" s="21" t="str">
        <f>E1590</f>
        <v>Sí</v>
      </c>
      <c r="J1606" s="21" t="str">
        <f>D1590</f>
        <v>Comparacion de Precios</v>
      </c>
    </row>
    <row r="1608" spans="1:10" ht="33.950000000000003" customHeight="1" x14ac:dyDescent="0.25">
      <c r="A1608" s="22" t="s">
        <v>1051</v>
      </c>
      <c r="B1608" s="22" t="s">
        <v>11</v>
      </c>
      <c r="C1608" s="22" t="s">
        <v>751</v>
      </c>
      <c r="D1608" s="22" t="s">
        <v>930</v>
      </c>
      <c r="E1608" s="22" t="s">
        <v>699</v>
      </c>
      <c r="F1608" s="22" t="s">
        <v>710</v>
      </c>
    </row>
    <row r="1609" spans="1:10" ht="14.25" customHeight="1" x14ac:dyDescent="0.25">
      <c r="A1609" s="23" t="s">
        <v>802</v>
      </c>
      <c r="B1609" s="23" t="s">
        <v>802</v>
      </c>
      <c r="C1609" s="23" t="s">
        <v>1155</v>
      </c>
      <c r="D1609" s="23" t="s">
        <v>1128</v>
      </c>
      <c r="E1609" s="23" t="s">
        <v>561</v>
      </c>
      <c r="F1609" s="23" t="s">
        <v>436</v>
      </c>
    </row>
    <row r="1610" spans="1:10" ht="14.25" customHeight="1" x14ac:dyDescent="0.25">
      <c r="A1610" s="68" t="s">
        <v>965</v>
      </c>
      <c r="B1610" s="24" t="s">
        <v>543</v>
      </c>
      <c r="C1610" s="54">
        <v>46068</v>
      </c>
      <c r="D1610" s="68" t="s">
        <v>598</v>
      </c>
      <c r="E1610" s="56" t="s">
        <v>858</v>
      </c>
      <c r="F1610" s="57" t="s">
        <v>184</v>
      </c>
    </row>
    <row r="1611" spans="1:10" ht="14.25" customHeight="1" x14ac:dyDescent="0.25">
      <c r="A1611" s="69"/>
      <c r="B1611" s="24" t="s">
        <v>112</v>
      </c>
      <c r="C1611" s="55">
        <f>IF(C1610="","",IF(AND(MONTH(C1610)&gt;=1,MONTH(C1610)&lt;=3),1,IF(AND(MONTH(C1610)&gt;=4,MONTH(C1610)&lt;=6),2,IF(AND(MONTH(C1610)&gt;=7,MONTH(C1610)&lt;=9),3,4))))</f>
        <v>1</v>
      </c>
      <c r="D1611" s="69"/>
      <c r="E1611" s="56" t="s">
        <v>143</v>
      </c>
      <c r="F1611" s="57"/>
    </row>
    <row r="1612" spans="1:10" ht="14.25" customHeight="1" x14ac:dyDescent="0.25">
      <c r="A1612" s="69"/>
      <c r="B1612" s="24" t="s">
        <v>844</v>
      </c>
      <c r="C1612" s="54">
        <v>46104</v>
      </c>
      <c r="D1612" s="69"/>
      <c r="E1612" s="56" t="s">
        <v>183</v>
      </c>
      <c r="F1612" s="57"/>
    </row>
    <row r="1613" spans="1:10" ht="14.25" customHeight="1" x14ac:dyDescent="0.25">
      <c r="A1613" s="69"/>
      <c r="B1613" s="24" t="s">
        <v>112</v>
      </c>
      <c r="C1613" s="55">
        <f>IF(C1612="","",IF(AND(MONTH(C1612)&gt;=1,MONTH(C1612)&lt;=3),1,IF(AND(MONTH(C1612)&gt;=4,MONTH(C1612)&lt;=6),2,IF(AND(MONTH(C1612)&gt;=7,MONTH(C1612)&lt;=9),3,4))))</f>
        <v>1</v>
      </c>
      <c r="D1613" s="69"/>
      <c r="E1613" s="56" t="s">
        <v>865</v>
      </c>
      <c r="F1613" s="57"/>
    </row>
    <row r="1615" spans="1:10" ht="14.25" customHeight="1" x14ac:dyDescent="0.25">
      <c r="A1615" s="29" t="s">
        <v>1017</v>
      </c>
      <c r="B1615" s="29" t="s">
        <v>1042</v>
      </c>
      <c r="C1615" s="29" t="s">
        <v>1011</v>
      </c>
      <c r="D1615" s="29" t="s">
        <v>985</v>
      </c>
      <c r="E1615" s="29" t="s">
        <v>449</v>
      </c>
      <c r="F1615" s="29" t="s">
        <v>989</v>
      </c>
    </row>
    <row r="1616" spans="1:10" ht="14.25" customHeight="1" x14ac:dyDescent="0.25">
      <c r="A1616" s="25" t="s">
        <v>186</v>
      </c>
      <c r="B1616" s="26" t="str">
        <f ca="1">IFERROR(INDEX(UNSPSCDes,MATCH(INDIRECT(ADDRESS(ROW(),COLUMN()-1,4)),UNSPSCCode,0)),IF(INDIRECT(ADDRESS(ROW(),COLUMN()-1,4))="82121505","Impresión promocional o publicitaria",""))</f>
        <v>Impresión promocional o publicitaria</v>
      </c>
      <c r="C1616" s="58" t="str">
        <f>IFERROR(VLOOKUP("UD",'Informacion '!P:Q,2,FALSE),"")</f>
        <v>Unidad</v>
      </c>
      <c r="D1616" s="25">
        <v>30</v>
      </c>
      <c r="E1616" s="28">
        <v>500</v>
      </c>
      <c r="F1616" s="27">
        <f ca="1">INDIRECT(ADDRESS(ROW(),COLUMN()-2,4))*INDIRECT(ADDRESS(ROW(),COLUMN()-1,4))</f>
        <v>15000</v>
      </c>
    </row>
    <row r="1617" spans="1:10" ht="14.25" customHeight="1" x14ac:dyDescent="0.25">
      <c r="A1617" s="25" t="s">
        <v>186</v>
      </c>
      <c r="B1617" s="26" t="str">
        <f ca="1">IFERROR(INDEX(UNSPSCDes,MATCH(INDIRECT(ADDRESS(ROW(),COLUMN()-1,4)),UNSPSCCode,0)),IF(INDIRECT(ADDRESS(ROW(),COLUMN()-1,4))="82121505","Impresión promocional o publicitaria",""))</f>
        <v>Impresión promocional o publicitaria</v>
      </c>
      <c r="C1617" s="58" t="str">
        <f>IFERROR(VLOOKUP("UD",'Informacion '!P:Q,2,FALSE),"")</f>
        <v>Unidad</v>
      </c>
      <c r="D1617" s="25">
        <v>6</v>
      </c>
      <c r="E1617" s="28">
        <v>15000</v>
      </c>
      <c r="F1617" s="27">
        <f ca="1">INDIRECT(ADDRESS(ROW(),COLUMN()-2,4))*INDIRECT(ADDRESS(ROW(),COLUMN()-1,4))</f>
        <v>90000</v>
      </c>
    </row>
    <row r="1618" spans="1:10" ht="14.25" customHeight="1" x14ac:dyDescent="0.25">
      <c r="A1618" s="25" t="s">
        <v>186</v>
      </c>
      <c r="B1618" s="26" t="str">
        <f ca="1">IFERROR(INDEX(UNSPSCDes,MATCH(INDIRECT(ADDRESS(ROW(),COLUMN()-1,4)),UNSPSCCode,0)),IF(INDIRECT(ADDRESS(ROW(),COLUMN()-1,4))="82121505","Impresión promocional o publicitaria",""))</f>
        <v>Impresión promocional o publicitaria</v>
      </c>
      <c r="C1618" s="58" t="str">
        <f>IFERROR(VLOOKUP("UD",'Informacion '!P:Q,2,FALSE),"")</f>
        <v>Unidad</v>
      </c>
      <c r="D1618" s="25">
        <v>6</v>
      </c>
      <c r="E1618" s="28">
        <v>35000</v>
      </c>
      <c r="F1618" s="27">
        <f ca="1">INDIRECT(ADDRESS(ROW(),COLUMN()-2,4))*INDIRECT(ADDRESS(ROW(),COLUMN()-1,4))</f>
        <v>210000</v>
      </c>
    </row>
    <row r="1619" spans="1:10" ht="14.25" customHeight="1" x14ac:dyDescent="0.25">
      <c r="A1619" s="25" t="s">
        <v>186</v>
      </c>
      <c r="B1619" s="26" t="str">
        <f ca="1">IFERROR(INDEX(UNSPSCDes,MATCH(INDIRECT(ADDRESS(ROW(),COLUMN()-1,4)),UNSPSCCode,0)),IF(INDIRECT(ADDRESS(ROW(),COLUMN()-1,4))="82121505","Impresión promocional o publicitaria",""))</f>
        <v>Impresión promocional o publicitaria</v>
      </c>
      <c r="C1619" s="58" t="str">
        <f>IFERROR(VLOOKUP("UD",'Informacion '!P:Q,2,FALSE),"")</f>
        <v>Unidad</v>
      </c>
      <c r="D1619" s="25">
        <v>2</v>
      </c>
      <c r="E1619" s="28">
        <v>100000</v>
      </c>
      <c r="F1619" s="27">
        <f ca="1">INDIRECT(ADDRESS(ROW(),COLUMN()-2,4))*INDIRECT(ADDRESS(ROW(),COLUMN()-1,4))</f>
        <v>200000</v>
      </c>
    </row>
    <row r="1620" spans="1:10" ht="14.25" customHeight="1" x14ac:dyDescent="0.25">
      <c r="E1620" s="30" t="s">
        <v>816</v>
      </c>
      <c r="F1620" s="31">
        <f ca="1">SUM(Table80[MONTO TOTAL ESTIMADO])</f>
        <v>515000</v>
      </c>
      <c r="H1620" s="21" t="str">
        <f>C1609</f>
        <v>Bienes</v>
      </c>
      <c r="I1620" s="21" t="str">
        <f>E1609</f>
        <v>Sí</v>
      </c>
      <c r="J1620" s="21" t="str">
        <f>D1609</f>
        <v>Compras Menores</v>
      </c>
    </row>
    <row r="1622" spans="1:10" ht="33.950000000000003" customHeight="1" x14ac:dyDescent="0.25">
      <c r="A1622" s="22" t="s">
        <v>1051</v>
      </c>
      <c r="B1622" s="22" t="s">
        <v>11</v>
      </c>
      <c r="C1622" s="22" t="s">
        <v>751</v>
      </c>
      <c r="D1622" s="22" t="s">
        <v>930</v>
      </c>
      <c r="E1622" s="22" t="s">
        <v>699</v>
      </c>
      <c r="F1622" s="22" t="s">
        <v>710</v>
      </c>
    </row>
    <row r="1623" spans="1:10" ht="14.25" customHeight="1" x14ac:dyDescent="0.25">
      <c r="A1623" s="23" t="s">
        <v>925</v>
      </c>
      <c r="B1623" s="23" t="s">
        <v>925</v>
      </c>
      <c r="C1623" s="23" t="s">
        <v>438</v>
      </c>
      <c r="D1623" s="23" t="s">
        <v>116</v>
      </c>
      <c r="E1623" s="23" t="s">
        <v>1156</v>
      </c>
      <c r="F1623" s="23" t="s">
        <v>436</v>
      </c>
    </row>
    <row r="1624" spans="1:10" ht="14.25" customHeight="1" x14ac:dyDescent="0.25">
      <c r="A1624" s="68" t="s">
        <v>965</v>
      </c>
      <c r="B1624" s="24" t="s">
        <v>543</v>
      </c>
      <c r="C1624" s="54">
        <v>46302</v>
      </c>
      <c r="D1624" s="68" t="s">
        <v>598</v>
      </c>
      <c r="E1624" s="56" t="s">
        <v>858</v>
      </c>
      <c r="F1624" s="57"/>
    </row>
    <row r="1625" spans="1:10" ht="14.25" customHeight="1" x14ac:dyDescent="0.25">
      <c r="A1625" s="69"/>
      <c r="B1625" s="24" t="s">
        <v>112</v>
      </c>
      <c r="C1625" s="55">
        <f>IF(C1624="","",IF(AND(MONTH(C1624)&gt;=1,MONTH(C1624)&lt;=3),1,IF(AND(MONTH(C1624)&gt;=4,MONTH(C1624)&lt;=6),2,IF(AND(MONTH(C1624)&gt;=7,MONTH(C1624)&lt;=9),3,4))))</f>
        <v>4</v>
      </c>
      <c r="D1625" s="69"/>
      <c r="E1625" s="56" t="s">
        <v>143</v>
      </c>
      <c r="F1625" s="57"/>
    </row>
    <row r="1626" spans="1:10" ht="14.25" customHeight="1" x14ac:dyDescent="0.25">
      <c r="A1626" s="69"/>
      <c r="B1626" s="24" t="s">
        <v>844</v>
      </c>
      <c r="C1626" s="54">
        <v>46330</v>
      </c>
      <c r="D1626" s="69"/>
      <c r="E1626" s="56" t="s">
        <v>183</v>
      </c>
      <c r="F1626" s="57"/>
    </row>
    <row r="1627" spans="1:10" ht="14.25" customHeight="1" x14ac:dyDescent="0.25">
      <c r="A1627" s="69"/>
      <c r="B1627" s="24" t="s">
        <v>112</v>
      </c>
      <c r="C1627" s="55">
        <f>IF(C1626="","",IF(AND(MONTH(C1626)&gt;=1,MONTH(C1626)&lt;=3),1,IF(AND(MONTH(C1626)&gt;=4,MONTH(C1626)&lt;=6),2,IF(AND(MONTH(C1626)&gt;=7,MONTH(C1626)&lt;=9),3,4))))</f>
        <v>4</v>
      </c>
      <c r="D1627" s="69"/>
      <c r="E1627" s="56" t="s">
        <v>865</v>
      </c>
      <c r="F1627" s="57"/>
    </row>
    <row r="1629" spans="1:10" ht="14.25" customHeight="1" x14ac:dyDescent="0.25">
      <c r="A1629" s="29" t="s">
        <v>1017</v>
      </c>
      <c r="B1629" s="29" t="s">
        <v>1042</v>
      </c>
      <c r="C1629" s="29" t="s">
        <v>1011</v>
      </c>
      <c r="D1629" s="29" t="s">
        <v>985</v>
      </c>
      <c r="E1629" s="29" t="s">
        <v>449</v>
      </c>
      <c r="F1629" s="29" t="s">
        <v>989</v>
      </c>
    </row>
    <row r="1630" spans="1:10" ht="14.25" customHeight="1" x14ac:dyDescent="0.25">
      <c r="A1630" s="25" t="s">
        <v>101</v>
      </c>
      <c r="B1630" s="26" t="str">
        <f ca="1">IFERROR(INDEX(UNSPSCDes,MATCH(INDIRECT(ADDRESS(ROW(),COLUMN()-1,4)),UNSPSCCode,0)),IF(INDIRECT(ADDRESS(ROW(),COLUMN()-1,4))="90101603","Servicios de cáterin",""))</f>
        <v>Servicios de cáterin</v>
      </c>
      <c r="C1630" s="58" t="str">
        <f>IFERROR(VLOOKUP("UD",'Informacion '!P:Q,2,FALSE),"")</f>
        <v>Unidad</v>
      </c>
      <c r="D1630" s="25">
        <v>5</v>
      </c>
      <c r="E1630" s="28">
        <v>800000</v>
      </c>
      <c r="F1630" s="27">
        <f ca="1">INDIRECT(ADDRESS(ROW(),COLUMN()-2,4))*INDIRECT(ADDRESS(ROW(),COLUMN()-1,4))</f>
        <v>4000000</v>
      </c>
    </row>
    <row r="1631" spans="1:10" ht="14.25" customHeight="1" x14ac:dyDescent="0.25">
      <c r="E1631" s="30" t="s">
        <v>816</v>
      </c>
      <c r="F1631" s="31">
        <f ca="1">SUM(Table81[MONTO TOTAL ESTIMADO])</f>
        <v>4000000</v>
      </c>
      <c r="H1631" s="21" t="str">
        <f>C1623</f>
        <v>Servicios</v>
      </c>
      <c r="I1631" s="21" t="str">
        <f>E1623</f>
        <v>No</v>
      </c>
      <c r="J1631" s="21" t="str">
        <f>D1623</f>
        <v>Comparacion de Precios</v>
      </c>
    </row>
    <row r="1633" spans="1:10" ht="33.950000000000003" customHeight="1" x14ac:dyDescent="0.25">
      <c r="A1633" s="22" t="s">
        <v>1051</v>
      </c>
      <c r="B1633" s="22" t="s">
        <v>11</v>
      </c>
      <c r="C1633" s="22" t="s">
        <v>751</v>
      </c>
      <c r="D1633" s="22" t="s">
        <v>930</v>
      </c>
      <c r="E1633" s="22" t="s">
        <v>699</v>
      </c>
      <c r="F1633" s="22" t="s">
        <v>710</v>
      </c>
    </row>
    <row r="1634" spans="1:10" ht="14.25" customHeight="1" x14ac:dyDescent="0.25">
      <c r="A1634" s="23" t="s">
        <v>118</v>
      </c>
      <c r="B1634" s="23" t="s">
        <v>118</v>
      </c>
      <c r="C1634" s="23" t="s">
        <v>438</v>
      </c>
      <c r="D1634" s="23" t="s">
        <v>1128</v>
      </c>
      <c r="E1634" s="23" t="s">
        <v>1156</v>
      </c>
      <c r="F1634" s="23" t="s">
        <v>436</v>
      </c>
    </row>
    <row r="1635" spans="1:10" ht="14.25" customHeight="1" x14ac:dyDescent="0.25">
      <c r="A1635" s="68" t="s">
        <v>965</v>
      </c>
      <c r="B1635" s="24" t="s">
        <v>543</v>
      </c>
      <c r="C1635" s="54">
        <v>46143</v>
      </c>
      <c r="D1635" s="68" t="s">
        <v>598</v>
      </c>
      <c r="E1635" s="56" t="s">
        <v>858</v>
      </c>
      <c r="F1635" s="57" t="s">
        <v>184</v>
      </c>
    </row>
    <row r="1636" spans="1:10" ht="14.25" customHeight="1" x14ac:dyDescent="0.25">
      <c r="A1636" s="69"/>
      <c r="B1636" s="24" t="s">
        <v>112</v>
      </c>
      <c r="C1636" s="55">
        <f>IF(C1635="","",IF(AND(MONTH(C1635)&gt;=1,MONTH(C1635)&lt;=3),1,IF(AND(MONTH(C1635)&gt;=4,MONTH(C1635)&lt;=6),2,IF(AND(MONTH(C1635)&gt;=7,MONTH(C1635)&lt;=9),3,4))))</f>
        <v>2</v>
      </c>
      <c r="D1636" s="69"/>
      <c r="E1636" s="56" t="s">
        <v>143</v>
      </c>
      <c r="F1636" s="57"/>
    </row>
    <row r="1637" spans="1:10" ht="14.25" customHeight="1" x14ac:dyDescent="0.25">
      <c r="A1637" s="69"/>
      <c r="B1637" s="24" t="s">
        <v>844</v>
      </c>
      <c r="C1637" s="54">
        <v>46183</v>
      </c>
      <c r="D1637" s="69"/>
      <c r="E1637" s="56" t="s">
        <v>183</v>
      </c>
      <c r="F1637" s="57"/>
    </row>
    <row r="1638" spans="1:10" ht="14.25" customHeight="1" x14ac:dyDescent="0.25">
      <c r="A1638" s="69"/>
      <c r="B1638" s="24" t="s">
        <v>112</v>
      </c>
      <c r="C1638" s="55">
        <f>IF(C1637="","",IF(AND(MONTH(C1637)&gt;=1,MONTH(C1637)&lt;=3),1,IF(AND(MONTH(C1637)&gt;=4,MONTH(C1637)&lt;=6),2,IF(AND(MONTH(C1637)&gt;=7,MONTH(C1637)&lt;=9),3,4))))</f>
        <v>2</v>
      </c>
      <c r="D1638" s="69"/>
      <c r="E1638" s="56" t="s">
        <v>865</v>
      </c>
      <c r="F1638" s="57"/>
    </row>
    <row r="1640" spans="1:10" ht="14.25" customHeight="1" x14ac:dyDescent="0.25">
      <c r="A1640" s="29" t="s">
        <v>1017</v>
      </c>
      <c r="B1640" s="29" t="s">
        <v>1042</v>
      </c>
      <c r="C1640" s="29" t="s">
        <v>1011</v>
      </c>
      <c r="D1640" s="29" t="s">
        <v>985</v>
      </c>
      <c r="E1640" s="29" t="s">
        <v>449</v>
      </c>
      <c r="F1640" s="29" t="s">
        <v>989</v>
      </c>
    </row>
    <row r="1641" spans="1:10" ht="14.25" customHeight="1" x14ac:dyDescent="0.25">
      <c r="A1641" s="25" t="s">
        <v>298</v>
      </c>
      <c r="B1641" s="26" t="str">
        <f ca="1">IFERROR(INDEX(UNSPSCDes,MATCH(INDIRECT(ADDRESS(ROW(),COLUMN()-1,4)),UNSPSCCode,0)),IF(INDIRECT(ADDRESS(ROW(),COLUMN()-1,4))="40151510","Bombas de agua",""))</f>
        <v>Bombas de agua</v>
      </c>
      <c r="C1641" s="58" t="str">
        <f>IFERROR(VLOOKUP("UD",'Informacion '!P:Q,2,FALSE),"")</f>
        <v>Unidad</v>
      </c>
      <c r="D1641" s="25">
        <v>5</v>
      </c>
      <c r="E1641" s="28">
        <v>3962</v>
      </c>
      <c r="F1641" s="27">
        <f ca="1">INDIRECT(ADDRESS(ROW(),COLUMN()-2,4))*INDIRECT(ADDRESS(ROW(),COLUMN()-1,4))</f>
        <v>19810</v>
      </c>
    </row>
    <row r="1642" spans="1:10" ht="14.25" customHeight="1" x14ac:dyDescent="0.25">
      <c r="E1642" s="30" t="s">
        <v>816</v>
      </c>
      <c r="F1642" s="31">
        <f ca="1">SUM(Table82[MONTO TOTAL ESTIMADO])</f>
        <v>19810</v>
      </c>
      <c r="H1642" s="21" t="str">
        <f>C1634</f>
        <v>Servicios</v>
      </c>
      <c r="I1642" s="21" t="str">
        <f>E1634</f>
        <v>No</v>
      </c>
      <c r="J1642" s="21" t="str">
        <f>D1634</f>
        <v>Compras Menores</v>
      </c>
    </row>
    <row r="1644" spans="1:10" ht="33.950000000000003" customHeight="1" x14ac:dyDescent="0.25">
      <c r="A1644" s="22" t="s">
        <v>1051</v>
      </c>
      <c r="B1644" s="22" t="s">
        <v>11</v>
      </c>
      <c r="C1644" s="22" t="s">
        <v>751</v>
      </c>
      <c r="D1644" s="22" t="s">
        <v>930</v>
      </c>
      <c r="E1644" s="22" t="s">
        <v>699</v>
      </c>
      <c r="F1644" s="22" t="s">
        <v>710</v>
      </c>
    </row>
    <row r="1645" spans="1:10" ht="14.25" customHeight="1" x14ac:dyDescent="0.25">
      <c r="A1645" s="23" t="s">
        <v>975</v>
      </c>
      <c r="B1645" s="23" t="s">
        <v>453</v>
      </c>
      <c r="C1645" s="23" t="s">
        <v>1155</v>
      </c>
      <c r="D1645" s="23" t="s">
        <v>1128</v>
      </c>
      <c r="E1645" s="23" t="s">
        <v>561</v>
      </c>
      <c r="F1645" s="23" t="s">
        <v>436</v>
      </c>
    </row>
    <row r="1646" spans="1:10" ht="14.25" customHeight="1" x14ac:dyDescent="0.25">
      <c r="A1646" s="68" t="s">
        <v>965</v>
      </c>
      <c r="B1646" s="24" t="s">
        <v>543</v>
      </c>
      <c r="C1646" s="54">
        <v>46327</v>
      </c>
      <c r="D1646" s="68" t="s">
        <v>598</v>
      </c>
      <c r="E1646" s="56" t="s">
        <v>858</v>
      </c>
      <c r="F1646" s="57" t="s">
        <v>184</v>
      </c>
    </row>
    <row r="1647" spans="1:10" ht="14.25" customHeight="1" x14ac:dyDescent="0.25">
      <c r="A1647" s="69"/>
      <c r="B1647" s="24" t="s">
        <v>112</v>
      </c>
      <c r="C1647" s="55">
        <f>IF(C1646="","",IF(AND(MONTH(C1646)&gt;=1,MONTH(C1646)&lt;=3),1,IF(AND(MONTH(C1646)&gt;=4,MONTH(C1646)&lt;=6),2,IF(AND(MONTH(C1646)&gt;=7,MONTH(C1646)&lt;=9),3,4))))</f>
        <v>4</v>
      </c>
      <c r="D1647" s="69"/>
      <c r="E1647" s="56" t="s">
        <v>143</v>
      </c>
      <c r="F1647" s="57"/>
    </row>
    <row r="1648" spans="1:10" ht="14.25" customHeight="1" x14ac:dyDescent="0.25">
      <c r="A1648" s="69"/>
      <c r="B1648" s="24" t="s">
        <v>844</v>
      </c>
      <c r="C1648" s="54">
        <v>46337</v>
      </c>
      <c r="D1648" s="69"/>
      <c r="E1648" s="56" t="s">
        <v>183</v>
      </c>
      <c r="F1648" s="57"/>
    </row>
    <row r="1649" spans="1:6" ht="14.25" customHeight="1" x14ac:dyDescent="0.25">
      <c r="A1649" s="69"/>
      <c r="B1649" s="24" t="s">
        <v>112</v>
      </c>
      <c r="C1649" s="55">
        <f>IF(C1648="","",IF(AND(MONTH(C1648)&gt;=1,MONTH(C1648)&lt;=3),1,IF(AND(MONTH(C1648)&gt;=4,MONTH(C1648)&lt;=6),2,IF(AND(MONTH(C1648)&gt;=7,MONTH(C1648)&lt;=9),3,4))))</f>
        <v>4</v>
      </c>
      <c r="D1649" s="69"/>
      <c r="E1649" s="56" t="s">
        <v>865</v>
      </c>
      <c r="F1649" s="57"/>
    </row>
    <row r="1651" spans="1:6" ht="14.25" customHeight="1" x14ac:dyDescent="0.25">
      <c r="A1651" s="29" t="s">
        <v>1017</v>
      </c>
      <c r="B1651" s="29" t="s">
        <v>1042</v>
      </c>
      <c r="C1651" s="29" t="s">
        <v>1011</v>
      </c>
      <c r="D1651" s="29" t="s">
        <v>985</v>
      </c>
      <c r="E1651" s="29" t="s">
        <v>449</v>
      </c>
      <c r="F1651" s="29" t="s">
        <v>989</v>
      </c>
    </row>
    <row r="1652" spans="1:6" ht="14.25" customHeight="1" x14ac:dyDescent="0.25">
      <c r="A1652" s="25" t="s">
        <v>727</v>
      </c>
      <c r="B1652" s="26" t="str">
        <f ca="1">IFERROR(INDEX(UNSPSCDes,MATCH(INDIRECT(ADDRESS(ROW(),COLUMN()-1,4)),UNSPSCCode,0)),IF(INDIRECT(ADDRESS(ROW(),COLUMN()-1,4))="50161814","Azúcar o sustituto de azúcar, confite",""))</f>
        <v>Azúcar o sustituto de azúcar, confite</v>
      </c>
      <c r="C1652" s="58" t="str">
        <f>IFERROR(VLOOKUP("CAJ",'Informacion '!P:Q,2,FALSE),"")</f>
        <v>Caja</v>
      </c>
      <c r="D1652" s="25">
        <v>50</v>
      </c>
      <c r="E1652" s="28">
        <v>420</v>
      </c>
      <c r="F1652" s="27">
        <f t="shared" ref="F1652:F1675" ca="1" si="53">INDIRECT(ADDRESS(ROW(),COLUMN()-2,4))*INDIRECT(ADDRESS(ROW(),COLUMN()-1,4))</f>
        <v>21000</v>
      </c>
    </row>
    <row r="1653" spans="1:6" ht="14.25" customHeight="1" x14ac:dyDescent="0.25">
      <c r="A1653" s="25" t="s">
        <v>727</v>
      </c>
      <c r="B1653" s="26" t="str">
        <f ca="1">IFERROR(INDEX(UNSPSCDes,MATCH(INDIRECT(ADDRESS(ROW(),COLUMN()-1,4)),UNSPSCCode,0)),IF(INDIRECT(ADDRESS(ROW(),COLUMN()-1,4))="50161814","Azúcar o sustituto de azúcar, confite",""))</f>
        <v>Azúcar o sustituto de azúcar, confite</v>
      </c>
      <c r="C1653" s="58" t="str">
        <f>IFERROR(VLOOKUP("CAJ",'Informacion '!P:Q,2,FALSE),"")</f>
        <v>Caja</v>
      </c>
      <c r="D1653" s="25">
        <v>50</v>
      </c>
      <c r="E1653" s="28">
        <v>300</v>
      </c>
      <c r="F1653" s="27">
        <f t="shared" ca="1" si="53"/>
        <v>15000</v>
      </c>
    </row>
    <row r="1654" spans="1:6" ht="14.25" customHeight="1" x14ac:dyDescent="0.25">
      <c r="A1654" s="25" t="s">
        <v>866</v>
      </c>
      <c r="B1654" s="26" t="str">
        <f ca="1">IFERROR(INDEX(UNSPSCDes,MATCH(INDIRECT(ADDRESS(ROW(),COLUMN()-1,4)),UNSPSCCode,0)),IF(INDIRECT(ADDRESS(ROW(),COLUMN()-1,4))="50201712","Bebidas de té",""))</f>
        <v>Bebidas de té</v>
      </c>
      <c r="C1654" s="58" t="str">
        <f>IFERROR(VLOOKUP("UD",'Informacion '!P:Q,2,FALSE),"")</f>
        <v>Unidad</v>
      </c>
      <c r="D1654" s="25">
        <v>35</v>
      </c>
      <c r="E1654" s="28">
        <v>370</v>
      </c>
      <c r="F1654" s="27">
        <f t="shared" ca="1" si="53"/>
        <v>12950</v>
      </c>
    </row>
    <row r="1655" spans="1:6" ht="14.25" customHeight="1" x14ac:dyDescent="0.25">
      <c r="A1655" s="25" t="s">
        <v>866</v>
      </c>
      <c r="B1655" s="26" t="str">
        <f ca="1">IFERROR(INDEX(UNSPSCDes,MATCH(INDIRECT(ADDRESS(ROW(),COLUMN()-1,4)),UNSPSCCode,0)),IF(INDIRECT(ADDRESS(ROW(),COLUMN()-1,4))="50201712","Bebidas de té",""))</f>
        <v>Bebidas de té</v>
      </c>
      <c r="C1655" s="58" t="str">
        <f>IFERROR(VLOOKUP("UD",'Informacion '!P:Q,2,FALSE),"")</f>
        <v>Unidad</v>
      </c>
      <c r="D1655" s="25">
        <v>35</v>
      </c>
      <c r="E1655" s="28">
        <v>630</v>
      </c>
      <c r="F1655" s="27">
        <f t="shared" ca="1" si="53"/>
        <v>22050</v>
      </c>
    </row>
    <row r="1656" spans="1:6" ht="14.25" customHeight="1" x14ac:dyDescent="0.25">
      <c r="A1656" s="25" t="s">
        <v>614</v>
      </c>
      <c r="B1656" s="26" t="str">
        <f ca="1">IFERROR(INDEX(UNSPSCDes,MATCH(INDIRECT(ADDRESS(ROW(),COLUMN()-1,4)),UNSPSCCode,0)),IF(INDIRECT(ADDRESS(ROW(),COLUMN()-1,4))="50201706","Café",""))</f>
        <v>Café</v>
      </c>
      <c r="C1656" s="58" t="str">
        <f>IFERROR(VLOOKUP("PAQ",'Informacion '!P:Q,2,FALSE),"")</f>
        <v>Paquete</v>
      </c>
      <c r="D1656" s="25">
        <v>2000</v>
      </c>
      <c r="E1656" s="28">
        <v>300</v>
      </c>
      <c r="F1656" s="27">
        <f t="shared" ca="1" si="53"/>
        <v>600000</v>
      </c>
    </row>
    <row r="1657" spans="1:6" ht="14.25" customHeight="1" x14ac:dyDescent="0.25">
      <c r="A1657" s="25" t="s">
        <v>500</v>
      </c>
      <c r="B1657" s="26" t="str">
        <f ca="1">IFERROR(INDEX(UNSPSCDes,MATCH(INDIRECT(ADDRESS(ROW(),COLUMN()-1,4)),UNSPSCCode,0)),IF(INDIRECT(ADDRESS(ROW(),COLUMN()-1,4))="50201714","Cremas no lácteas",""))</f>
        <v>Cremas no lácteas</v>
      </c>
      <c r="C1657" s="58" t="str">
        <f>IFERROR(VLOOKUP("UD",'Informacion '!P:Q,2,FALSE),"")</f>
        <v>Unidad</v>
      </c>
      <c r="D1657" s="25">
        <v>200</v>
      </c>
      <c r="E1657" s="28">
        <v>425</v>
      </c>
      <c r="F1657" s="27">
        <f t="shared" ca="1" si="53"/>
        <v>85000</v>
      </c>
    </row>
    <row r="1658" spans="1:6" ht="14.25" customHeight="1" x14ac:dyDescent="0.25">
      <c r="A1658" s="25" t="s">
        <v>727</v>
      </c>
      <c r="B1658" s="26" t="str">
        <f ca="1">IFERROR(INDEX(UNSPSCDes,MATCH(INDIRECT(ADDRESS(ROW(),COLUMN()-1,4)),UNSPSCCode,0)),IF(INDIRECT(ADDRESS(ROW(),COLUMN()-1,4))="50161814","Azúcar o sustituto de azúcar, confite",""))</f>
        <v>Azúcar o sustituto de azúcar, confite</v>
      </c>
      <c r="C1658" s="58" t="str">
        <f>IFERROR(VLOOKUP("UD",'Informacion '!P:Q,2,FALSE),"")</f>
        <v>Unidad</v>
      </c>
      <c r="D1658" s="25">
        <v>300</v>
      </c>
      <c r="E1658" s="28">
        <v>205</v>
      </c>
      <c r="F1658" s="27">
        <f t="shared" ca="1" si="53"/>
        <v>61500</v>
      </c>
    </row>
    <row r="1659" spans="1:6" ht="14.25" customHeight="1" x14ac:dyDescent="0.25">
      <c r="A1659" s="25" t="s">
        <v>727</v>
      </c>
      <c r="B1659" s="26" t="str">
        <f ca="1">IFERROR(INDEX(UNSPSCDes,MATCH(INDIRECT(ADDRESS(ROW(),COLUMN()-1,4)),UNSPSCCode,0)),IF(INDIRECT(ADDRESS(ROW(),COLUMN()-1,4))="50161814","Azúcar o sustituto de azúcar, confite",""))</f>
        <v>Azúcar o sustituto de azúcar, confite</v>
      </c>
      <c r="C1659" s="58" t="str">
        <f>IFERROR(VLOOKUP("UD",'Informacion '!P:Q,2,FALSE),"")</f>
        <v>Unidad</v>
      </c>
      <c r="D1659" s="25">
        <v>200</v>
      </c>
      <c r="E1659" s="28">
        <v>176</v>
      </c>
      <c r="F1659" s="27">
        <f t="shared" ca="1" si="53"/>
        <v>35200</v>
      </c>
    </row>
    <row r="1660" spans="1:6" ht="14.25" customHeight="1" x14ac:dyDescent="0.25">
      <c r="A1660" s="25" t="s">
        <v>291</v>
      </c>
      <c r="B1660" s="26" t="str">
        <f t="shared" ref="B1660:B1665" ca="1" si="54">IFERROR(INDEX(UNSPSCDes,MATCH(INDIRECT(ADDRESS(ROW(),COLUMN()-1,4)),UNSPSCCode,0)),IF(INDIRECT(ADDRESS(ROW(),COLUMN()-1,4))="50201711","Té instantáneo",""))</f>
        <v>Té instantáneo</v>
      </c>
      <c r="C1660" s="58" t="str">
        <f>IFERROR(VLOOKUP("CAJ",'Informacion '!P:Q,2,FALSE),"")</f>
        <v>Caja</v>
      </c>
      <c r="D1660" s="25">
        <v>15</v>
      </c>
      <c r="E1660" s="28">
        <v>400</v>
      </c>
      <c r="F1660" s="27">
        <f t="shared" ca="1" si="53"/>
        <v>6000</v>
      </c>
    </row>
    <row r="1661" spans="1:6" ht="14.25" customHeight="1" x14ac:dyDescent="0.25">
      <c r="A1661" s="25" t="s">
        <v>291</v>
      </c>
      <c r="B1661" s="26" t="str">
        <f t="shared" ca="1" si="54"/>
        <v>Té instantáneo</v>
      </c>
      <c r="C1661" s="58" t="str">
        <f>IFERROR(VLOOKUP("CAJ",'Informacion '!P:Q,2,FALSE),"")</f>
        <v>Caja</v>
      </c>
      <c r="D1661" s="25">
        <v>15</v>
      </c>
      <c r="E1661" s="28">
        <v>400</v>
      </c>
      <c r="F1661" s="27">
        <f t="shared" ca="1" si="53"/>
        <v>6000</v>
      </c>
    </row>
    <row r="1662" spans="1:6" ht="14.25" customHeight="1" x14ac:dyDescent="0.25">
      <c r="A1662" s="25" t="s">
        <v>291</v>
      </c>
      <c r="B1662" s="26" t="str">
        <f t="shared" ca="1" si="54"/>
        <v>Té instantáneo</v>
      </c>
      <c r="C1662" s="58" t="str">
        <f>IFERROR(VLOOKUP("CAJ",'Informacion '!P:Q,2,FALSE),"")</f>
        <v>Caja</v>
      </c>
      <c r="D1662" s="25">
        <v>15</v>
      </c>
      <c r="E1662" s="28">
        <v>400</v>
      </c>
      <c r="F1662" s="27">
        <f t="shared" ca="1" si="53"/>
        <v>6000</v>
      </c>
    </row>
    <row r="1663" spans="1:6" ht="14.25" customHeight="1" x14ac:dyDescent="0.25">
      <c r="A1663" s="25" t="s">
        <v>291</v>
      </c>
      <c r="B1663" s="26" t="str">
        <f t="shared" ca="1" si="54"/>
        <v>Té instantáneo</v>
      </c>
      <c r="C1663" s="58" t="str">
        <f>IFERROR(VLOOKUP("CAJ",'Informacion '!P:Q,2,FALSE),"")</f>
        <v>Caja</v>
      </c>
      <c r="D1663" s="25">
        <v>15</v>
      </c>
      <c r="E1663" s="28">
        <v>400</v>
      </c>
      <c r="F1663" s="27">
        <f t="shared" ca="1" si="53"/>
        <v>6000</v>
      </c>
    </row>
    <row r="1664" spans="1:6" ht="14.25" customHeight="1" x14ac:dyDescent="0.25">
      <c r="A1664" s="25" t="s">
        <v>291</v>
      </c>
      <c r="B1664" s="26" t="str">
        <f t="shared" ca="1" si="54"/>
        <v>Té instantáneo</v>
      </c>
      <c r="C1664" s="58" t="str">
        <f>IFERROR(VLOOKUP("CAJ",'Informacion '!P:Q,2,FALSE),"")</f>
        <v>Caja</v>
      </c>
      <c r="D1664" s="25">
        <v>15</v>
      </c>
      <c r="E1664" s="28">
        <v>400</v>
      </c>
      <c r="F1664" s="27">
        <f t="shared" ca="1" si="53"/>
        <v>6000</v>
      </c>
    </row>
    <row r="1665" spans="1:10" ht="14.25" customHeight="1" x14ac:dyDescent="0.25">
      <c r="A1665" s="25" t="s">
        <v>291</v>
      </c>
      <c r="B1665" s="26" t="str">
        <f t="shared" ca="1" si="54"/>
        <v>Té instantáneo</v>
      </c>
      <c r="C1665" s="58" t="str">
        <f>IFERROR(VLOOKUP("CAJ",'Informacion '!P:Q,2,FALSE),"")</f>
        <v>Caja</v>
      </c>
      <c r="D1665" s="25">
        <v>15</v>
      </c>
      <c r="E1665" s="28">
        <v>400</v>
      </c>
      <c r="F1665" s="27">
        <f t="shared" ca="1" si="53"/>
        <v>6000</v>
      </c>
    </row>
    <row r="1666" spans="1:10" ht="14.25" customHeight="1" x14ac:dyDescent="0.25">
      <c r="A1666" s="25" t="s">
        <v>1158</v>
      </c>
      <c r="B1666" s="26" t="str">
        <f ca="1">IFERROR(INDEX(UNSPSCDes,MATCH(INDIRECT(ADDRESS(ROW(),COLUMN()-1,4)),UNSPSCCode,0)),IF(INDIRECT(ADDRESS(ROW(),COLUMN()-1,4))="50181905","Galletas de dulce",""))</f>
        <v>Galletas de dulce</v>
      </c>
      <c r="C1666" s="58" t="str">
        <f>IFERROR(VLOOKUP("CAJ",'Informacion '!P:Q,2,FALSE),"")</f>
        <v>Caja</v>
      </c>
      <c r="D1666" s="25">
        <v>75</v>
      </c>
      <c r="E1666" s="28">
        <v>1050</v>
      </c>
      <c r="F1666" s="27">
        <f t="shared" ca="1" si="53"/>
        <v>78750</v>
      </c>
    </row>
    <row r="1667" spans="1:10" ht="14.25" customHeight="1" x14ac:dyDescent="0.25">
      <c r="A1667" s="25" t="s">
        <v>1158</v>
      </c>
      <c r="B1667" s="26" t="str">
        <f ca="1">IFERROR(INDEX(UNSPSCDes,MATCH(INDIRECT(ADDRESS(ROW(),COLUMN()-1,4)),UNSPSCCode,0)),IF(INDIRECT(ADDRESS(ROW(),COLUMN()-1,4))="50181905","Galletas de dulce",""))</f>
        <v>Galletas de dulce</v>
      </c>
      <c r="C1667" s="58" t="str">
        <f>IFERROR(VLOOKUP("CAJ",'Informacion '!P:Q,2,FALSE),"")</f>
        <v>Caja</v>
      </c>
      <c r="D1667" s="25">
        <v>75</v>
      </c>
      <c r="E1667" s="28">
        <v>2000</v>
      </c>
      <c r="F1667" s="27">
        <f t="shared" ca="1" si="53"/>
        <v>150000</v>
      </c>
    </row>
    <row r="1668" spans="1:10" ht="14.25" customHeight="1" x14ac:dyDescent="0.25">
      <c r="A1668" s="25" t="s">
        <v>1158</v>
      </c>
      <c r="B1668" s="26" t="str">
        <f ca="1">IFERROR(INDEX(UNSPSCDes,MATCH(INDIRECT(ADDRESS(ROW(),COLUMN()-1,4)),UNSPSCCode,0)),IF(INDIRECT(ADDRESS(ROW(),COLUMN()-1,4))="50181905","Galletas de dulce",""))</f>
        <v>Galletas de dulce</v>
      </c>
      <c r="C1668" s="58" t="str">
        <f>IFERROR(VLOOKUP("CAJ",'Informacion '!P:Q,2,FALSE),"")</f>
        <v>Caja</v>
      </c>
      <c r="D1668" s="25">
        <v>75</v>
      </c>
      <c r="E1668" s="28">
        <v>2000</v>
      </c>
      <c r="F1668" s="27">
        <f t="shared" ca="1" si="53"/>
        <v>150000</v>
      </c>
    </row>
    <row r="1669" spans="1:10" ht="14.25" customHeight="1" x14ac:dyDescent="0.25">
      <c r="A1669" s="25" t="s">
        <v>395</v>
      </c>
      <c r="B1669" s="26" t="str">
        <f ca="1">IFERROR(INDEX(UNSPSCDes,MATCH(INDIRECT(ADDRESS(ROW(),COLUMN()-1,4)),UNSPSCCode,0)),IF(INDIRECT(ADDRESS(ROW(),COLUMN()-1,4))="50192110","Nueces o fruta disecada",""))</f>
        <v>Nueces o fruta disecada</v>
      </c>
      <c r="C1669" s="58" t="str">
        <f>IFERROR(VLOOKUP("UD",'Informacion '!P:Q,2,FALSE),"")</f>
        <v>Unidad</v>
      </c>
      <c r="D1669" s="25">
        <v>100</v>
      </c>
      <c r="E1669" s="28">
        <v>350</v>
      </c>
      <c r="F1669" s="27">
        <f t="shared" ca="1" si="53"/>
        <v>35000</v>
      </c>
    </row>
    <row r="1670" spans="1:10" ht="14.25" customHeight="1" x14ac:dyDescent="0.25">
      <c r="A1670" s="25" t="s">
        <v>395</v>
      </c>
      <c r="B1670" s="26" t="str">
        <f ca="1">IFERROR(INDEX(UNSPSCDes,MATCH(INDIRECT(ADDRESS(ROW(),COLUMN()-1,4)),UNSPSCCode,0)),IF(INDIRECT(ADDRESS(ROW(),COLUMN()-1,4))="50192110","Nueces o fruta disecada",""))</f>
        <v>Nueces o fruta disecada</v>
      </c>
      <c r="C1670" s="58" t="str">
        <f>IFERROR(VLOOKUP("UD",'Informacion '!P:Q,2,FALSE),"")</f>
        <v>Unidad</v>
      </c>
      <c r="D1670" s="25">
        <v>100</v>
      </c>
      <c r="E1670" s="28">
        <v>1566.67</v>
      </c>
      <c r="F1670" s="27">
        <f t="shared" ca="1" si="53"/>
        <v>156667</v>
      </c>
    </row>
    <row r="1671" spans="1:10" ht="14.25" customHeight="1" x14ac:dyDescent="0.25">
      <c r="A1671" s="25" t="s">
        <v>395</v>
      </c>
      <c r="B1671" s="26" t="str">
        <f ca="1">IFERROR(INDEX(UNSPSCDes,MATCH(INDIRECT(ADDRESS(ROW(),COLUMN()-1,4)),UNSPSCCode,0)),IF(INDIRECT(ADDRESS(ROW(),COLUMN()-1,4))="50192110","Nueces o fruta disecada",""))</f>
        <v>Nueces o fruta disecada</v>
      </c>
      <c r="C1671" s="58" t="str">
        <f>IFERROR(VLOOKUP("UD",'Informacion '!P:Q,2,FALSE),"")</f>
        <v>Unidad</v>
      </c>
      <c r="D1671" s="25">
        <v>100</v>
      </c>
      <c r="E1671" s="28">
        <v>1166.67</v>
      </c>
      <c r="F1671" s="27">
        <f t="shared" ca="1" si="53"/>
        <v>116667</v>
      </c>
    </row>
    <row r="1672" spans="1:10" ht="14.25" customHeight="1" x14ac:dyDescent="0.25">
      <c r="A1672" s="25" t="s">
        <v>395</v>
      </c>
      <c r="B1672" s="26" t="str">
        <f ca="1">IFERROR(INDEX(UNSPSCDes,MATCH(INDIRECT(ADDRESS(ROW(),COLUMN()-1,4)),UNSPSCCode,0)),IF(INDIRECT(ADDRESS(ROW(),COLUMN()-1,4))="50192110","Nueces o fruta disecada",""))</f>
        <v>Nueces o fruta disecada</v>
      </c>
      <c r="C1672" s="58" t="str">
        <f>IFERROR(VLOOKUP("UD",'Informacion '!P:Q,2,FALSE),"")</f>
        <v>Unidad</v>
      </c>
      <c r="D1672" s="25">
        <v>100</v>
      </c>
      <c r="E1672" s="28">
        <v>933.33</v>
      </c>
      <c r="F1672" s="27">
        <f t="shared" ca="1" si="53"/>
        <v>93333</v>
      </c>
    </row>
    <row r="1673" spans="1:10" ht="14.25" customHeight="1" x14ac:dyDescent="0.25">
      <c r="A1673" s="25" t="s">
        <v>395</v>
      </c>
      <c r="B1673" s="26" t="str">
        <f ca="1">IFERROR(INDEX(UNSPSCDes,MATCH(INDIRECT(ADDRESS(ROW(),COLUMN()-1,4)),UNSPSCCode,0)),IF(INDIRECT(ADDRESS(ROW(),COLUMN()-1,4))="50192110","Nueces o fruta disecada",""))</f>
        <v>Nueces o fruta disecada</v>
      </c>
      <c r="C1673" s="58" t="str">
        <f>IFERROR(VLOOKUP("CAJ",'Informacion '!P:Q,2,FALSE),"")</f>
        <v>Caja</v>
      </c>
      <c r="D1673" s="25">
        <v>100</v>
      </c>
      <c r="E1673" s="28">
        <v>333.33</v>
      </c>
      <c r="F1673" s="27">
        <f t="shared" ca="1" si="53"/>
        <v>33333</v>
      </c>
    </row>
    <row r="1674" spans="1:10" ht="14.25" customHeight="1" x14ac:dyDescent="0.25">
      <c r="A1674" s="25" t="s">
        <v>147</v>
      </c>
      <c r="B1674" s="26" t="str">
        <f ca="1">IFERROR(INDEX(UNSPSCDes,MATCH(INDIRECT(ADDRESS(ROW(),COLUMN()-1,4)),UNSPSCCode,0)),IF(INDIRECT(ADDRESS(ROW(),COLUMN()-1,4))="50181909","Galletas de soda",""))</f>
        <v>Galletas de soda</v>
      </c>
      <c r="C1674" s="58" t="str">
        <f>IFERROR(VLOOKUP("PAQ",'Informacion '!P:Q,2,FALSE),"")</f>
        <v>Paquete</v>
      </c>
      <c r="D1674" s="25">
        <v>75</v>
      </c>
      <c r="E1674" s="28">
        <v>200</v>
      </c>
      <c r="F1674" s="27">
        <f t="shared" ca="1" si="53"/>
        <v>15000</v>
      </c>
    </row>
    <row r="1675" spans="1:10" ht="14.25" customHeight="1" x14ac:dyDescent="0.25">
      <c r="A1675" s="25" t="s">
        <v>395</v>
      </c>
      <c r="B1675" s="26" t="str">
        <f ca="1">IFERROR(INDEX(UNSPSCDes,MATCH(INDIRECT(ADDRESS(ROW(),COLUMN()-1,4)),UNSPSCCode,0)),IF(INDIRECT(ADDRESS(ROW(),COLUMN()-1,4))="50192110","Nueces o fruta disecada",""))</f>
        <v>Nueces o fruta disecada</v>
      </c>
      <c r="C1675" s="58" t="str">
        <f>IFERROR(VLOOKUP("CAJ",'Informacion '!P:Q,2,FALSE),"")</f>
        <v>Caja</v>
      </c>
      <c r="D1675" s="25">
        <v>100</v>
      </c>
      <c r="E1675" s="28">
        <v>1100</v>
      </c>
      <c r="F1675" s="27">
        <f t="shared" ca="1" si="53"/>
        <v>110000</v>
      </c>
    </row>
    <row r="1676" spans="1:10" ht="14.25" customHeight="1" x14ac:dyDescent="0.25">
      <c r="E1676" s="30" t="s">
        <v>816</v>
      </c>
      <c r="F1676" s="31">
        <f ca="1">SUM(Table83[MONTO TOTAL ESTIMADO])</f>
        <v>1827450</v>
      </c>
      <c r="H1676" s="21" t="str">
        <f>C1645</f>
        <v>Bienes</v>
      </c>
      <c r="I1676" s="21" t="str">
        <f>E1645</f>
        <v>Sí</v>
      </c>
      <c r="J1676" s="21" t="str">
        <f>D1645</f>
        <v>Compras Menores</v>
      </c>
    </row>
    <row r="1678" spans="1:10" ht="33.950000000000003" customHeight="1" x14ac:dyDescent="0.25">
      <c r="A1678" s="22" t="s">
        <v>1051</v>
      </c>
      <c r="B1678" s="22" t="s">
        <v>11</v>
      </c>
      <c r="C1678" s="22" t="s">
        <v>751</v>
      </c>
      <c r="D1678" s="22" t="s">
        <v>930</v>
      </c>
      <c r="E1678" s="22" t="s">
        <v>699</v>
      </c>
      <c r="F1678" s="22" t="s">
        <v>710</v>
      </c>
    </row>
    <row r="1679" spans="1:10" ht="14.25" customHeight="1" x14ac:dyDescent="0.25">
      <c r="A1679" s="23" t="s">
        <v>906</v>
      </c>
      <c r="B1679" s="23" t="s">
        <v>906</v>
      </c>
      <c r="C1679" s="23" t="s">
        <v>1155</v>
      </c>
      <c r="D1679" s="23" t="s">
        <v>146</v>
      </c>
      <c r="E1679" s="23" t="s">
        <v>1156</v>
      </c>
      <c r="F1679" s="23" t="s">
        <v>436</v>
      </c>
    </row>
    <row r="1680" spans="1:10" ht="14.25" customHeight="1" x14ac:dyDescent="0.25">
      <c r="A1680" s="68" t="s">
        <v>965</v>
      </c>
      <c r="B1680" s="24" t="s">
        <v>543</v>
      </c>
      <c r="C1680" s="54">
        <v>46119</v>
      </c>
      <c r="D1680" s="68" t="s">
        <v>598</v>
      </c>
      <c r="E1680" s="56" t="s">
        <v>858</v>
      </c>
      <c r="F1680" s="57" t="s">
        <v>184</v>
      </c>
    </row>
    <row r="1681" spans="1:10" ht="14.25" customHeight="1" x14ac:dyDescent="0.25">
      <c r="A1681" s="69"/>
      <c r="B1681" s="24" t="s">
        <v>112</v>
      </c>
      <c r="C1681" s="55">
        <f>IF(C1680="","",IF(AND(MONTH(C1680)&gt;=1,MONTH(C1680)&lt;=3),1,IF(AND(MONTH(C1680)&gt;=4,MONTH(C1680)&lt;=6),2,IF(AND(MONTH(C1680)&gt;=7,MONTH(C1680)&lt;=9),3,4))))</f>
        <v>2</v>
      </c>
      <c r="D1681" s="69"/>
      <c r="E1681" s="56" t="s">
        <v>143</v>
      </c>
      <c r="F1681" s="57"/>
    </row>
    <row r="1682" spans="1:10" ht="14.25" customHeight="1" x14ac:dyDescent="0.25">
      <c r="A1682" s="69"/>
      <c r="B1682" s="24" t="s">
        <v>844</v>
      </c>
      <c r="C1682" s="54">
        <v>46187</v>
      </c>
      <c r="D1682" s="69"/>
      <c r="E1682" s="56" t="s">
        <v>183</v>
      </c>
      <c r="F1682" s="57"/>
    </row>
    <row r="1683" spans="1:10" ht="14.25" customHeight="1" x14ac:dyDescent="0.25">
      <c r="A1683" s="69"/>
      <c r="B1683" s="24" t="s">
        <v>112</v>
      </c>
      <c r="C1683" s="55">
        <f>IF(C1682="","",IF(AND(MONTH(C1682)&gt;=1,MONTH(C1682)&lt;=3),1,IF(AND(MONTH(C1682)&gt;=4,MONTH(C1682)&lt;=6),2,IF(AND(MONTH(C1682)&gt;=7,MONTH(C1682)&lt;=9),3,4))))</f>
        <v>2</v>
      </c>
      <c r="D1683" s="69"/>
      <c r="E1683" s="56" t="s">
        <v>865</v>
      </c>
      <c r="F1683" s="57"/>
    </row>
    <row r="1685" spans="1:10" ht="14.25" customHeight="1" x14ac:dyDescent="0.25">
      <c r="A1685" s="29" t="s">
        <v>1017</v>
      </c>
      <c r="B1685" s="29" t="s">
        <v>1042</v>
      </c>
      <c r="C1685" s="29" t="s">
        <v>1011</v>
      </c>
      <c r="D1685" s="29" t="s">
        <v>985</v>
      </c>
      <c r="E1685" s="29" t="s">
        <v>449</v>
      </c>
      <c r="F1685" s="29" t="s">
        <v>989</v>
      </c>
    </row>
    <row r="1686" spans="1:10" ht="14.25" customHeight="1" x14ac:dyDescent="0.25">
      <c r="A1686" s="25" t="s">
        <v>827</v>
      </c>
      <c r="B1686" s="26" t="str">
        <f ca="1">IFERROR(INDEX(UNSPSCDes,MATCH(INDIRECT(ADDRESS(ROW(),COLUMN()-1,4)),UNSPSCCode,0)),IF(INDIRECT(ADDRESS(ROW(),COLUMN()-1,4))="15101506","Gasolina",""))</f>
        <v>Gasolina</v>
      </c>
      <c r="C1686" s="58" t="str">
        <f>IFERROR(VLOOKUP("UD",'Informacion '!P:Q,2,FALSE),"")</f>
        <v>Unidad</v>
      </c>
      <c r="D1686" s="25">
        <v>1</v>
      </c>
      <c r="E1686" s="28">
        <v>40000000</v>
      </c>
      <c r="F1686" s="27">
        <f ca="1">INDIRECT(ADDRESS(ROW(),COLUMN()-2,4))*INDIRECT(ADDRESS(ROW(),COLUMN()-1,4))</f>
        <v>40000000</v>
      </c>
    </row>
    <row r="1687" spans="1:10" ht="14.25" customHeight="1" x14ac:dyDescent="0.25">
      <c r="E1687" s="30" t="s">
        <v>816</v>
      </c>
      <c r="F1687" s="31">
        <f ca="1">SUM(Table84[MONTO TOTAL ESTIMADO])</f>
        <v>40000000</v>
      </c>
      <c r="H1687" s="21" t="str">
        <f>C1679</f>
        <v>Bienes</v>
      </c>
      <c r="I1687" s="21" t="str">
        <f>E1679</f>
        <v>No</v>
      </c>
      <c r="J1687" s="21" t="str">
        <f>D1679</f>
        <v>Licitacion Publica</v>
      </c>
    </row>
    <row r="1689" spans="1:10" ht="33.950000000000003" customHeight="1" x14ac:dyDescent="0.25">
      <c r="A1689" s="22" t="s">
        <v>1051</v>
      </c>
      <c r="B1689" s="22" t="s">
        <v>11</v>
      </c>
      <c r="C1689" s="22" t="s">
        <v>751</v>
      </c>
      <c r="D1689" s="22" t="s">
        <v>930</v>
      </c>
      <c r="E1689" s="22" t="s">
        <v>699</v>
      </c>
      <c r="F1689" s="22" t="s">
        <v>710</v>
      </c>
    </row>
    <row r="1690" spans="1:10" ht="14.25" customHeight="1" x14ac:dyDescent="0.25">
      <c r="A1690" s="23" t="s">
        <v>491</v>
      </c>
      <c r="B1690" s="23" t="s">
        <v>491</v>
      </c>
      <c r="C1690" s="23" t="s">
        <v>1155</v>
      </c>
      <c r="D1690" s="23" t="s">
        <v>1128</v>
      </c>
      <c r="E1690" s="23" t="s">
        <v>561</v>
      </c>
      <c r="F1690" s="23" t="s">
        <v>436</v>
      </c>
    </row>
    <row r="1691" spans="1:10" ht="14.25" customHeight="1" x14ac:dyDescent="0.25">
      <c r="A1691" s="68" t="s">
        <v>965</v>
      </c>
      <c r="B1691" s="24" t="s">
        <v>543</v>
      </c>
      <c r="C1691" s="54">
        <v>46204</v>
      </c>
      <c r="D1691" s="68" t="s">
        <v>598</v>
      </c>
      <c r="E1691" s="56" t="s">
        <v>858</v>
      </c>
      <c r="F1691" s="57" t="s">
        <v>184</v>
      </c>
    </row>
    <row r="1692" spans="1:10" ht="14.25" customHeight="1" x14ac:dyDescent="0.25">
      <c r="A1692" s="69"/>
      <c r="B1692" s="24" t="s">
        <v>112</v>
      </c>
      <c r="C1692" s="55">
        <f>IF(C1691="","",IF(AND(MONTH(C1691)&gt;=1,MONTH(C1691)&lt;=3),1,IF(AND(MONTH(C1691)&gt;=4,MONTH(C1691)&lt;=6),2,IF(AND(MONTH(C1691)&gt;=7,MONTH(C1691)&lt;=9),3,4))))</f>
        <v>3</v>
      </c>
      <c r="D1692" s="69"/>
      <c r="E1692" s="56" t="s">
        <v>143</v>
      </c>
      <c r="F1692" s="57"/>
    </row>
    <row r="1693" spans="1:10" ht="14.25" customHeight="1" x14ac:dyDescent="0.25">
      <c r="A1693" s="69"/>
      <c r="B1693" s="24" t="s">
        <v>844</v>
      </c>
      <c r="C1693" s="54">
        <v>46245</v>
      </c>
      <c r="D1693" s="69"/>
      <c r="E1693" s="56" t="s">
        <v>183</v>
      </c>
      <c r="F1693" s="57"/>
    </row>
    <row r="1694" spans="1:10" ht="14.25" customHeight="1" x14ac:dyDescent="0.25">
      <c r="A1694" s="69"/>
      <c r="B1694" s="24" t="s">
        <v>112</v>
      </c>
      <c r="C1694" s="55">
        <f>IF(C1693="","",IF(AND(MONTH(C1693)&gt;=1,MONTH(C1693)&lt;=3),1,IF(AND(MONTH(C1693)&gt;=4,MONTH(C1693)&lt;=6),2,IF(AND(MONTH(C1693)&gt;=7,MONTH(C1693)&lt;=9),3,4))))</f>
        <v>3</v>
      </c>
      <c r="D1694" s="69"/>
      <c r="E1694" s="56" t="s">
        <v>865</v>
      </c>
      <c r="F1694" s="57"/>
    </row>
    <row r="1696" spans="1:10" ht="14.25" customHeight="1" x14ac:dyDescent="0.25">
      <c r="A1696" s="29" t="s">
        <v>1017</v>
      </c>
      <c r="B1696" s="29" t="s">
        <v>1042</v>
      </c>
      <c r="C1696" s="29" t="s">
        <v>1011</v>
      </c>
      <c r="D1696" s="29" t="s">
        <v>985</v>
      </c>
      <c r="E1696" s="29" t="s">
        <v>449</v>
      </c>
      <c r="F1696" s="29" t="s">
        <v>989</v>
      </c>
    </row>
    <row r="1697" spans="1:6" ht="14.25" customHeight="1" x14ac:dyDescent="0.25">
      <c r="A1697" s="25" t="s">
        <v>1070</v>
      </c>
      <c r="B1697" s="26" t="str">
        <f ca="1">IFERROR(INDEX(UNSPSCDes,MATCH(INDIRECT(ADDRESS(ROW(),COLUMN()-1,4)),UNSPSCCode,0)),IF(INDIRECT(ADDRESS(ROW(),COLUMN()-1,4))="39101628","Lámpara Led",""))</f>
        <v>Lámpara Led</v>
      </c>
      <c r="C1697" s="58" t="str">
        <f>IFERROR(VLOOKUP("UD",'Informacion '!P:Q,2,FALSE),"")</f>
        <v>Unidad</v>
      </c>
      <c r="D1697" s="25">
        <v>30</v>
      </c>
      <c r="E1697" s="28">
        <v>105</v>
      </c>
      <c r="F1697" s="27">
        <f t="shared" ref="F1697:F1728" ca="1" si="55">INDIRECT(ADDRESS(ROW(),COLUMN()-2,4))*INDIRECT(ADDRESS(ROW(),COLUMN()-1,4))</f>
        <v>3150</v>
      </c>
    </row>
    <row r="1698" spans="1:6" ht="14.25" customHeight="1" x14ac:dyDescent="0.25">
      <c r="A1698" s="25" t="s">
        <v>1070</v>
      </c>
      <c r="B1698" s="26" t="str">
        <f ca="1">IFERROR(INDEX(UNSPSCDes,MATCH(INDIRECT(ADDRESS(ROW(),COLUMN()-1,4)),UNSPSCCode,0)),IF(INDIRECT(ADDRESS(ROW(),COLUMN()-1,4))="39101628","Lámpara Led",""))</f>
        <v>Lámpara Led</v>
      </c>
      <c r="C1698" s="58" t="str">
        <f>IFERROR(VLOOKUP("UD",'Informacion '!P:Q,2,FALSE),"")</f>
        <v>Unidad</v>
      </c>
      <c r="D1698" s="25">
        <v>30</v>
      </c>
      <c r="E1698" s="28">
        <v>110</v>
      </c>
      <c r="F1698" s="27">
        <f t="shared" ca="1" si="55"/>
        <v>3300</v>
      </c>
    </row>
    <row r="1699" spans="1:6" ht="14.25" customHeight="1" x14ac:dyDescent="0.25">
      <c r="A1699" s="25" t="s">
        <v>1070</v>
      </c>
      <c r="B1699" s="26" t="str">
        <f ca="1">IFERROR(INDEX(UNSPSCDes,MATCH(INDIRECT(ADDRESS(ROW(),COLUMN()-1,4)),UNSPSCCode,0)),IF(INDIRECT(ADDRESS(ROW(),COLUMN()-1,4))="39101628","Lámpara Led",""))</f>
        <v>Lámpara Led</v>
      </c>
      <c r="C1699" s="58" t="str">
        <f>IFERROR(VLOOKUP("UD",'Informacion '!P:Q,2,FALSE),"")</f>
        <v>Unidad</v>
      </c>
      <c r="D1699" s="25">
        <v>50</v>
      </c>
      <c r="E1699" s="28">
        <v>110</v>
      </c>
      <c r="F1699" s="27">
        <f t="shared" ca="1" si="55"/>
        <v>5500</v>
      </c>
    </row>
    <row r="1700" spans="1:6" ht="14.25" customHeight="1" x14ac:dyDescent="0.25">
      <c r="A1700" s="25" t="s">
        <v>1070</v>
      </c>
      <c r="B1700" s="26" t="str">
        <f ca="1">IFERROR(INDEX(UNSPSCDes,MATCH(INDIRECT(ADDRESS(ROW(),COLUMN()-1,4)),UNSPSCCode,0)),IF(INDIRECT(ADDRESS(ROW(),COLUMN()-1,4))="39101628","Lámpara Led",""))</f>
        <v>Lámpara Led</v>
      </c>
      <c r="C1700" s="58" t="str">
        <f>IFERROR(VLOOKUP("UD",'Informacion '!P:Q,2,FALSE),"")</f>
        <v>Unidad</v>
      </c>
      <c r="D1700" s="25">
        <v>100</v>
      </c>
      <c r="E1700" s="28">
        <v>325</v>
      </c>
      <c r="F1700" s="27">
        <f t="shared" ca="1" si="55"/>
        <v>32500</v>
      </c>
    </row>
    <row r="1701" spans="1:6" ht="14.25" customHeight="1" x14ac:dyDescent="0.25">
      <c r="A1701" s="25" t="s">
        <v>635</v>
      </c>
      <c r="B1701" s="26" t="str">
        <f ca="1">IFERROR(INDEX(UNSPSCDes,MATCH(INDIRECT(ADDRESS(ROW(),COLUMN()-1,4)),UNSPSCCode,0)),IF(INDIRECT(ADDRESS(ROW(),COLUMN()-1,4))="39121601","Breakers de circuito",""))</f>
        <v>Breakers de circuito</v>
      </c>
      <c r="C1701" s="58" t="str">
        <f>IFERROR(VLOOKUP("UD",'Informacion '!P:Q,2,FALSE),"")</f>
        <v>Unidad</v>
      </c>
      <c r="D1701" s="25">
        <v>20</v>
      </c>
      <c r="E1701" s="28">
        <v>111</v>
      </c>
      <c r="F1701" s="27">
        <f t="shared" ca="1" si="55"/>
        <v>2220</v>
      </c>
    </row>
    <row r="1702" spans="1:6" ht="14.25" customHeight="1" x14ac:dyDescent="0.25">
      <c r="A1702" s="25" t="s">
        <v>653</v>
      </c>
      <c r="B1702" s="26" t="str">
        <f ca="1">IFERROR(INDEX(UNSPSCDes,MATCH(INDIRECT(ADDRESS(ROW(),COLUMN()-1,4)),UNSPSCCode,0)),IF(INDIRECT(ADDRESS(ROW(),COLUMN()-1,4))="40142110","Tubería de cobre",""))</f>
        <v>Tubería de cobre</v>
      </c>
      <c r="C1702" s="58" t="str">
        <f>IFERROR(VLOOKUP("FT",'Informacion '!P:Q,2,FALSE),"")</f>
        <v>Pie</v>
      </c>
      <c r="D1702" s="25">
        <v>200</v>
      </c>
      <c r="E1702" s="28">
        <v>150</v>
      </c>
      <c r="F1702" s="27">
        <f t="shared" ca="1" si="55"/>
        <v>30000</v>
      </c>
    </row>
    <row r="1703" spans="1:6" ht="14.25" customHeight="1" x14ac:dyDescent="0.25">
      <c r="A1703" s="25" t="s">
        <v>786</v>
      </c>
      <c r="B1703" s="26" t="str">
        <f ca="1">IFERROR(INDEX(UNSPSCDes,MATCH(INDIRECT(ADDRESS(ROW(),COLUMN()-1,4)),UNSPSCCode,0)),IF(INDIRECT(ADDRESS(ROW(),COLUMN()-1,4))="39101605","Lámparas fluorescentes",""))</f>
        <v>Lámparas fluorescentes</v>
      </c>
      <c r="C1703" s="58" t="str">
        <f>IFERROR(VLOOKUP("UD",'Informacion '!P:Q,2,FALSE),"")</f>
        <v>Unidad</v>
      </c>
      <c r="D1703" s="25">
        <v>60</v>
      </c>
      <c r="E1703" s="28">
        <v>2132.77</v>
      </c>
      <c r="F1703" s="27">
        <f t="shared" ca="1" si="55"/>
        <v>127966.2</v>
      </c>
    </row>
    <row r="1704" spans="1:6" ht="14.25" customHeight="1" x14ac:dyDescent="0.25">
      <c r="A1704" s="25" t="s">
        <v>786</v>
      </c>
      <c r="B1704" s="26" t="str">
        <f ca="1">IFERROR(INDEX(UNSPSCDes,MATCH(INDIRECT(ADDRESS(ROW(),COLUMN()-1,4)),UNSPSCCode,0)),IF(INDIRECT(ADDRESS(ROW(),COLUMN()-1,4))="39101605","Lámparas fluorescentes",""))</f>
        <v>Lámparas fluorescentes</v>
      </c>
      <c r="C1704" s="58" t="str">
        <f>IFERROR(VLOOKUP("UD",'Informacion '!P:Q,2,FALSE),"")</f>
        <v>Unidad</v>
      </c>
      <c r="D1704" s="25">
        <v>40</v>
      </c>
      <c r="E1704" s="28">
        <v>1680.78</v>
      </c>
      <c r="F1704" s="27">
        <f t="shared" ca="1" si="55"/>
        <v>67231.199999999997</v>
      </c>
    </row>
    <row r="1705" spans="1:6" ht="14.25" customHeight="1" x14ac:dyDescent="0.25">
      <c r="A1705" s="25" t="s">
        <v>1072</v>
      </c>
      <c r="B1705" s="26" t="str">
        <f ca="1">IFERROR(INDEX(UNSPSCDes,MATCH(INDIRECT(ADDRESS(ROW(),COLUMN()-1,4)),UNSPSCCode,0)),IF(INDIRECT(ADDRESS(ROW(),COLUMN()-1,4))="39121402","Enchufes eléctricos",""))</f>
        <v>Enchufes eléctricos</v>
      </c>
      <c r="C1705" s="58" t="str">
        <f>IFERROR(VLOOKUP("UD",'Informacion '!P:Q,2,FALSE),"")</f>
        <v>Unidad</v>
      </c>
      <c r="D1705" s="25">
        <v>15</v>
      </c>
      <c r="E1705" s="28">
        <v>1092.1600000000001</v>
      </c>
      <c r="F1705" s="27">
        <f t="shared" ca="1" si="55"/>
        <v>16382.400000000001</v>
      </c>
    </row>
    <row r="1706" spans="1:6" ht="14.25" customHeight="1" x14ac:dyDescent="0.25">
      <c r="A1706" s="25" t="s">
        <v>579</v>
      </c>
      <c r="B1706" s="26" t="str">
        <f ca="1">IFERROR(INDEX(UNSPSCDes,MATCH(INDIRECT(ADDRESS(ROW(),COLUMN()-1,4)),UNSPSCCode,0)),IF(INDIRECT(ADDRESS(ROW(),COLUMN()-1,4))="39121406","Receptáculos eléctricos",""))</f>
        <v>Receptáculos eléctricos</v>
      </c>
      <c r="C1706" s="58" t="str">
        <f>IFERROR(VLOOKUP("UD",'Informacion '!P:Q,2,FALSE),"")</f>
        <v>Unidad</v>
      </c>
      <c r="D1706" s="25">
        <v>50</v>
      </c>
      <c r="E1706" s="28">
        <v>185</v>
      </c>
      <c r="F1706" s="27">
        <f t="shared" ca="1" si="55"/>
        <v>9250</v>
      </c>
    </row>
    <row r="1707" spans="1:6" ht="14.25" customHeight="1" x14ac:dyDescent="0.25">
      <c r="A1707" s="25" t="s">
        <v>635</v>
      </c>
      <c r="B1707" s="26" t="str">
        <f ca="1">IFERROR(INDEX(UNSPSCDes,MATCH(INDIRECT(ADDRESS(ROW(),COLUMN()-1,4)),UNSPSCCode,0)),IF(INDIRECT(ADDRESS(ROW(),COLUMN()-1,4))="39121601","Breakers de circuito",""))</f>
        <v>Breakers de circuito</v>
      </c>
      <c r="C1707" s="58" t="str">
        <f>IFERROR(VLOOKUP("CAJ",'Informacion '!P:Q,2,FALSE),"")</f>
        <v>Caja</v>
      </c>
      <c r="D1707" s="25">
        <v>5</v>
      </c>
      <c r="E1707" s="28">
        <v>45.35</v>
      </c>
      <c r="F1707" s="27">
        <f t="shared" ca="1" si="55"/>
        <v>226.75</v>
      </c>
    </row>
    <row r="1708" spans="1:6" ht="14.25" customHeight="1" x14ac:dyDescent="0.25">
      <c r="A1708" s="25" t="s">
        <v>1072</v>
      </c>
      <c r="B1708" s="26" t="str">
        <f ca="1">IFERROR(INDEX(UNSPSCDes,MATCH(INDIRECT(ADDRESS(ROW(),COLUMN()-1,4)),UNSPSCCode,0)),IF(INDIRECT(ADDRESS(ROW(),COLUMN()-1,4))="39121402","Enchufes eléctricos",""))</f>
        <v>Enchufes eléctricos</v>
      </c>
      <c r="C1708" s="58" t="str">
        <f>IFERROR(VLOOKUP("UD",'Informacion '!P:Q,2,FALSE),"")</f>
        <v>Unidad</v>
      </c>
      <c r="D1708" s="25">
        <v>30</v>
      </c>
      <c r="E1708" s="28">
        <v>240.53</v>
      </c>
      <c r="F1708" s="27">
        <f t="shared" ca="1" si="55"/>
        <v>7215.9</v>
      </c>
    </row>
    <row r="1709" spans="1:6" ht="14.25" customHeight="1" x14ac:dyDescent="0.25">
      <c r="A1709" s="25" t="s">
        <v>579</v>
      </c>
      <c r="B1709" s="26" t="str">
        <f ca="1">IFERROR(INDEX(UNSPSCDes,MATCH(INDIRECT(ADDRESS(ROW(),COLUMN()-1,4)),UNSPSCCode,0)),IF(INDIRECT(ADDRESS(ROW(),COLUMN()-1,4))="39121406","Receptáculos eléctricos",""))</f>
        <v>Receptáculos eléctricos</v>
      </c>
      <c r="C1709" s="58" t="str">
        <f>IFERROR(VLOOKUP("UD",'Informacion '!P:Q,2,FALSE),"")</f>
        <v>Unidad</v>
      </c>
      <c r="D1709" s="25">
        <v>10</v>
      </c>
      <c r="E1709" s="28">
        <v>235.83</v>
      </c>
      <c r="F1709" s="27">
        <f t="shared" ca="1" si="55"/>
        <v>2358.3000000000002</v>
      </c>
    </row>
    <row r="1710" spans="1:6" ht="14.25" customHeight="1" x14ac:dyDescent="0.25">
      <c r="A1710" s="25" t="s">
        <v>428</v>
      </c>
      <c r="B1710" s="26" t="str">
        <f t="shared" ref="B1710:B1715" ca="1" si="56">IFERROR(INDEX(UNSPSCDes,MATCH(INDIRECT(ADDRESS(ROW(),COLUMN()-1,4)),UNSPSCCode,0)),IF(INDIRECT(ADDRESS(ROW(),COLUMN()-1,4))="39101603","Lámparas solares",""))</f>
        <v>Lámparas solares</v>
      </c>
      <c r="C1710" s="58" t="str">
        <f>IFERROR(VLOOKUP("UD",'Informacion '!P:Q,2,FALSE),"")</f>
        <v>Unidad</v>
      </c>
      <c r="D1710" s="25">
        <v>50</v>
      </c>
      <c r="E1710" s="28">
        <v>1300</v>
      </c>
      <c r="F1710" s="27">
        <f t="shared" ca="1" si="55"/>
        <v>65000</v>
      </c>
    </row>
    <row r="1711" spans="1:6" ht="14.25" customHeight="1" x14ac:dyDescent="0.25">
      <c r="A1711" s="25" t="s">
        <v>428</v>
      </c>
      <c r="B1711" s="26" t="str">
        <f t="shared" ca="1" si="56"/>
        <v>Lámparas solares</v>
      </c>
      <c r="C1711" s="58" t="str">
        <f>IFERROR(VLOOKUP("UD",'Informacion '!P:Q,2,FALSE),"")</f>
        <v>Unidad</v>
      </c>
      <c r="D1711" s="25">
        <v>50</v>
      </c>
      <c r="E1711" s="28">
        <v>1250.1199999999999</v>
      </c>
      <c r="F1711" s="27">
        <f t="shared" ca="1" si="55"/>
        <v>62505.999999999993</v>
      </c>
    </row>
    <row r="1712" spans="1:6" ht="14.25" customHeight="1" x14ac:dyDescent="0.25">
      <c r="A1712" s="25" t="s">
        <v>428</v>
      </c>
      <c r="B1712" s="26" t="str">
        <f t="shared" ca="1" si="56"/>
        <v>Lámparas solares</v>
      </c>
      <c r="C1712" s="58" t="str">
        <f>IFERROR(VLOOKUP("UD",'Informacion '!P:Q,2,FALSE),"")</f>
        <v>Unidad</v>
      </c>
      <c r="D1712" s="25">
        <v>50</v>
      </c>
      <c r="E1712" s="28">
        <v>1059.97</v>
      </c>
      <c r="F1712" s="27">
        <f t="shared" ca="1" si="55"/>
        <v>52998.5</v>
      </c>
    </row>
    <row r="1713" spans="1:6" ht="14.25" customHeight="1" x14ac:dyDescent="0.25">
      <c r="A1713" s="25" t="s">
        <v>428</v>
      </c>
      <c r="B1713" s="26" t="str">
        <f t="shared" ca="1" si="56"/>
        <v>Lámparas solares</v>
      </c>
      <c r="C1713" s="58" t="str">
        <f>IFERROR(VLOOKUP("UD",'Informacion '!P:Q,2,FALSE),"")</f>
        <v>Unidad</v>
      </c>
      <c r="D1713" s="25">
        <v>50</v>
      </c>
      <c r="E1713" s="28">
        <v>280</v>
      </c>
      <c r="F1713" s="27">
        <f t="shared" ca="1" si="55"/>
        <v>14000</v>
      </c>
    </row>
    <row r="1714" spans="1:6" ht="14.25" customHeight="1" x14ac:dyDescent="0.25">
      <c r="A1714" s="25" t="s">
        <v>428</v>
      </c>
      <c r="B1714" s="26" t="str">
        <f t="shared" ca="1" si="56"/>
        <v>Lámparas solares</v>
      </c>
      <c r="C1714" s="58" t="str">
        <f>IFERROR(VLOOKUP("UD",'Informacion '!P:Q,2,FALSE),"")</f>
        <v>Unidad</v>
      </c>
      <c r="D1714" s="25">
        <v>50</v>
      </c>
      <c r="E1714" s="28">
        <v>1059.97</v>
      </c>
      <c r="F1714" s="27">
        <f t="shared" ca="1" si="55"/>
        <v>52998.5</v>
      </c>
    </row>
    <row r="1715" spans="1:6" ht="14.25" customHeight="1" x14ac:dyDescent="0.25">
      <c r="A1715" s="25" t="s">
        <v>428</v>
      </c>
      <c r="B1715" s="26" t="str">
        <f t="shared" ca="1" si="56"/>
        <v>Lámparas solares</v>
      </c>
      <c r="C1715" s="58" t="str">
        <f>IFERROR(VLOOKUP("UD",'Informacion '!P:Q,2,FALSE),"")</f>
        <v>Unidad</v>
      </c>
      <c r="D1715" s="25">
        <v>20</v>
      </c>
      <c r="E1715" s="28">
        <v>1059.97</v>
      </c>
      <c r="F1715" s="27">
        <f t="shared" ca="1" si="55"/>
        <v>21199.4</v>
      </c>
    </row>
    <row r="1716" spans="1:6" ht="14.25" customHeight="1" x14ac:dyDescent="0.25">
      <c r="A1716" s="25" t="s">
        <v>635</v>
      </c>
      <c r="B1716" s="26" t="str">
        <f t="shared" ref="B1716:B1734" ca="1" si="57">IFERROR(INDEX(UNSPSCDes,MATCH(INDIRECT(ADDRESS(ROW(),COLUMN()-1,4)),UNSPSCCode,0)),IF(INDIRECT(ADDRESS(ROW(),COLUMN()-1,4))="39121601","Breakers de circuito",""))</f>
        <v>Breakers de circuito</v>
      </c>
      <c r="C1716" s="58" t="str">
        <f>IFERROR(VLOOKUP("UD",'Informacion '!P:Q,2,FALSE),"")</f>
        <v>Unidad</v>
      </c>
      <c r="D1716" s="25">
        <v>5</v>
      </c>
      <c r="E1716" s="28">
        <v>678.96</v>
      </c>
      <c r="F1716" s="27">
        <f t="shared" ca="1" si="55"/>
        <v>3394.8</v>
      </c>
    </row>
    <row r="1717" spans="1:6" ht="14.25" customHeight="1" x14ac:dyDescent="0.25">
      <c r="A1717" s="25" t="s">
        <v>635</v>
      </c>
      <c r="B1717" s="26" t="str">
        <f t="shared" ca="1" si="57"/>
        <v>Breakers de circuito</v>
      </c>
      <c r="C1717" s="58" t="str">
        <f>IFERROR(VLOOKUP("UD",'Informacion '!P:Q,2,FALSE),"")</f>
        <v>Unidad</v>
      </c>
      <c r="D1717" s="25">
        <v>5</v>
      </c>
      <c r="E1717" s="28">
        <v>3000</v>
      </c>
      <c r="F1717" s="27">
        <f t="shared" ca="1" si="55"/>
        <v>15000</v>
      </c>
    </row>
    <row r="1718" spans="1:6" ht="14.25" customHeight="1" x14ac:dyDescent="0.25">
      <c r="A1718" s="25" t="s">
        <v>635</v>
      </c>
      <c r="B1718" s="26" t="str">
        <f t="shared" ca="1" si="57"/>
        <v>Breakers de circuito</v>
      </c>
      <c r="C1718" s="58" t="str">
        <f>IFERROR(VLOOKUP("UD",'Informacion '!P:Q,2,FALSE),"")</f>
        <v>Unidad</v>
      </c>
      <c r="D1718" s="25">
        <v>10</v>
      </c>
      <c r="E1718" s="28">
        <v>3000</v>
      </c>
      <c r="F1718" s="27">
        <f t="shared" ca="1" si="55"/>
        <v>30000</v>
      </c>
    </row>
    <row r="1719" spans="1:6" ht="14.25" customHeight="1" x14ac:dyDescent="0.25">
      <c r="A1719" s="25" t="s">
        <v>635</v>
      </c>
      <c r="B1719" s="26" t="str">
        <f t="shared" ca="1" si="57"/>
        <v>Breakers de circuito</v>
      </c>
      <c r="C1719" s="58" t="str">
        <f>IFERROR(VLOOKUP("UD",'Informacion '!P:Q,2,FALSE),"")</f>
        <v>Unidad</v>
      </c>
      <c r="D1719" s="25">
        <v>20</v>
      </c>
      <c r="E1719" s="28">
        <v>800</v>
      </c>
      <c r="F1719" s="27">
        <f t="shared" ca="1" si="55"/>
        <v>16000</v>
      </c>
    </row>
    <row r="1720" spans="1:6" ht="14.25" customHeight="1" x14ac:dyDescent="0.25">
      <c r="A1720" s="25" t="s">
        <v>635</v>
      </c>
      <c r="B1720" s="26" t="str">
        <f t="shared" ca="1" si="57"/>
        <v>Breakers de circuito</v>
      </c>
      <c r="C1720" s="58" t="str">
        <f>IFERROR(VLOOKUP("UD",'Informacion '!P:Q,2,FALSE),"")</f>
        <v>Unidad</v>
      </c>
      <c r="D1720" s="25">
        <v>20</v>
      </c>
      <c r="E1720" s="28">
        <v>1002</v>
      </c>
      <c r="F1720" s="27">
        <f t="shared" ca="1" si="55"/>
        <v>20040</v>
      </c>
    </row>
    <row r="1721" spans="1:6" ht="14.25" customHeight="1" x14ac:dyDescent="0.25">
      <c r="A1721" s="25" t="s">
        <v>635</v>
      </c>
      <c r="B1721" s="26" t="str">
        <f t="shared" ca="1" si="57"/>
        <v>Breakers de circuito</v>
      </c>
      <c r="C1721" s="58" t="str">
        <f>IFERROR(VLOOKUP("UD",'Informacion '!P:Q,2,FALSE),"")</f>
        <v>Unidad</v>
      </c>
      <c r="D1721" s="25">
        <v>20</v>
      </c>
      <c r="E1721" s="28">
        <v>2030</v>
      </c>
      <c r="F1721" s="27">
        <f t="shared" ca="1" si="55"/>
        <v>40600</v>
      </c>
    </row>
    <row r="1722" spans="1:6" ht="14.25" customHeight="1" x14ac:dyDescent="0.25">
      <c r="A1722" s="25" t="s">
        <v>635</v>
      </c>
      <c r="B1722" s="26" t="str">
        <f t="shared" ca="1" si="57"/>
        <v>Breakers de circuito</v>
      </c>
      <c r="C1722" s="58" t="str">
        <f>IFERROR(VLOOKUP("UD",'Informacion '!P:Q,2,FALSE),"")</f>
        <v>Unidad</v>
      </c>
      <c r="D1722" s="25">
        <v>10</v>
      </c>
      <c r="E1722" s="28">
        <v>401</v>
      </c>
      <c r="F1722" s="27">
        <f t="shared" ca="1" si="55"/>
        <v>4010</v>
      </c>
    </row>
    <row r="1723" spans="1:6" ht="14.25" customHeight="1" x14ac:dyDescent="0.25">
      <c r="A1723" s="25" t="s">
        <v>635</v>
      </c>
      <c r="B1723" s="26" t="str">
        <f t="shared" ca="1" si="57"/>
        <v>Breakers de circuito</v>
      </c>
      <c r="C1723" s="58" t="str">
        <f>IFERROR(VLOOKUP("UD",'Informacion '!P:Q,2,FALSE),"")</f>
        <v>Unidad</v>
      </c>
      <c r="D1723" s="25">
        <v>15</v>
      </c>
      <c r="E1723" s="28">
        <v>450</v>
      </c>
      <c r="F1723" s="27">
        <f t="shared" ca="1" si="55"/>
        <v>6750</v>
      </c>
    </row>
    <row r="1724" spans="1:6" ht="14.25" customHeight="1" x14ac:dyDescent="0.25">
      <c r="A1724" s="25" t="s">
        <v>635</v>
      </c>
      <c r="B1724" s="26" t="str">
        <f t="shared" ca="1" si="57"/>
        <v>Breakers de circuito</v>
      </c>
      <c r="C1724" s="58" t="str">
        <f>IFERROR(VLOOKUP("UD",'Informacion '!P:Q,2,FALSE),"")</f>
        <v>Unidad</v>
      </c>
      <c r="D1724" s="25">
        <v>10</v>
      </c>
      <c r="E1724" s="28">
        <v>450</v>
      </c>
      <c r="F1724" s="27">
        <f t="shared" ca="1" si="55"/>
        <v>4500</v>
      </c>
    </row>
    <row r="1725" spans="1:6" ht="14.25" customHeight="1" x14ac:dyDescent="0.25">
      <c r="A1725" s="25" t="s">
        <v>635</v>
      </c>
      <c r="B1725" s="26" t="str">
        <f t="shared" ca="1" si="57"/>
        <v>Breakers de circuito</v>
      </c>
      <c r="C1725" s="58" t="str">
        <f>IFERROR(VLOOKUP("UD",'Informacion '!P:Q,2,FALSE),"")</f>
        <v>Unidad</v>
      </c>
      <c r="D1725" s="25">
        <v>15</v>
      </c>
      <c r="E1725" s="28">
        <v>435</v>
      </c>
      <c r="F1725" s="27">
        <f t="shared" ca="1" si="55"/>
        <v>6525</v>
      </c>
    </row>
    <row r="1726" spans="1:6" ht="14.25" customHeight="1" x14ac:dyDescent="0.25">
      <c r="A1726" s="25" t="s">
        <v>635</v>
      </c>
      <c r="B1726" s="26" t="str">
        <f t="shared" ca="1" si="57"/>
        <v>Breakers de circuito</v>
      </c>
      <c r="C1726" s="58" t="str">
        <f>IFERROR(VLOOKUP("UD",'Informacion '!P:Q,2,FALSE),"")</f>
        <v>Unidad</v>
      </c>
      <c r="D1726" s="25">
        <v>15</v>
      </c>
      <c r="E1726" s="28">
        <v>681.52</v>
      </c>
      <c r="F1726" s="27">
        <f t="shared" ca="1" si="55"/>
        <v>10222.799999999999</v>
      </c>
    </row>
    <row r="1727" spans="1:6" ht="14.25" customHeight="1" x14ac:dyDescent="0.25">
      <c r="A1727" s="25" t="s">
        <v>635</v>
      </c>
      <c r="B1727" s="26" t="str">
        <f t="shared" ca="1" si="57"/>
        <v>Breakers de circuito</v>
      </c>
      <c r="C1727" s="58" t="str">
        <f>IFERROR(VLOOKUP("UD",'Informacion '!P:Q,2,FALSE),"")</f>
        <v>Unidad</v>
      </c>
      <c r="D1727" s="25">
        <v>10</v>
      </c>
      <c r="E1727" s="28">
        <v>307.69</v>
      </c>
      <c r="F1727" s="27">
        <f t="shared" ca="1" si="55"/>
        <v>3076.9</v>
      </c>
    </row>
    <row r="1728" spans="1:6" ht="14.25" customHeight="1" x14ac:dyDescent="0.25">
      <c r="A1728" s="25" t="s">
        <v>635</v>
      </c>
      <c r="B1728" s="26" t="str">
        <f t="shared" ca="1" si="57"/>
        <v>Breakers de circuito</v>
      </c>
      <c r="C1728" s="58" t="str">
        <f>IFERROR(VLOOKUP("UD",'Informacion '!P:Q,2,FALSE),"")</f>
        <v>Unidad</v>
      </c>
      <c r="D1728" s="25">
        <v>20</v>
      </c>
      <c r="E1728" s="28">
        <v>155.29</v>
      </c>
      <c r="F1728" s="27">
        <f t="shared" ca="1" si="55"/>
        <v>3105.7999999999997</v>
      </c>
    </row>
    <row r="1729" spans="1:6" ht="14.25" customHeight="1" x14ac:dyDescent="0.25">
      <c r="A1729" s="25" t="s">
        <v>635</v>
      </c>
      <c r="B1729" s="26" t="str">
        <f t="shared" ca="1" si="57"/>
        <v>Breakers de circuito</v>
      </c>
      <c r="C1729" s="58" t="str">
        <f>IFERROR(VLOOKUP("UD",'Informacion '!P:Q,2,FALSE),"")</f>
        <v>Unidad</v>
      </c>
      <c r="D1729" s="25">
        <v>20</v>
      </c>
      <c r="E1729" s="28">
        <v>250.5</v>
      </c>
      <c r="F1729" s="27">
        <f t="shared" ref="F1729:F1755" ca="1" si="58">INDIRECT(ADDRESS(ROW(),COLUMN()-2,4))*INDIRECT(ADDRESS(ROW(),COLUMN()-1,4))</f>
        <v>5010</v>
      </c>
    </row>
    <row r="1730" spans="1:6" ht="14.25" customHeight="1" x14ac:dyDescent="0.25">
      <c r="A1730" s="25" t="s">
        <v>635</v>
      </c>
      <c r="B1730" s="26" t="str">
        <f t="shared" ca="1" si="57"/>
        <v>Breakers de circuito</v>
      </c>
      <c r="C1730" s="58" t="str">
        <f>IFERROR(VLOOKUP("UD",'Informacion '!P:Q,2,FALSE),"")</f>
        <v>Unidad</v>
      </c>
      <c r="D1730" s="25">
        <v>20</v>
      </c>
      <c r="E1730" s="28">
        <v>307.69</v>
      </c>
      <c r="F1730" s="27">
        <f t="shared" ca="1" si="58"/>
        <v>6153.8</v>
      </c>
    </row>
    <row r="1731" spans="1:6" ht="14.25" customHeight="1" x14ac:dyDescent="0.25">
      <c r="A1731" s="25" t="s">
        <v>635</v>
      </c>
      <c r="B1731" s="26" t="str">
        <f t="shared" ca="1" si="57"/>
        <v>Breakers de circuito</v>
      </c>
      <c r="C1731" s="58" t="str">
        <f>IFERROR(VLOOKUP("UD",'Informacion '!P:Q,2,FALSE),"")</f>
        <v>Unidad</v>
      </c>
      <c r="D1731" s="25">
        <v>20</v>
      </c>
      <c r="E1731" s="28">
        <v>2052.48</v>
      </c>
      <c r="F1731" s="27">
        <f t="shared" ca="1" si="58"/>
        <v>41049.599999999999</v>
      </c>
    </row>
    <row r="1732" spans="1:6" ht="14.25" customHeight="1" x14ac:dyDescent="0.25">
      <c r="A1732" s="25" t="s">
        <v>635</v>
      </c>
      <c r="B1732" s="26" t="str">
        <f t="shared" ca="1" si="57"/>
        <v>Breakers de circuito</v>
      </c>
      <c r="C1732" s="58" t="str">
        <f>IFERROR(VLOOKUP("UD",'Informacion '!P:Q,2,FALSE),"")</f>
        <v>Unidad</v>
      </c>
      <c r="D1732" s="25">
        <v>20</v>
      </c>
      <c r="E1732" s="28">
        <v>2052.48</v>
      </c>
      <c r="F1732" s="27">
        <f t="shared" ca="1" si="58"/>
        <v>41049.599999999999</v>
      </c>
    </row>
    <row r="1733" spans="1:6" ht="14.25" customHeight="1" x14ac:dyDescent="0.25">
      <c r="A1733" s="25" t="s">
        <v>635</v>
      </c>
      <c r="B1733" s="26" t="str">
        <f t="shared" ca="1" si="57"/>
        <v>Breakers de circuito</v>
      </c>
      <c r="C1733" s="58" t="str">
        <f>IFERROR(VLOOKUP("UD",'Informacion '!P:Q,2,FALSE),"")</f>
        <v>Unidad</v>
      </c>
      <c r="D1733" s="25">
        <v>5</v>
      </c>
      <c r="E1733" s="28">
        <v>510</v>
      </c>
      <c r="F1733" s="27">
        <f t="shared" ca="1" si="58"/>
        <v>2550</v>
      </c>
    </row>
    <row r="1734" spans="1:6" ht="14.25" customHeight="1" x14ac:dyDescent="0.25">
      <c r="A1734" s="25" t="s">
        <v>635</v>
      </c>
      <c r="B1734" s="26" t="str">
        <f t="shared" ca="1" si="57"/>
        <v>Breakers de circuito</v>
      </c>
      <c r="C1734" s="58" t="str">
        <f>IFERROR(VLOOKUP("UD",'Informacion '!P:Q,2,FALSE),"")</f>
        <v>Unidad</v>
      </c>
      <c r="D1734" s="25">
        <v>2</v>
      </c>
      <c r="E1734" s="28">
        <v>205</v>
      </c>
      <c r="F1734" s="27">
        <f t="shared" ca="1" si="58"/>
        <v>410</v>
      </c>
    </row>
    <row r="1735" spans="1:6" ht="14.25" customHeight="1" x14ac:dyDescent="0.25">
      <c r="A1735" s="25" t="s">
        <v>653</v>
      </c>
      <c r="B1735" s="26" t="str">
        <f ca="1">IFERROR(INDEX(UNSPSCDes,MATCH(INDIRECT(ADDRESS(ROW(),COLUMN()-1,4)),UNSPSCCode,0)),IF(INDIRECT(ADDRESS(ROW(),COLUMN()-1,4))="40142110","Tubería de cobre",""))</f>
        <v>Tubería de cobre</v>
      </c>
      <c r="C1735" s="58" t="str">
        <f>IFERROR(VLOOKUP("UD",'Informacion '!P:Q,2,FALSE),"")</f>
        <v>Unidad</v>
      </c>
      <c r="D1735" s="25">
        <v>5</v>
      </c>
      <c r="E1735" s="28">
        <v>550.02</v>
      </c>
      <c r="F1735" s="27">
        <f t="shared" ca="1" si="58"/>
        <v>2750.1</v>
      </c>
    </row>
    <row r="1736" spans="1:6" ht="14.25" customHeight="1" x14ac:dyDescent="0.25">
      <c r="A1736" s="25" t="s">
        <v>743</v>
      </c>
      <c r="B1736" s="26" t="str">
        <f ca="1">IFERROR(INDEX(UNSPSCDes,MATCH(INDIRECT(ADDRESS(ROW(),COLUMN()-1,4)),UNSPSCCode,0)),IF(INDIRECT(ADDRESS(ROW(),COLUMN()-1,4))="31162906","Abrazaderas de manguera o tubo",""))</f>
        <v>Abrazaderas de manguera o tubo</v>
      </c>
      <c r="C1736" s="58" t="str">
        <f>IFERROR(VLOOKUP("UD",'Informacion '!P:Q,2,FALSE),"")</f>
        <v>Unidad</v>
      </c>
      <c r="D1736" s="25">
        <v>50</v>
      </c>
      <c r="E1736" s="28">
        <v>79.400000000000006</v>
      </c>
      <c r="F1736" s="27">
        <f t="shared" ca="1" si="58"/>
        <v>3970.0000000000005</v>
      </c>
    </row>
    <row r="1737" spans="1:6" ht="14.25" customHeight="1" x14ac:dyDescent="0.25">
      <c r="A1737" s="25" t="s">
        <v>743</v>
      </c>
      <c r="B1737" s="26" t="str">
        <f ca="1">IFERROR(INDEX(UNSPSCDes,MATCH(INDIRECT(ADDRESS(ROW(),COLUMN()-1,4)),UNSPSCCode,0)),IF(INDIRECT(ADDRESS(ROW(),COLUMN()-1,4))="31162906","Abrazaderas de manguera o tubo",""))</f>
        <v>Abrazaderas de manguera o tubo</v>
      </c>
      <c r="C1737" s="58" t="str">
        <f>IFERROR(VLOOKUP("UD",'Informacion '!P:Q,2,FALSE),"")</f>
        <v>Unidad</v>
      </c>
      <c r="D1737" s="25">
        <v>100</v>
      </c>
      <c r="E1737" s="28">
        <v>79.41</v>
      </c>
      <c r="F1737" s="27">
        <f t="shared" ca="1" si="58"/>
        <v>7941</v>
      </c>
    </row>
    <row r="1738" spans="1:6" ht="14.25" customHeight="1" x14ac:dyDescent="0.25">
      <c r="A1738" s="25" t="s">
        <v>743</v>
      </c>
      <c r="B1738" s="26" t="str">
        <f ca="1">IFERROR(INDEX(UNSPSCDes,MATCH(INDIRECT(ADDRESS(ROW(),COLUMN()-1,4)),UNSPSCCode,0)),IF(INDIRECT(ADDRESS(ROW(),COLUMN()-1,4))="31162906","Abrazaderas de manguera o tubo",""))</f>
        <v>Abrazaderas de manguera o tubo</v>
      </c>
      <c r="C1738" s="58" t="str">
        <f>IFERROR(VLOOKUP("UD",'Informacion '!P:Q,2,FALSE),"")</f>
        <v>Unidad</v>
      </c>
      <c r="D1738" s="25">
        <v>50</v>
      </c>
      <c r="E1738" s="28">
        <v>79.41</v>
      </c>
      <c r="F1738" s="27">
        <f t="shared" ca="1" si="58"/>
        <v>3970.5</v>
      </c>
    </row>
    <row r="1739" spans="1:6" ht="14.25" customHeight="1" x14ac:dyDescent="0.25">
      <c r="A1739" s="25" t="s">
        <v>653</v>
      </c>
      <c r="B1739" s="26" t="str">
        <f ca="1">IFERROR(INDEX(UNSPSCDes,MATCH(INDIRECT(ADDRESS(ROW(),COLUMN()-1,4)),UNSPSCCode,0)),IF(INDIRECT(ADDRESS(ROW(),COLUMN()-1,4))="40142110","Tubería de cobre",""))</f>
        <v>Tubería de cobre</v>
      </c>
      <c r="C1739" s="58" t="str">
        <f>IFERROR(VLOOKUP("UD",'Informacion '!P:Q,2,FALSE),"")</f>
        <v>Unidad</v>
      </c>
      <c r="D1739" s="25">
        <v>20</v>
      </c>
      <c r="E1739" s="28">
        <v>299</v>
      </c>
      <c r="F1739" s="27">
        <f t="shared" ca="1" si="58"/>
        <v>5980</v>
      </c>
    </row>
    <row r="1740" spans="1:6" ht="14.25" customHeight="1" x14ac:dyDescent="0.25">
      <c r="A1740" s="25" t="s">
        <v>653</v>
      </c>
      <c r="B1740" s="26" t="str">
        <f ca="1">IFERROR(INDEX(UNSPSCDes,MATCH(INDIRECT(ADDRESS(ROW(),COLUMN()-1,4)),UNSPSCCode,0)),IF(INDIRECT(ADDRESS(ROW(),COLUMN()-1,4))="40142110","Tubería de cobre",""))</f>
        <v>Tubería de cobre</v>
      </c>
      <c r="C1740" s="58" t="str">
        <f>IFERROR(VLOOKUP("UD",'Informacion '!P:Q,2,FALSE),"")</f>
        <v>Unidad</v>
      </c>
      <c r="D1740" s="25">
        <v>10</v>
      </c>
      <c r="E1740" s="28">
        <v>299</v>
      </c>
      <c r="F1740" s="27">
        <f t="shared" ca="1" si="58"/>
        <v>2990</v>
      </c>
    </row>
    <row r="1741" spans="1:6" ht="14.25" customHeight="1" x14ac:dyDescent="0.25">
      <c r="A1741" s="25" t="s">
        <v>909</v>
      </c>
      <c r="B1741" s="26" t="str">
        <f ca="1">IFERROR(INDEX(UNSPSCDes,MATCH(INDIRECT(ADDRESS(ROW(),COLUMN()-1,4)),UNSPSCCode,0)),IF(INDIRECT(ADDRESS(ROW(),COLUMN()-1,4))="39121434","Conectores de tubos metálicos eléctricos (emt)",""))</f>
        <v>Conectores de tubos metálicos eléctricos (emt)</v>
      </c>
      <c r="C1741" s="58" t="str">
        <f>IFERROR(VLOOKUP("UD",'Informacion '!P:Q,2,FALSE),"")</f>
        <v>Unidad</v>
      </c>
      <c r="D1741" s="25">
        <v>30</v>
      </c>
      <c r="E1741" s="28">
        <v>116.95</v>
      </c>
      <c r="F1741" s="27">
        <f t="shared" ca="1" si="58"/>
        <v>3508.5</v>
      </c>
    </row>
    <row r="1742" spans="1:6" ht="14.25" customHeight="1" x14ac:dyDescent="0.25">
      <c r="A1742" s="25" t="s">
        <v>909</v>
      </c>
      <c r="B1742" s="26" t="str">
        <f ca="1">IFERROR(INDEX(UNSPSCDes,MATCH(INDIRECT(ADDRESS(ROW(),COLUMN()-1,4)),UNSPSCCode,0)),IF(INDIRECT(ADDRESS(ROW(),COLUMN()-1,4))="39121434","Conectores de tubos metálicos eléctricos (emt)",""))</f>
        <v>Conectores de tubos metálicos eléctricos (emt)</v>
      </c>
      <c r="C1742" s="58" t="str">
        <f>IFERROR(VLOOKUP("UD",'Informacion '!P:Q,2,FALSE),"")</f>
        <v>Unidad</v>
      </c>
      <c r="D1742" s="25">
        <v>30</v>
      </c>
      <c r="E1742" s="28">
        <v>116.95</v>
      </c>
      <c r="F1742" s="27">
        <f t="shared" ca="1" si="58"/>
        <v>3508.5</v>
      </c>
    </row>
    <row r="1743" spans="1:6" ht="14.25" customHeight="1" x14ac:dyDescent="0.25">
      <c r="A1743" s="25" t="s">
        <v>909</v>
      </c>
      <c r="B1743" s="26" t="str">
        <f ca="1">IFERROR(INDEX(UNSPSCDes,MATCH(INDIRECT(ADDRESS(ROW(),COLUMN()-1,4)),UNSPSCCode,0)),IF(INDIRECT(ADDRESS(ROW(),COLUMN()-1,4))="39121434","Conectores de tubos metálicos eléctricos (emt)",""))</f>
        <v>Conectores de tubos metálicos eléctricos (emt)</v>
      </c>
      <c r="C1743" s="58" t="str">
        <f>IFERROR(VLOOKUP("UD",'Informacion '!P:Q,2,FALSE),"")</f>
        <v>Unidad</v>
      </c>
      <c r="D1743" s="25">
        <v>30</v>
      </c>
      <c r="E1743" s="28">
        <v>116.95</v>
      </c>
      <c r="F1743" s="27">
        <f t="shared" ca="1" si="58"/>
        <v>3508.5</v>
      </c>
    </row>
    <row r="1744" spans="1:6" ht="14.25" customHeight="1" x14ac:dyDescent="0.25">
      <c r="A1744" s="25" t="s">
        <v>653</v>
      </c>
      <c r="B1744" s="26" t="str">
        <f ca="1">IFERROR(INDEX(UNSPSCDes,MATCH(INDIRECT(ADDRESS(ROW(),COLUMN()-1,4)),UNSPSCCode,0)),IF(INDIRECT(ADDRESS(ROW(),COLUMN()-1,4))="40142110","Tubería de cobre",""))</f>
        <v>Tubería de cobre</v>
      </c>
      <c r="C1744" s="58" t="str">
        <f>IFERROR(VLOOKUP("UD",'Informacion '!P:Q,2,FALSE),"")</f>
        <v>Unidad</v>
      </c>
      <c r="D1744" s="25">
        <v>10</v>
      </c>
      <c r="E1744" s="28">
        <v>147.5</v>
      </c>
      <c r="F1744" s="27">
        <f t="shared" ca="1" si="58"/>
        <v>1475</v>
      </c>
    </row>
    <row r="1745" spans="1:10" ht="14.25" customHeight="1" x14ac:dyDescent="0.25">
      <c r="A1745" s="25" t="s">
        <v>743</v>
      </c>
      <c r="B1745" s="26" t="str">
        <f ca="1">IFERROR(INDEX(UNSPSCDes,MATCH(INDIRECT(ADDRESS(ROW(),COLUMN()-1,4)),UNSPSCCode,0)),IF(INDIRECT(ADDRESS(ROW(),COLUMN()-1,4))="31162906","Abrazaderas de manguera o tubo",""))</f>
        <v>Abrazaderas de manguera o tubo</v>
      </c>
      <c r="C1745" s="58" t="str">
        <f>IFERROR(VLOOKUP("UD",'Informacion '!P:Q,2,FALSE),"")</f>
        <v>Unidad</v>
      </c>
      <c r="D1745" s="25">
        <v>50</v>
      </c>
      <c r="E1745" s="28">
        <v>79.41</v>
      </c>
      <c r="F1745" s="27">
        <f t="shared" ca="1" si="58"/>
        <v>3970.5</v>
      </c>
    </row>
    <row r="1746" spans="1:10" ht="14.25" customHeight="1" x14ac:dyDescent="0.25">
      <c r="A1746" s="25" t="s">
        <v>743</v>
      </c>
      <c r="B1746" s="26" t="str">
        <f ca="1">IFERROR(INDEX(UNSPSCDes,MATCH(INDIRECT(ADDRESS(ROW(),COLUMN()-1,4)),UNSPSCCode,0)),IF(INDIRECT(ADDRESS(ROW(),COLUMN()-1,4))="31162906","Abrazaderas de manguera o tubo",""))</f>
        <v>Abrazaderas de manguera o tubo</v>
      </c>
      <c r="C1746" s="58" t="str">
        <f>IFERROR(VLOOKUP("UD",'Informacion '!P:Q,2,FALSE),"")</f>
        <v>Unidad</v>
      </c>
      <c r="D1746" s="25">
        <v>100</v>
      </c>
      <c r="E1746" s="28">
        <v>77.42</v>
      </c>
      <c r="F1746" s="27">
        <f t="shared" ca="1" si="58"/>
        <v>7742</v>
      </c>
    </row>
    <row r="1747" spans="1:10" ht="14.25" customHeight="1" x14ac:dyDescent="0.25">
      <c r="A1747" s="25" t="s">
        <v>909</v>
      </c>
      <c r="B1747" s="26" t="str">
        <f ca="1">IFERROR(INDEX(UNSPSCDes,MATCH(INDIRECT(ADDRESS(ROW(),COLUMN()-1,4)),UNSPSCCode,0)),IF(INDIRECT(ADDRESS(ROW(),COLUMN()-1,4))="39121434","Conectores de tubos metálicos eléctricos (emt)",""))</f>
        <v>Conectores de tubos metálicos eléctricos (emt)</v>
      </c>
      <c r="C1747" s="58" t="str">
        <f>IFERROR(VLOOKUP("UD",'Informacion '!P:Q,2,FALSE),"")</f>
        <v>Unidad</v>
      </c>
      <c r="D1747" s="25">
        <v>30</v>
      </c>
      <c r="E1747" s="28">
        <v>56.13</v>
      </c>
      <c r="F1747" s="27">
        <f t="shared" ca="1" si="58"/>
        <v>1683.9</v>
      </c>
    </row>
    <row r="1748" spans="1:10" ht="14.25" customHeight="1" x14ac:dyDescent="0.25">
      <c r="A1748" s="25" t="s">
        <v>909</v>
      </c>
      <c r="B1748" s="26" t="str">
        <f ca="1">IFERROR(INDEX(UNSPSCDes,MATCH(INDIRECT(ADDRESS(ROW(),COLUMN()-1,4)),UNSPSCCode,0)),IF(INDIRECT(ADDRESS(ROW(),COLUMN()-1,4))="39121434","Conectores de tubos metálicos eléctricos (emt)",""))</f>
        <v>Conectores de tubos metálicos eléctricos (emt)</v>
      </c>
      <c r="C1748" s="58" t="str">
        <f>IFERROR(VLOOKUP("UD",'Informacion '!P:Q,2,FALSE),"")</f>
        <v>Unidad</v>
      </c>
      <c r="D1748" s="25">
        <v>30</v>
      </c>
      <c r="E1748" s="28">
        <v>166.89</v>
      </c>
      <c r="F1748" s="27">
        <f t="shared" ca="1" si="58"/>
        <v>5006.7</v>
      </c>
    </row>
    <row r="1749" spans="1:10" ht="14.25" customHeight="1" x14ac:dyDescent="0.25">
      <c r="A1749" s="25" t="s">
        <v>428</v>
      </c>
      <c r="B1749" s="26" t="str">
        <f ca="1">IFERROR(INDEX(UNSPSCDes,MATCH(INDIRECT(ADDRESS(ROW(),COLUMN()-1,4)),UNSPSCCode,0)),IF(INDIRECT(ADDRESS(ROW(),COLUMN()-1,4))="39101603","Lámparas solares",""))</f>
        <v>Lámparas solares</v>
      </c>
      <c r="C1749" s="58" t="str">
        <f>IFERROR(VLOOKUP("UD",'Informacion '!P:Q,2,FALSE),"")</f>
        <v>Unidad</v>
      </c>
      <c r="D1749" s="25">
        <v>20</v>
      </c>
      <c r="E1749" s="28">
        <v>312.45999999999998</v>
      </c>
      <c r="F1749" s="27">
        <f t="shared" ca="1" si="58"/>
        <v>6249.2</v>
      </c>
    </row>
    <row r="1750" spans="1:10" ht="14.25" customHeight="1" x14ac:dyDescent="0.25">
      <c r="A1750" s="25" t="s">
        <v>428</v>
      </c>
      <c r="B1750" s="26" t="str">
        <f ca="1">IFERROR(INDEX(UNSPSCDes,MATCH(INDIRECT(ADDRESS(ROW(),COLUMN()-1,4)),UNSPSCCode,0)),IF(INDIRECT(ADDRESS(ROW(),COLUMN()-1,4))="39101603","Lámparas solares",""))</f>
        <v>Lámparas solares</v>
      </c>
      <c r="C1750" s="58" t="str">
        <f>IFERROR(VLOOKUP("UD",'Informacion '!P:Q,2,FALSE),"")</f>
        <v>Unidad</v>
      </c>
      <c r="D1750" s="25">
        <v>30</v>
      </c>
      <c r="E1750" s="28">
        <v>3000</v>
      </c>
      <c r="F1750" s="27">
        <f t="shared" ca="1" si="58"/>
        <v>90000</v>
      </c>
    </row>
    <row r="1751" spans="1:10" ht="14.25" customHeight="1" x14ac:dyDescent="0.25">
      <c r="A1751" s="25" t="s">
        <v>428</v>
      </c>
      <c r="B1751" s="26" t="str">
        <f ca="1">IFERROR(INDEX(UNSPSCDes,MATCH(INDIRECT(ADDRESS(ROW(),COLUMN()-1,4)),UNSPSCCode,0)),IF(INDIRECT(ADDRESS(ROW(),COLUMN()-1,4))="39101603","Lámparas solares",""))</f>
        <v>Lámparas solares</v>
      </c>
      <c r="C1751" s="58" t="str">
        <f>IFERROR(VLOOKUP("UD",'Informacion '!P:Q,2,FALSE),"")</f>
        <v>Unidad</v>
      </c>
      <c r="D1751" s="25">
        <v>30</v>
      </c>
      <c r="E1751" s="28">
        <v>2000</v>
      </c>
      <c r="F1751" s="27">
        <f t="shared" ca="1" si="58"/>
        <v>60000</v>
      </c>
    </row>
    <row r="1752" spans="1:10" ht="14.25" customHeight="1" x14ac:dyDescent="0.25">
      <c r="A1752" s="25" t="s">
        <v>1133</v>
      </c>
      <c r="B1752" s="26" t="str">
        <f ca="1">IFERROR(INDEX(UNSPSCDes,MATCH(INDIRECT(ADDRESS(ROW(),COLUMN()-1,4)),UNSPSCCode,0)),IF(INDIRECT(ADDRESS(ROW(),COLUMN()-1,4))="31231302","Tubería de cobre",""))</f>
        <v>Tubería de cobre</v>
      </c>
      <c r="C1752" s="58" t="str">
        <f>IFERROR(VLOOKUP("UD",'Informacion '!P:Q,2,FALSE),"")</f>
        <v>Unidad</v>
      </c>
      <c r="D1752" s="25">
        <v>5</v>
      </c>
      <c r="E1752" s="28">
        <v>75</v>
      </c>
      <c r="F1752" s="27">
        <f t="shared" ca="1" si="58"/>
        <v>375</v>
      </c>
    </row>
    <row r="1753" spans="1:10" ht="14.25" customHeight="1" x14ac:dyDescent="0.25">
      <c r="A1753" s="25" t="s">
        <v>1133</v>
      </c>
      <c r="B1753" s="26" t="str">
        <f ca="1">IFERROR(INDEX(UNSPSCDes,MATCH(INDIRECT(ADDRESS(ROW(),COLUMN()-1,4)),UNSPSCCode,0)),IF(INDIRECT(ADDRESS(ROW(),COLUMN()-1,4))="31231302","Tubería de cobre",""))</f>
        <v>Tubería de cobre</v>
      </c>
      <c r="C1753" s="58" t="str">
        <f>IFERROR(VLOOKUP("UD",'Informacion '!P:Q,2,FALSE),"")</f>
        <v>Unidad</v>
      </c>
      <c r="D1753" s="25">
        <v>5</v>
      </c>
      <c r="E1753" s="28">
        <v>250</v>
      </c>
      <c r="F1753" s="27">
        <f t="shared" ca="1" si="58"/>
        <v>1250</v>
      </c>
    </row>
    <row r="1754" spans="1:10" ht="14.25" customHeight="1" x14ac:dyDescent="0.25">
      <c r="A1754" s="25" t="s">
        <v>1133</v>
      </c>
      <c r="B1754" s="26" t="str">
        <f ca="1">IFERROR(INDEX(UNSPSCDes,MATCH(INDIRECT(ADDRESS(ROW(),COLUMN()-1,4)),UNSPSCCode,0)),IF(INDIRECT(ADDRESS(ROW(),COLUMN()-1,4))="31231302","Tubería de cobre",""))</f>
        <v>Tubería de cobre</v>
      </c>
      <c r="C1754" s="58" t="str">
        <f>IFERROR(VLOOKUP("UD",'Informacion '!P:Q,2,FALSE),"")</f>
        <v>Unidad</v>
      </c>
      <c r="D1754" s="25">
        <v>3</v>
      </c>
      <c r="E1754" s="28">
        <v>200</v>
      </c>
      <c r="F1754" s="27">
        <f t="shared" ca="1" si="58"/>
        <v>600</v>
      </c>
    </row>
    <row r="1755" spans="1:10" ht="14.25" customHeight="1" x14ac:dyDescent="0.25">
      <c r="A1755" s="25" t="s">
        <v>1133</v>
      </c>
      <c r="B1755" s="26" t="str">
        <f ca="1">IFERROR(INDEX(UNSPSCDes,MATCH(INDIRECT(ADDRESS(ROW(),COLUMN()-1,4)),UNSPSCCode,0)),IF(INDIRECT(ADDRESS(ROW(),COLUMN()-1,4))="31231302","Tubería de cobre",""))</f>
        <v>Tubería de cobre</v>
      </c>
      <c r="C1755" s="58" t="str">
        <f>IFERROR(VLOOKUP("UD",'Informacion '!P:Q,2,FALSE),"")</f>
        <v>Unidad</v>
      </c>
      <c r="D1755" s="25">
        <v>3</v>
      </c>
      <c r="E1755" s="28">
        <v>175</v>
      </c>
      <c r="F1755" s="27">
        <f t="shared" ca="1" si="58"/>
        <v>525</v>
      </c>
    </row>
    <row r="1756" spans="1:10" ht="14.25" customHeight="1" x14ac:dyDescent="0.25">
      <c r="E1756" s="30" t="s">
        <v>816</v>
      </c>
      <c r="F1756" s="31">
        <f ca="1">SUM(Table85[MONTO TOTAL ESTIMADO])</f>
        <v>1052455.8500000001</v>
      </c>
      <c r="H1756" s="21" t="str">
        <f>C1690</f>
        <v>Bienes</v>
      </c>
      <c r="I1756" s="21" t="str">
        <f>E1690</f>
        <v>Sí</v>
      </c>
      <c r="J1756" s="21" t="str">
        <f>D1690</f>
        <v>Compras Menores</v>
      </c>
    </row>
    <row r="1758" spans="1:10" ht="33.950000000000003" customHeight="1" x14ac:dyDescent="0.25">
      <c r="A1758" s="22" t="s">
        <v>1051</v>
      </c>
      <c r="B1758" s="22" t="s">
        <v>11</v>
      </c>
      <c r="C1758" s="22" t="s">
        <v>751</v>
      </c>
      <c r="D1758" s="22" t="s">
        <v>930</v>
      </c>
      <c r="E1758" s="22" t="s">
        <v>699</v>
      </c>
      <c r="F1758" s="22" t="s">
        <v>710</v>
      </c>
    </row>
    <row r="1759" spans="1:10" ht="14.25" customHeight="1" x14ac:dyDescent="0.25">
      <c r="A1759" s="23" t="s">
        <v>491</v>
      </c>
      <c r="B1759" s="23" t="s">
        <v>491</v>
      </c>
      <c r="C1759" s="23" t="s">
        <v>1155</v>
      </c>
      <c r="D1759" s="23" t="s">
        <v>116</v>
      </c>
      <c r="E1759" s="23" t="s">
        <v>561</v>
      </c>
      <c r="F1759" s="23" t="s">
        <v>436</v>
      </c>
    </row>
    <row r="1760" spans="1:10" ht="14.25" customHeight="1" x14ac:dyDescent="0.25">
      <c r="A1760" s="68" t="s">
        <v>965</v>
      </c>
      <c r="B1760" s="24" t="s">
        <v>543</v>
      </c>
      <c r="C1760" s="54">
        <v>46164</v>
      </c>
      <c r="D1760" s="68" t="s">
        <v>598</v>
      </c>
      <c r="E1760" s="56" t="s">
        <v>858</v>
      </c>
      <c r="F1760" s="57" t="s">
        <v>184</v>
      </c>
    </row>
    <row r="1761" spans="1:6" ht="14.25" customHeight="1" x14ac:dyDescent="0.25">
      <c r="A1761" s="69"/>
      <c r="B1761" s="24" t="s">
        <v>112</v>
      </c>
      <c r="C1761" s="55">
        <f>IF(C1760="","",IF(AND(MONTH(C1760)&gt;=1,MONTH(C1760)&lt;=3),1,IF(AND(MONTH(C1760)&gt;=4,MONTH(C1760)&lt;=6),2,IF(AND(MONTH(C1760)&gt;=7,MONTH(C1760)&lt;=9),3,4))))</f>
        <v>2</v>
      </c>
      <c r="D1761" s="69"/>
      <c r="E1761" s="56" t="s">
        <v>143</v>
      </c>
      <c r="F1761" s="57"/>
    </row>
    <row r="1762" spans="1:6" ht="14.25" customHeight="1" x14ac:dyDescent="0.25">
      <c r="A1762" s="69"/>
      <c r="B1762" s="24" t="s">
        <v>844</v>
      </c>
      <c r="C1762" s="54">
        <v>46203</v>
      </c>
      <c r="D1762" s="69"/>
      <c r="E1762" s="56" t="s">
        <v>183</v>
      </c>
      <c r="F1762" s="57"/>
    </row>
    <row r="1763" spans="1:6" ht="14.25" customHeight="1" x14ac:dyDescent="0.25">
      <c r="A1763" s="69"/>
      <c r="B1763" s="24" t="s">
        <v>112</v>
      </c>
      <c r="C1763" s="55">
        <f>IF(C1762="","",IF(AND(MONTH(C1762)&gt;=1,MONTH(C1762)&lt;=3),1,IF(AND(MONTH(C1762)&gt;=4,MONTH(C1762)&lt;=6),2,IF(AND(MONTH(C1762)&gt;=7,MONTH(C1762)&lt;=9),3,4))))</f>
        <v>2</v>
      </c>
      <c r="D1763" s="69"/>
      <c r="E1763" s="56" t="s">
        <v>865</v>
      </c>
      <c r="F1763" s="57"/>
    </row>
    <row r="1765" spans="1:6" ht="14.25" customHeight="1" x14ac:dyDescent="0.25">
      <c r="A1765" s="29" t="s">
        <v>1017</v>
      </c>
      <c r="B1765" s="29" t="s">
        <v>1042</v>
      </c>
      <c r="C1765" s="29" t="s">
        <v>1011</v>
      </c>
      <c r="D1765" s="29" t="s">
        <v>985</v>
      </c>
      <c r="E1765" s="29" t="s">
        <v>449</v>
      </c>
      <c r="F1765" s="29" t="s">
        <v>989</v>
      </c>
    </row>
    <row r="1766" spans="1:6" ht="14.25" customHeight="1" x14ac:dyDescent="0.25">
      <c r="A1766" s="25" t="s">
        <v>1072</v>
      </c>
      <c r="B1766" s="26" t="str">
        <f ca="1">IFERROR(INDEX(UNSPSCDes,MATCH(INDIRECT(ADDRESS(ROW(),COLUMN()-1,4)),UNSPSCCode,0)),IF(INDIRECT(ADDRESS(ROW(),COLUMN()-1,4))="39121402","Enchufes eléctricos",""))</f>
        <v>Enchufes eléctricos</v>
      </c>
      <c r="C1766" s="58" t="str">
        <f>IFERROR(VLOOKUP("UD",'Informacion '!P:Q,2,FALSE),"")</f>
        <v>Unidad</v>
      </c>
      <c r="D1766" s="25">
        <v>30</v>
      </c>
      <c r="E1766" s="28">
        <v>240.53</v>
      </c>
      <c r="F1766" s="27">
        <f t="shared" ref="F1766:F1798" ca="1" si="59">INDIRECT(ADDRESS(ROW(),COLUMN()-2,4))*INDIRECT(ADDRESS(ROW(),COLUMN()-1,4))</f>
        <v>7215.9</v>
      </c>
    </row>
    <row r="1767" spans="1:6" ht="14.25" customHeight="1" x14ac:dyDescent="0.25">
      <c r="A1767" s="25" t="s">
        <v>909</v>
      </c>
      <c r="B1767" s="26" t="str">
        <f ca="1">IFERROR(INDEX(UNSPSCDes,MATCH(INDIRECT(ADDRESS(ROW(),COLUMN()-1,4)),UNSPSCCode,0)),IF(INDIRECT(ADDRESS(ROW(),COLUMN()-1,4))="39121434","Conectores de tubos metálicos eléctricos (emt)",""))</f>
        <v>Conectores de tubos metálicos eléctricos (emt)</v>
      </c>
      <c r="C1767" s="58" t="str">
        <f>IFERROR(VLOOKUP("UD",'Informacion '!P:Q,2,FALSE),"")</f>
        <v>Unidad</v>
      </c>
      <c r="D1767" s="25">
        <v>30</v>
      </c>
      <c r="E1767" s="28">
        <v>56.13</v>
      </c>
      <c r="F1767" s="27">
        <f t="shared" ca="1" si="59"/>
        <v>1683.9</v>
      </c>
    </row>
    <row r="1768" spans="1:6" ht="14.25" customHeight="1" x14ac:dyDescent="0.25">
      <c r="A1768" s="25" t="s">
        <v>635</v>
      </c>
      <c r="B1768" s="26" t="str">
        <f t="shared" ref="B1768:B1773" ca="1" si="60">IFERROR(INDEX(UNSPSCDes,MATCH(INDIRECT(ADDRESS(ROW(),COLUMN()-1,4)),UNSPSCCode,0)),IF(INDIRECT(ADDRESS(ROW(),COLUMN()-1,4))="39121601","Breakers de circuito",""))</f>
        <v>Breakers de circuito</v>
      </c>
      <c r="C1768" s="58" t="str">
        <f>IFERROR(VLOOKUP("UD",'Informacion '!P:Q,2,FALSE),"")</f>
        <v>Unidad</v>
      </c>
      <c r="D1768" s="25">
        <v>10</v>
      </c>
      <c r="E1768" s="28">
        <v>307.69</v>
      </c>
      <c r="F1768" s="27">
        <f t="shared" ca="1" si="59"/>
        <v>3076.9</v>
      </c>
    </row>
    <row r="1769" spans="1:6" ht="14.25" customHeight="1" x14ac:dyDescent="0.25">
      <c r="A1769" s="25" t="s">
        <v>635</v>
      </c>
      <c r="B1769" s="26" t="str">
        <f t="shared" ca="1" si="60"/>
        <v>Breakers de circuito</v>
      </c>
      <c r="C1769" s="58" t="str">
        <f>IFERROR(VLOOKUP("UD",'Informacion '!P:Q,2,FALSE),"")</f>
        <v>Unidad</v>
      </c>
      <c r="D1769" s="25">
        <v>20</v>
      </c>
      <c r="E1769" s="28">
        <v>2052.48</v>
      </c>
      <c r="F1769" s="27">
        <f t="shared" ca="1" si="59"/>
        <v>41049.599999999999</v>
      </c>
    </row>
    <row r="1770" spans="1:6" ht="14.25" customHeight="1" x14ac:dyDescent="0.25">
      <c r="A1770" s="25" t="s">
        <v>635</v>
      </c>
      <c r="B1770" s="26" t="str">
        <f t="shared" ca="1" si="60"/>
        <v>Breakers de circuito</v>
      </c>
      <c r="C1770" s="58" t="str">
        <f>IFERROR(VLOOKUP("UD",'Informacion '!P:Q,2,FALSE),"")</f>
        <v>Unidad</v>
      </c>
      <c r="D1770" s="25">
        <v>20</v>
      </c>
      <c r="E1770" s="28">
        <v>307.69</v>
      </c>
      <c r="F1770" s="27">
        <f t="shared" ca="1" si="59"/>
        <v>6153.8</v>
      </c>
    </row>
    <row r="1771" spans="1:6" ht="14.25" customHeight="1" x14ac:dyDescent="0.25">
      <c r="A1771" s="25" t="s">
        <v>635</v>
      </c>
      <c r="B1771" s="26" t="str">
        <f t="shared" ca="1" si="60"/>
        <v>Breakers de circuito</v>
      </c>
      <c r="C1771" s="58" t="str">
        <f>IFERROR(VLOOKUP("UD",'Informacion '!P:Q,2,FALSE),"")</f>
        <v>Unidad</v>
      </c>
      <c r="D1771" s="25">
        <v>15</v>
      </c>
      <c r="E1771" s="28">
        <v>435</v>
      </c>
      <c r="F1771" s="27">
        <f t="shared" ca="1" si="59"/>
        <v>6525</v>
      </c>
    </row>
    <row r="1772" spans="1:6" ht="14.25" customHeight="1" x14ac:dyDescent="0.25">
      <c r="A1772" s="25" t="s">
        <v>635</v>
      </c>
      <c r="B1772" s="26" t="str">
        <f t="shared" ca="1" si="60"/>
        <v>Breakers de circuito</v>
      </c>
      <c r="C1772" s="58" t="str">
        <f>IFERROR(VLOOKUP("UD",'Informacion '!P:Q,2,FALSE),"")</f>
        <v>Unidad</v>
      </c>
      <c r="D1772" s="25">
        <v>5</v>
      </c>
      <c r="E1772" s="28">
        <v>8102.71</v>
      </c>
      <c r="F1772" s="27">
        <f t="shared" ca="1" si="59"/>
        <v>40513.550000000003</v>
      </c>
    </row>
    <row r="1773" spans="1:6" ht="14.25" customHeight="1" x14ac:dyDescent="0.25">
      <c r="A1773" s="25" t="s">
        <v>635</v>
      </c>
      <c r="B1773" s="26" t="str">
        <f t="shared" ca="1" si="60"/>
        <v>Breakers de circuito</v>
      </c>
      <c r="C1773" s="58" t="str">
        <f>IFERROR(VLOOKUP("UD",'Informacion '!P:Q,2,FALSE),"")</f>
        <v>Unidad</v>
      </c>
      <c r="D1773" s="25">
        <v>10</v>
      </c>
      <c r="E1773" s="28">
        <v>1357.92</v>
      </c>
      <c r="F1773" s="27">
        <f t="shared" ca="1" si="59"/>
        <v>13579.2</v>
      </c>
    </row>
    <row r="1774" spans="1:6" ht="14.25" customHeight="1" x14ac:dyDescent="0.25">
      <c r="A1774" s="25" t="s">
        <v>909</v>
      </c>
      <c r="B1774" s="26" t="str">
        <f ca="1">IFERROR(INDEX(UNSPSCDes,MATCH(INDIRECT(ADDRESS(ROW(),COLUMN()-1,4)),UNSPSCCode,0)),IF(INDIRECT(ADDRESS(ROW(),COLUMN()-1,4))="39121434","Conectores de tubos metálicos eléctricos (emt)",""))</f>
        <v>Conectores de tubos metálicos eléctricos (emt)</v>
      </c>
      <c r="C1774" s="58" t="str">
        <f>IFERROR(VLOOKUP("UD",'Informacion '!P:Q,2,FALSE),"")</f>
        <v>Unidad</v>
      </c>
      <c r="D1774" s="25">
        <v>30</v>
      </c>
      <c r="E1774" s="28">
        <v>397.58</v>
      </c>
      <c r="F1774" s="27">
        <f t="shared" ca="1" si="59"/>
        <v>11927.4</v>
      </c>
    </row>
    <row r="1775" spans="1:6" ht="14.25" customHeight="1" x14ac:dyDescent="0.25">
      <c r="A1775" s="25" t="s">
        <v>909</v>
      </c>
      <c r="B1775" s="26" t="str">
        <f ca="1">IFERROR(INDEX(UNSPSCDes,MATCH(INDIRECT(ADDRESS(ROW(),COLUMN()-1,4)),UNSPSCCode,0)),IF(INDIRECT(ADDRESS(ROW(),COLUMN()-1,4))="39121434","Conectores de tubos metálicos eléctricos (emt)",""))</f>
        <v>Conectores de tubos metálicos eléctricos (emt)</v>
      </c>
      <c r="C1775" s="58" t="str">
        <f>IFERROR(VLOOKUP("UD",'Informacion '!P:Q,2,FALSE),"")</f>
        <v>Unidad</v>
      </c>
      <c r="D1775" s="25">
        <v>30</v>
      </c>
      <c r="E1775" s="28">
        <v>116.95</v>
      </c>
      <c r="F1775" s="27">
        <f t="shared" ca="1" si="59"/>
        <v>3508.5</v>
      </c>
    </row>
    <row r="1776" spans="1:6" ht="14.25" customHeight="1" x14ac:dyDescent="0.25">
      <c r="A1776" s="25" t="s">
        <v>909</v>
      </c>
      <c r="B1776" s="26" t="str">
        <f ca="1">IFERROR(INDEX(UNSPSCDes,MATCH(INDIRECT(ADDRESS(ROW(),COLUMN()-1,4)),UNSPSCCode,0)),IF(INDIRECT(ADDRESS(ROW(),COLUMN()-1,4))="39121434","Conectores de tubos metálicos eléctricos (emt)",""))</f>
        <v>Conectores de tubos metálicos eléctricos (emt)</v>
      </c>
      <c r="C1776" s="58" t="str">
        <f>IFERROR(VLOOKUP("UD",'Informacion '!P:Q,2,FALSE),"")</f>
        <v>Unidad</v>
      </c>
      <c r="D1776" s="25">
        <v>30</v>
      </c>
      <c r="E1776" s="28">
        <v>166.89</v>
      </c>
      <c r="F1776" s="27">
        <f t="shared" ca="1" si="59"/>
        <v>5006.7</v>
      </c>
    </row>
    <row r="1777" spans="1:6" ht="14.25" customHeight="1" x14ac:dyDescent="0.25">
      <c r="A1777" s="25" t="s">
        <v>158</v>
      </c>
      <c r="B1777" s="26" t="str">
        <f ca="1">IFERROR(INDEX(UNSPSCDes,MATCH(INDIRECT(ADDRESS(ROW(),COLUMN()-1,4)),UNSPSCCode,0)),IF(INDIRECT(ADDRESS(ROW(),COLUMN()-1,4))="39121529","Contactores",""))</f>
        <v>Contactores</v>
      </c>
      <c r="C1777" s="58" t="str">
        <f>IFERROR(VLOOKUP("UD",'Informacion '!P:Q,2,FALSE),"")</f>
        <v>Unidad</v>
      </c>
      <c r="D1777" s="25">
        <v>10</v>
      </c>
      <c r="E1777" s="28">
        <v>495</v>
      </c>
      <c r="F1777" s="27">
        <f t="shared" ca="1" si="59"/>
        <v>4950</v>
      </c>
    </row>
    <row r="1778" spans="1:6" ht="14.25" customHeight="1" x14ac:dyDescent="0.25">
      <c r="A1778" s="25" t="s">
        <v>158</v>
      </c>
      <c r="B1778" s="26" t="str">
        <f ca="1">IFERROR(INDEX(UNSPSCDes,MATCH(INDIRECT(ADDRESS(ROW(),COLUMN()-1,4)),UNSPSCCode,0)),IF(INDIRECT(ADDRESS(ROW(),COLUMN()-1,4))="39121529","Contactores",""))</f>
        <v>Contactores</v>
      </c>
      <c r="C1778" s="58" t="str">
        <f>IFERROR(VLOOKUP("UD",'Informacion '!P:Q,2,FALSE),"")</f>
        <v>Unidad</v>
      </c>
      <c r="D1778" s="25">
        <v>30</v>
      </c>
      <c r="E1778" s="28">
        <v>495</v>
      </c>
      <c r="F1778" s="27">
        <f t="shared" ca="1" si="59"/>
        <v>14850</v>
      </c>
    </row>
    <row r="1779" spans="1:6" ht="14.25" customHeight="1" x14ac:dyDescent="0.25">
      <c r="A1779" s="25" t="s">
        <v>158</v>
      </c>
      <c r="B1779" s="26" t="str">
        <f ca="1">IFERROR(INDEX(UNSPSCDes,MATCH(INDIRECT(ADDRESS(ROW(),COLUMN()-1,4)),UNSPSCCode,0)),IF(INDIRECT(ADDRESS(ROW(),COLUMN()-1,4))="39121529","Contactores",""))</f>
        <v>Contactores</v>
      </c>
      <c r="C1779" s="58" t="str">
        <f>IFERROR(VLOOKUP("UD",'Informacion '!P:Q,2,FALSE),"")</f>
        <v>Unidad</v>
      </c>
      <c r="D1779" s="25">
        <v>30</v>
      </c>
      <c r="E1779" s="28">
        <v>650</v>
      </c>
      <c r="F1779" s="27">
        <f t="shared" ca="1" si="59"/>
        <v>19500</v>
      </c>
    </row>
    <row r="1780" spans="1:6" ht="14.25" customHeight="1" x14ac:dyDescent="0.25">
      <c r="A1780" s="25" t="s">
        <v>428</v>
      </c>
      <c r="B1780" s="26" t="str">
        <f ca="1">IFERROR(INDEX(UNSPSCDes,MATCH(INDIRECT(ADDRESS(ROW(),COLUMN()-1,4)),UNSPSCCode,0)),IF(INDIRECT(ADDRESS(ROW(),COLUMN()-1,4))="39101603","Lámparas solares",""))</f>
        <v>Lámparas solares</v>
      </c>
      <c r="C1780" s="58" t="str">
        <f>IFERROR(VLOOKUP("UD",'Informacion '!P:Q,2,FALSE),"")</f>
        <v>Unidad</v>
      </c>
      <c r="D1780" s="25">
        <v>20</v>
      </c>
      <c r="E1780" s="28">
        <v>312.45999999999998</v>
      </c>
      <c r="F1780" s="27">
        <f t="shared" ca="1" si="59"/>
        <v>6249.2</v>
      </c>
    </row>
    <row r="1781" spans="1:6" ht="14.25" customHeight="1" x14ac:dyDescent="0.25">
      <c r="A1781" s="25" t="s">
        <v>635</v>
      </c>
      <c r="B1781" s="26" t="str">
        <f ca="1">IFERROR(INDEX(UNSPSCDes,MATCH(INDIRECT(ADDRESS(ROW(),COLUMN()-1,4)),UNSPSCCode,0)),IF(INDIRECT(ADDRESS(ROW(),COLUMN()-1,4))="39121601","Breakers de circuito",""))</f>
        <v>Breakers de circuito</v>
      </c>
      <c r="C1781" s="58" t="str">
        <f>IFERROR(VLOOKUP("UD",'Informacion '!P:Q,2,FALSE),"")</f>
        <v>Unidad</v>
      </c>
      <c r="D1781" s="25">
        <v>1</v>
      </c>
      <c r="E1781" s="28">
        <v>205</v>
      </c>
      <c r="F1781" s="27">
        <f t="shared" ca="1" si="59"/>
        <v>205</v>
      </c>
    </row>
    <row r="1782" spans="1:6" ht="14.25" customHeight="1" x14ac:dyDescent="0.25">
      <c r="A1782" s="25" t="s">
        <v>579</v>
      </c>
      <c r="B1782" s="26" t="str">
        <f ca="1">IFERROR(INDEX(UNSPSCDes,MATCH(INDIRECT(ADDRESS(ROW(),COLUMN()-1,4)),UNSPSCCode,0)),IF(INDIRECT(ADDRESS(ROW(),COLUMN()-1,4))="39121406","Receptáculos eléctricos",""))</f>
        <v>Receptáculos eléctricos</v>
      </c>
      <c r="C1782" s="58" t="str">
        <f>IFERROR(VLOOKUP("UD",'Informacion '!P:Q,2,FALSE),"")</f>
        <v>Unidad</v>
      </c>
      <c r="D1782" s="25">
        <v>10</v>
      </c>
      <c r="E1782" s="28">
        <v>186.48</v>
      </c>
      <c r="F1782" s="27">
        <f t="shared" ca="1" si="59"/>
        <v>1864.8</v>
      </c>
    </row>
    <row r="1783" spans="1:6" ht="14.25" customHeight="1" x14ac:dyDescent="0.25">
      <c r="A1783" s="25" t="s">
        <v>579</v>
      </c>
      <c r="B1783" s="26" t="str">
        <f ca="1">IFERROR(INDEX(UNSPSCDes,MATCH(INDIRECT(ADDRESS(ROW(),COLUMN()-1,4)),UNSPSCCode,0)),IF(INDIRECT(ADDRESS(ROW(),COLUMN()-1,4))="39121406","Receptáculos eléctricos",""))</f>
        <v>Receptáculos eléctricos</v>
      </c>
      <c r="C1783" s="58" t="str">
        <f>IFERROR(VLOOKUP("UD",'Informacion '!P:Q,2,FALSE),"")</f>
        <v>Unidad</v>
      </c>
      <c r="D1783" s="25">
        <v>30</v>
      </c>
      <c r="E1783" s="28">
        <v>458.42</v>
      </c>
      <c r="F1783" s="27">
        <f t="shared" ca="1" si="59"/>
        <v>13752.6</v>
      </c>
    </row>
    <row r="1784" spans="1:6" ht="14.25" customHeight="1" x14ac:dyDescent="0.25">
      <c r="A1784" s="25" t="s">
        <v>428</v>
      </c>
      <c r="B1784" s="26" t="str">
        <f ca="1">IFERROR(INDEX(UNSPSCDes,MATCH(INDIRECT(ADDRESS(ROW(),COLUMN()-1,4)),UNSPSCCode,0)),IF(INDIRECT(ADDRESS(ROW(),COLUMN()-1,4))="39101603","Lámparas solares",""))</f>
        <v>Lámparas solares</v>
      </c>
      <c r="C1784" s="58" t="str">
        <f>IFERROR(VLOOKUP("UD",'Informacion '!P:Q,2,FALSE),"")</f>
        <v>Unidad</v>
      </c>
      <c r="D1784" s="25">
        <v>40</v>
      </c>
      <c r="E1784" s="28">
        <v>5000</v>
      </c>
      <c r="F1784" s="27">
        <f t="shared" ca="1" si="59"/>
        <v>200000</v>
      </c>
    </row>
    <row r="1785" spans="1:6" ht="14.25" customHeight="1" x14ac:dyDescent="0.25">
      <c r="A1785" s="25" t="s">
        <v>428</v>
      </c>
      <c r="B1785" s="26" t="str">
        <f ca="1">IFERROR(INDEX(UNSPSCDes,MATCH(INDIRECT(ADDRESS(ROW(),COLUMN()-1,4)),UNSPSCCode,0)),IF(INDIRECT(ADDRESS(ROW(),COLUMN()-1,4))="39101603","Lámparas solares",""))</f>
        <v>Lámparas solares</v>
      </c>
      <c r="C1785" s="58" t="str">
        <f>IFERROR(VLOOKUP("UD",'Informacion '!P:Q,2,FALSE),"")</f>
        <v>Unidad</v>
      </c>
      <c r="D1785" s="25">
        <v>20</v>
      </c>
      <c r="E1785" s="28">
        <v>5000</v>
      </c>
      <c r="F1785" s="27">
        <f t="shared" ca="1" si="59"/>
        <v>100000</v>
      </c>
    </row>
    <row r="1786" spans="1:6" ht="14.25" customHeight="1" x14ac:dyDescent="0.25">
      <c r="A1786" s="25" t="s">
        <v>428</v>
      </c>
      <c r="B1786" s="26" t="str">
        <f ca="1">IFERROR(INDEX(UNSPSCDes,MATCH(INDIRECT(ADDRESS(ROW(),COLUMN()-1,4)),UNSPSCCode,0)),IF(INDIRECT(ADDRESS(ROW(),COLUMN()-1,4))="39101603","Lámparas solares",""))</f>
        <v>Lámparas solares</v>
      </c>
      <c r="C1786" s="58" t="str">
        <f>IFERROR(VLOOKUP("UD",'Informacion '!P:Q,2,FALSE),"")</f>
        <v>Unidad</v>
      </c>
      <c r="D1786" s="25">
        <v>40</v>
      </c>
      <c r="E1786" s="28">
        <v>4000</v>
      </c>
      <c r="F1786" s="27">
        <f t="shared" ca="1" si="59"/>
        <v>160000</v>
      </c>
    </row>
    <row r="1787" spans="1:6" ht="14.25" customHeight="1" x14ac:dyDescent="0.25">
      <c r="A1787" s="25" t="s">
        <v>786</v>
      </c>
      <c r="B1787" s="26" t="str">
        <f ca="1">IFERROR(INDEX(UNSPSCDes,MATCH(INDIRECT(ADDRESS(ROW(),COLUMN()-1,4)),UNSPSCCode,0)),IF(INDIRECT(ADDRESS(ROW(),COLUMN()-1,4))="39101605","Lámparas fluorescentes",""))</f>
        <v>Lámparas fluorescentes</v>
      </c>
      <c r="C1787" s="58" t="str">
        <f>IFERROR(VLOOKUP("UD",'Informacion '!P:Q,2,FALSE),"")</f>
        <v>Unidad</v>
      </c>
      <c r="D1787" s="25">
        <v>50</v>
      </c>
      <c r="E1787" s="28">
        <v>2132.77</v>
      </c>
      <c r="F1787" s="27">
        <f t="shared" ca="1" si="59"/>
        <v>106638.5</v>
      </c>
    </row>
    <row r="1788" spans="1:6" ht="14.25" customHeight="1" x14ac:dyDescent="0.25">
      <c r="A1788" s="25" t="s">
        <v>428</v>
      </c>
      <c r="B1788" s="26" t="str">
        <f ca="1">IFERROR(INDEX(UNSPSCDes,MATCH(INDIRECT(ADDRESS(ROW(),COLUMN()-1,4)),UNSPSCCode,0)),IF(INDIRECT(ADDRESS(ROW(),COLUMN()-1,4))="39101603","Lámparas solares",""))</f>
        <v>Lámparas solares</v>
      </c>
      <c r="C1788" s="58" t="str">
        <f>IFERROR(VLOOKUP("UD",'Informacion '!P:Q,2,FALSE),"")</f>
        <v>Unidad</v>
      </c>
      <c r="D1788" s="25">
        <v>50</v>
      </c>
      <c r="E1788" s="28">
        <v>1300</v>
      </c>
      <c r="F1788" s="27">
        <f t="shared" ca="1" si="59"/>
        <v>65000</v>
      </c>
    </row>
    <row r="1789" spans="1:6" ht="14.25" customHeight="1" x14ac:dyDescent="0.25">
      <c r="A1789" s="25" t="s">
        <v>786</v>
      </c>
      <c r="B1789" s="26" t="str">
        <f ca="1">IFERROR(INDEX(UNSPSCDes,MATCH(INDIRECT(ADDRESS(ROW(),COLUMN()-1,4)),UNSPSCCode,0)),IF(INDIRECT(ADDRESS(ROW(),COLUMN()-1,4))="39101605","Lámparas fluorescentes",""))</f>
        <v>Lámparas fluorescentes</v>
      </c>
      <c r="C1789" s="58" t="str">
        <f>IFERROR(VLOOKUP("UD",'Informacion '!P:Q,2,FALSE),"")</f>
        <v>Unidad</v>
      </c>
      <c r="D1789" s="25">
        <v>30</v>
      </c>
      <c r="E1789" s="28">
        <v>594.83000000000004</v>
      </c>
      <c r="F1789" s="27">
        <f t="shared" ca="1" si="59"/>
        <v>17844.900000000001</v>
      </c>
    </row>
    <row r="1790" spans="1:6" ht="14.25" customHeight="1" x14ac:dyDescent="0.25">
      <c r="A1790" s="25" t="s">
        <v>1072</v>
      </c>
      <c r="B1790" s="26" t="str">
        <f ca="1">IFERROR(INDEX(UNSPSCDes,MATCH(INDIRECT(ADDRESS(ROW(),COLUMN()-1,4)),UNSPSCCode,0)),IF(INDIRECT(ADDRESS(ROW(),COLUMN()-1,4))="39121402","Enchufes eléctricos",""))</f>
        <v>Enchufes eléctricos</v>
      </c>
      <c r="C1790" s="58" t="str">
        <f>IFERROR(VLOOKUP("UD",'Informacion '!P:Q,2,FALSE),"")</f>
        <v>Unidad</v>
      </c>
      <c r="D1790" s="25">
        <v>20</v>
      </c>
      <c r="E1790" s="28">
        <v>1300</v>
      </c>
      <c r="F1790" s="27">
        <f t="shared" ca="1" si="59"/>
        <v>26000</v>
      </c>
    </row>
    <row r="1791" spans="1:6" ht="14.25" customHeight="1" x14ac:dyDescent="0.25">
      <c r="A1791" s="25" t="s">
        <v>569</v>
      </c>
      <c r="B1791" s="26" t="str">
        <f ca="1">IFERROR(INDEX(UNSPSCDes,MATCH(INDIRECT(ADDRESS(ROW(),COLUMN()-1,4)),UNSPSCCode,0)),IF(INDIRECT(ADDRESS(ROW(),COLUMN()-1,4))="25173901","Ignición",""))</f>
        <v>Ignición</v>
      </c>
      <c r="C1791" s="58" t="str">
        <f>IFERROR(VLOOKUP("UD",'Informacion '!P:Q,2,FALSE),"")</f>
        <v>Unidad</v>
      </c>
      <c r="D1791" s="25">
        <v>2</v>
      </c>
      <c r="E1791" s="28">
        <v>3000</v>
      </c>
      <c r="F1791" s="27">
        <f t="shared" ca="1" si="59"/>
        <v>6000</v>
      </c>
    </row>
    <row r="1792" spans="1:6" ht="14.25" customHeight="1" x14ac:dyDescent="0.25">
      <c r="A1792" s="25" t="s">
        <v>569</v>
      </c>
      <c r="B1792" s="26" t="str">
        <f ca="1">IFERROR(INDEX(UNSPSCDes,MATCH(INDIRECT(ADDRESS(ROW(),COLUMN()-1,4)),UNSPSCCode,0)),IF(INDIRECT(ADDRESS(ROW(),COLUMN()-1,4))="25173901","Ignición",""))</f>
        <v>Ignición</v>
      </c>
      <c r="C1792" s="58" t="str">
        <f>IFERROR(VLOOKUP("UD",'Informacion '!P:Q,2,FALSE),"")</f>
        <v>Unidad</v>
      </c>
      <c r="D1792" s="25">
        <v>15</v>
      </c>
      <c r="E1792" s="28">
        <v>550</v>
      </c>
      <c r="F1792" s="27">
        <f t="shared" ca="1" si="59"/>
        <v>8250</v>
      </c>
    </row>
    <row r="1793" spans="1:10" ht="14.25" customHeight="1" x14ac:dyDescent="0.25">
      <c r="A1793" s="25" t="s">
        <v>1073</v>
      </c>
      <c r="B1793" s="26" t="str">
        <f ca="1">IFERROR(INDEX(UNSPSCDes,MATCH(INDIRECT(ADDRESS(ROW(),COLUMN()-1,4)),UNSPSCCode,0)),IF(INDIRECT(ADDRESS(ROW(),COLUMN()-1,4))="39121432","Terminales eléctricos",""))</f>
        <v>Terminales eléctricos</v>
      </c>
      <c r="C1793" s="58" t="str">
        <f>IFERROR(VLOOKUP("UD",'Informacion '!P:Q,2,FALSE),"")</f>
        <v>Unidad</v>
      </c>
      <c r="D1793" s="25">
        <v>200</v>
      </c>
      <c r="E1793" s="28">
        <v>5</v>
      </c>
      <c r="F1793" s="27">
        <f t="shared" ca="1" si="59"/>
        <v>1000</v>
      </c>
    </row>
    <row r="1794" spans="1:10" ht="14.25" customHeight="1" x14ac:dyDescent="0.25">
      <c r="A1794" s="25" t="s">
        <v>1133</v>
      </c>
      <c r="B1794" s="26" t="str">
        <f ca="1">IFERROR(INDEX(UNSPSCDes,MATCH(INDIRECT(ADDRESS(ROW(),COLUMN()-1,4)),UNSPSCCode,0)),IF(INDIRECT(ADDRESS(ROW(),COLUMN()-1,4))="31231302","Tubería de cobre",""))</f>
        <v>Tubería de cobre</v>
      </c>
      <c r="C1794" s="58" t="str">
        <f>IFERROR(VLOOKUP("FT",'Informacion '!P:Q,2,FALSE),"")</f>
        <v>Pie</v>
      </c>
      <c r="D1794" s="25">
        <v>200</v>
      </c>
      <c r="E1794" s="28">
        <v>125</v>
      </c>
      <c r="F1794" s="27">
        <f t="shared" ca="1" si="59"/>
        <v>25000</v>
      </c>
    </row>
    <row r="1795" spans="1:10" ht="14.25" customHeight="1" x14ac:dyDescent="0.25">
      <c r="A1795" s="25" t="s">
        <v>1133</v>
      </c>
      <c r="B1795" s="26" t="str">
        <f ca="1">IFERROR(INDEX(UNSPSCDes,MATCH(INDIRECT(ADDRESS(ROW(),COLUMN()-1,4)),UNSPSCCode,0)),IF(INDIRECT(ADDRESS(ROW(),COLUMN()-1,4))="31231302","Tubería de cobre",""))</f>
        <v>Tubería de cobre</v>
      </c>
      <c r="C1795" s="58" t="str">
        <f>IFERROR(VLOOKUP("FT",'Informacion '!P:Q,2,FALSE),"")</f>
        <v>Pie</v>
      </c>
      <c r="D1795" s="25">
        <v>100</v>
      </c>
      <c r="E1795" s="28">
        <v>70</v>
      </c>
      <c r="F1795" s="27">
        <f t="shared" ca="1" si="59"/>
        <v>7000</v>
      </c>
    </row>
    <row r="1796" spans="1:10" ht="14.25" customHeight="1" x14ac:dyDescent="0.25">
      <c r="A1796" s="25" t="s">
        <v>653</v>
      </c>
      <c r="B1796" s="26" t="str">
        <f ca="1">IFERROR(INDEX(UNSPSCDes,MATCH(INDIRECT(ADDRESS(ROW(),COLUMN()-1,4)),UNSPSCCode,0)),IF(INDIRECT(ADDRESS(ROW(),COLUMN()-1,4))="40142110","Tubería de cobre",""))</f>
        <v>Tubería de cobre</v>
      </c>
      <c r="C1796" s="58" t="str">
        <f>IFERROR(VLOOKUP("UD",'Informacion '!P:Q,2,FALSE),"")</f>
        <v>Unidad</v>
      </c>
      <c r="D1796" s="25">
        <v>10</v>
      </c>
      <c r="E1796" s="28">
        <v>147.5</v>
      </c>
      <c r="F1796" s="27">
        <f t="shared" ca="1" si="59"/>
        <v>1475</v>
      </c>
    </row>
    <row r="1797" spans="1:10" ht="14.25" customHeight="1" x14ac:dyDescent="0.25">
      <c r="A1797" s="25" t="s">
        <v>971</v>
      </c>
      <c r="B1797" s="26" t="str">
        <f ca="1">IFERROR(INDEX(UNSPSCDes,MATCH(INDIRECT(ADDRESS(ROW(),COLUMN()-1,4)),UNSPSCCode,0)),IF(INDIRECT(ADDRESS(ROW(),COLUMN()-1,4))="39101701","Tubos fluorescentes",""))</f>
        <v>Tubos fluorescentes</v>
      </c>
      <c r="C1797" s="58" t="str">
        <f>IFERROR(VLOOKUP("UD",'Informacion '!P:Q,2,FALSE),"")</f>
        <v>Unidad</v>
      </c>
      <c r="D1797" s="25">
        <v>50</v>
      </c>
      <c r="E1797" s="28">
        <v>450</v>
      </c>
      <c r="F1797" s="27">
        <f t="shared" ca="1" si="59"/>
        <v>22500</v>
      </c>
    </row>
    <row r="1798" spans="1:10" ht="14.25" customHeight="1" x14ac:dyDescent="0.25">
      <c r="A1798" s="25" t="s">
        <v>1070</v>
      </c>
      <c r="B1798" s="26" t="str">
        <f ca="1">IFERROR(INDEX(UNSPSCDes,MATCH(INDIRECT(ADDRESS(ROW(),COLUMN()-1,4)),UNSPSCCode,0)),IF(INDIRECT(ADDRESS(ROW(),COLUMN()-1,4))="39101628","Lámpara Led",""))</f>
        <v>Lámpara Led</v>
      </c>
      <c r="C1798" s="58" t="str">
        <f>IFERROR(VLOOKUP("UD",'Informacion '!P:Q,2,FALSE),"")</f>
        <v>Unidad</v>
      </c>
      <c r="D1798" s="25">
        <v>157</v>
      </c>
      <c r="E1798" s="28">
        <v>1838.13</v>
      </c>
      <c r="F1798" s="27">
        <f t="shared" ca="1" si="59"/>
        <v>288586.41000000003</v>
      </c>
    </row>
    <row r="1799" spans="1:10" ht="14.25" customHeight="1" x14ac:dyDescent="0.25">
      <c r="E1799" s="30" t="s">
        <v>816</v>
      </c>
      <c r="F1799" s="31">
        <f ca="1">SUM(Table86[MONTO TOTAL ESTIMADO])</f>
        <v>1236906.8600000001</v>
      </c>
      <c r="H1799" s="21" t="str">
        <f>C1759</f>
        <v>Bienes</v>
      </c>
      <c r="I1799" s="21" t="str">
        <f>E1759</f>
        <v>Sí</v>
      </c>
      <c r="J1799" s="21" t="str">
        <f>D1759</f>
        <v>Comparacion de Precios</v>
      </c>
    </row>
    <row r="1801" spans="1:10" ht="33.950000000000003" customHeight="1" x14ac:dyDescent="0.25">
      <c r="A1801" s="22" t="s">
        <v>1051</v>
      </c>
      <c r="B1801" s="22" t="s">
        <v>11</v>
      </c>
      <c r="C1801" s="22" t="s">
        <v>751</v>
      </c>
      <c r="D1801" s="22" t="s">
        <v>930</v>
      </c>
      <c r="E1801" s="22" t="s">
        <v>699</v>
      </c>
      <c r="F1801" s="22" t="s">
        <v>710</v>
      </c>
    </row>
    <row r="1802" spans="1:10" ht="14.25" customHeight="1" x14ac:dyDescent="0.25">
      <c r="A1802" s="23" t="s">
        <v>1055</v>
      </c>
      <c r="B1802" s="23" t="s">
        <v>1055</v>
      </c>
      <c r="C1802" s="23" t="s">
        <v>1155</v>
      </c>
      <c r="D1802" s="23" t="s">
        <v>1128</v>
      </c>
      <c r="E1802" s="23" t="s">
        <v>1156</v>
      </c>
      <c r="F1802" s="23" t="s">
        <v>436</v>
      </c>
    </row>
    <row r="1803" spans="1:10" ht="14.25" customHeight="1" x14ac:dyDescent="0.25">
      <c r="A1803" s="68" t="s">
        <v>965</v>
      </c>
      <c r="B1803" s="24" t="s">
        <v>543</v>
      </c>
      <c r="C1803" s="54">
        <v>46143</v>
      </c>
      <c r="D1803" s="68" t="s">
        <v>598</v>
      </c>
      <c r="E1803" s="56" t="s">
        <v>858</v>
      </c>
      <c r="F1803" s="57" t="s">
        <v>184</v>
      </c>
    </row>
    <row r="1804" spans="1:10" ht="14.25" customHeight="1" x14ac:dyDescent="0.25">
      <c r="A1804" s="69"/>
      <c r="B1804" s="24" t="s">
        <v>112</v>
      </c>
      <c r="C1804" s="55">
        <f>IF(C1803="","",IF(AND(MONTH(C1803)&gt;=1,MONTH(C1803)&lt;=3),1,IF(AND(MONTH(C1803)&gt;=4,MONTH(C1803)&lt;=6),2,IF(AND(MONTH(C1803)&gt;=7,MONTH(C1803)&lt;=9),3,4))))</f>
        <v>2</v>
      </c>
      <c r="D1804" s="69"/>
      <c r="E1804" s="56" t="s">
        <v>143</v>
      </c>
      <c r="F1804" s="57"/>
    </row>
    <row r="1805" spans="1:10" ht="14.25" customHeight="1" x14ac:dyDescent="0.25">
      <c r="A1805" s="69"/>
      <c r="B1805" s="24" t="s">
        <v>844</v>
      </c>
      <c r="C1805" s="54">
        <v>46181</v>
      </c>
      <c r="D1805" s="69"/>
      <c r="E1805" s="56" t="s">
        <v>183</v>
      </c>
      <c r="F1805" s="57"/>
    </row>
    <row r="1806" spans="1:10" ht="14.25" customHeight="1" x14ac:dyDescent="0.25">
      <c r="A1806" s="69"/>
      <c r="B1806" s="24" t="s">
        <v>112</v>
      </c>
      <c r="C1806" s="55">
        <f>IF(C1805="","",IF(AND(MONTH(C1805)&gt;=1,MONTH(C1805)&lt;=3),1,IF(AND(MONTH(C1805)&gt;=4,MONTH(C1805)&lt;=6),2,IF(AND(MONTH(C1805)&gt;=7,MONTH(C1805)&lt;=9),3,4))))</f>
        <v>2</v>
      </c>
      <c r="D1806" s="69"/>
      <c r="E1806" s="56" t="s">
        <v>865</v>
      </c>
      <c r="F1806" s="57"/>
    </row>
    <row r="1808" spans="1:10" ht="14.25" customHeight="1" x14ac:dyDescent="0.25">
      <c r="A1808" s="29" t="s">
        <v>1017</v>
      </c>
      <c r="B1808" s="29" t="s">
        <v>1042</v>
      </c>
      <c r="C1808" s="29" t="s">
        <v>1011</v>
      </c>
      <c r="D1808" s="29" t="s">
        <v>985</v>
      </c>
      <c r="E1808" s="29" t="s">
        <v>449</v>
      </c>
      <c r="F1808" s="29" t="s">
        <v>989</v>
      </c>
    </row>
    <row r="1809" spans="1:6" ht="14.25" customHeight="1" x14ac:dyDescent="0.25">
      <c r="A1809" s="25" t="s">
        <v>35</v>
      </c>
      <c r="B1809" s="26" t="str">
        <f ca="1">IFERROR(INDEX(UNSPSCDes,MATCH(INDIRECT(ADDRESS(ROW(),COLUMN()-1,4)),UNSPSCCode,0)),IF(INDIRECT(ADDRESS(ROW(),COLUMN()-1,4))="46181604","Botas de seguridad",""))</f>
        <v>Botas de seguridad</v>
      </c>
      <c r="C1809" s="58" t="str">
        <f>IFERROR(VLOOKUP("UD",'Informacion '!P:Q,2,FALSE),"")</f>
        <v>Unidad</v>
      </c>
      <c r="D1809" s="25">
        <v>100</v>
      </c>
      <c r="E1809" s="28">
        <v>800</v>
      </c>
      <c r="F1809" s="27">
        <f t="shared" ref="F1809:F1824" ca="1" si="61">INDIRECT(ADDRESS(ROW(),COLUMN()-2,4))*INDIRECT(ADDRESS(ROW(),COLUMN()-1,4))</f>
        <v>80000</v>
      </c>
    </row>
    <row r="1810" spans="1:6" ht="14.25" customHeight="1" x14ac:dyDescent="0.25">
      <c r="A1810" s="25" t="s">
        <v>852</v>
      </c>
      <c r="B1810" s="26" t="str">
        <f ca="1">IFERROR(INDEX(UNSPSCDes,MATCH(INDIRECT(ADDRESS(ROW(),COLUMN()-1,4)),UNSPSCCode,0)),IF(INDIRECT(ADDRESS(ROW(),COLUMN()-1,4))="46181525","Ropa impermeable protectora o ropa para ambiente húmedo",""))</f>
        <v>Ropa impermeable protectora o ropa para ambiente húmedo</v>
      </c>
      <c r="C1810" s="58" t="str">
        <f>IFERROR(VLOOKUP("UD",'Informacion '!P:Q,2,FALSE),"")</f>
        <v>Unidad</v>
      </c>
      <c r="D1810" s="25">
        <v>100</v>
      </c>
      <c r="E1810" s="28">
        <v>1500</v>
      </c>
      <c r="F1810" s="27">
        <f t="shared" ca="1" si="61"/>
        <v>150000</v>
      </c>
    </row>
    <row r="1811" spans="1:6" ht="14.25" customHeight="1" x14ac:dyDescent="0.25">
      <c r="A1811" s="25" t="s">
        <v>1176</v>
      </c>
      <c r="B1811" s="26" t="str">
        <f t="shared" ref="B1811:B1816" ca="1" si="62">IFERROR(INDEX(UNSPSCDes,MATCH(INDIRECT(ADDRESS(ROW(),COLUMN()-1,4)),UNSPSCCode,0)),IF(INDIRECT(ADDRESS(ROW(),COLUMN()-1,4))="46181507","Chalecos de seguridad",""))</f>
        <v>Chalecos de seguridad</v>
      </c>
      <c r="C1811" s="58" t="str">
        <f>IFERROR(VLOOKUP("UD",'Informacion '!P:Q,2,FALSE),"")</f>
        <v>Unidad</v>
      </c>
      <c r="D1811" s="25">
        <v>250</v>
      </c>
      <c r="E1811" s="28">
        <v>359</v>
      </c>
      <c r="F1811" s="27">
        <f t="shared" ca="1" si="61"/>
        <v>89750</v>
      </c>
    </row>
    <row r="1812" spans="1:6" ht="14.25" customHeight="1" x14ac:dyDescent="0.25">
      <c r="A1812" s="25" t="s">
        <v>1176</v>
      </c>
      <c r="B1812" s="26" t="str">
        <f t="shared" ca="1" si="62"/>
        <v>Chalecos de seguridad</v>
      </c>
      <c r="C1812" s="58" t="str">
        <f>IFERROR(VLOOKUP("UD",'Informacion '!P:Q,2,FALSE),"")</f>
        <v>Unidad</v>
      </c>
      <c r="D1812" s="25">
        <v>250</v>
      </c>
      <c r="E1812" s="28">
        <v>359</v>
      </c>
      <c r="F1812" s="27">
        <f t="shared" ca="1" si="61"/>
        <v>89750</v>
      </c>
    </row>
    <row r="1813" spans="1:6" ht="14.25" customHeight="1" x14ac:dyDescent="0.25">
      <c r="A1813" s="25" t="s">
        <v>1176</v>
      </c>
      <c r="B1813" s="26" t="str">
        <f t="shared" ca="1" si="62"/>
        <v>Chalecos de seguridad</v>
      </c>
      <c r="C1813" s="58" t="str">
        <f>IFERROR(VLOOKUP("UD",'Informacion '!P:Q,2,FALSE),"")</f>
        <v>Unidad</v>
      </c>
      <c r="D1813" s="25">
        <v>250</v>
      </c>
      <c r="E1813" s="28">
        <v>359</v>
      </c>
      <c r="F1813" s="27">
        <f t="shared" ca="1" si="61"/>
        <v>89750</v>
      </c>
    </row>
    <row r="1814" spans="1:6" ht="14.25" customHeight="1" x14ac:dyDescent="0.25">
      <c r="A1814" s="25" t="s">
        <v>1176</v>
      </c>
      <c r="B1814" s="26" t="str">
        <f t="shared" ca="1" si="62"/>
        <v>Chalecos de seguridad</v>
      </c>
      <c r="C1814" s="58" t="str">
        <f>IFERROR(VLOOKUP("UD",'Informacion '!P:Q,2,FALSE),"")</f>
        <v>Unidad</v>
      </c>
      <c r="D1814" s="25">
        <v>250</v>
      </c>
      <c r="E1814" s="28">
        <v>359</v>
      </c>
      <c r="F1814" s="27">
        <f t="shared" ca="1" si="61"/>
        <v>89750</v>
      </c>
    </row>
    <row r="1815" spans="1:6" ht="14.25" customHeight="1" x14ac:dyDescent="0.25">
      <c r="A1815" s="25" t="s">
        <v>1176</v>
      </c>
      <c r="B1815" s="26" t="str">
        <f t="shared" ca="1" si="62"/>
        <v>Chalecos de seguridad</v>
      </c>
      <c r="C1815" s="58" t="str">
        <f>IFERROR(VLOOKUP("UD",'Informacion '!P:Q,2,FALSE),"")</f>
        <v>Unidad</v>
      </c>
      <c r="D1815" s="25">
        <v>250</v>
      </c>
      <c r="E1815" s="28">
        <v>359</v>
      </c>
      <c r="F1815" s="27">
        <f t="shared" ca="1" si="61"/>
        <v>89750</v>
      </c>
    </row>
    <row r="1816" spans="1:6" ht="14.25" customHeight="1" x14ac:dyDescent="0.25">
      <c r="A1816" s="25" t="s">
        <v>1176</v>
      </c>
      <c r="B1816" s="26" t="str">
        <f t="shared" ca="1" si="62"/>
        <v>Chalecos de seguridad</v>
      </c>
      <c r="C1816" s="58" t="str">
        <f>IFERROR(VLOOKUP("UD",'Informacion '!P:Q,2,FALSE),"")</f>
        <v>Unidad</v>
      </c>
      <c r="D1816" s="25">
        <v>250</v>
      </c>
      <c r="E1816" s="28">
        <v>359</v>
      </c>
      <c r="F1816" s="27">
        <f t="shared" ca="1" si="61"/>
        <v>89750</v>
      </c>
    </row>
    <row r="1817" spans="1:6" ht="14.25" customHeight="1" x14ac:dyDescent="0.25">
      <c r="A1817" s="25" t="s">
        <v>1162</v>
      </c>
      <c r="B1817" s="26" t="str">
        <f ca="1">IFERROR(INDEX(UNSPSCDes,MATCH(INDIRECT(ADDRESS(ROW(),COLUMN()-1,4)),UNSPSCCode,0)),IF(INDIRECT(ADDRESS(ROW(),COLUMN()-1,4))="46181701","Cascos",""))</f>
        <v>Cascos</v>
      </c>
      <c r="C1817" s="58" t="str">
        <f>IFERROR(VLOOKUP("UD",'Informacion '!P:Q,2,FALSE),"")</f>
        <v>Unidad</v>
      </c>
      <c r="D1817" s="25">
        <v>300</v>
      </c>
      <c r="E1817" s="28">
        <v>500</v>
      </c>
      <c r="F1817" s="27">
        <f t="shared" ca="1" si="61"/>
        <v>150000</v>
      </c>
    </row>
    <row r="1818" spans="1:6" ht="14.25" customHeight="1" x14ac:dyDescent="0.25">
      <c r="A1818" s="25" t="s">
        <v>1176</v>
      </c>
      <c r="B1818" s="26" t="str">
        <f t="shared" ref="B1818:B1823" ca="1" si="63">IFERROR(INDEX(UNSPSCDes,MATCH(INDIRECT(ADDRESS(ROW(),COLUMN()-1,4)),UNSPSCCode,0)),IF(INDIRECT(ADDRESS(ROW(),COLUMN()-1,4))="46181507","Chalecos de seguridad",""))</f>
        <v>Chalecos de seguridad</v>
      </c>
      <c r="C1818" s="58" t="str">
        <f>IFERROR(VLOOKUP("UD",'Informacion '!P:Q,2,FALSE),"")</f>
        <v>Unidad</v>
      </c>
      <c r="D1818" s="25">
        <v>250</v>
      </c>
      <c r="E1818" s="28">
        <v>359</v>
      </c>
      <c r="F1818" s="27">
        <f t="shared" ca="1" si="61"/>
        <v>89750</v>
      </c>
    </row>
    <row r="1819" spans="1:6" ht="14.25" customHeight="1" x14ac:dyDescent="0.25">
      <c r="A1819" s="25" t="s">
        <v>1176</v>
      </c>
      <c r="B1819" s="26" t="str">
        <f t="shared" ca="1" si="63"/>
        <v>Chalecos de seguridad</v>
      </c>
      <c r="C1819" s="58" t="str">
        <f>IFERROR(VLOOKUP("UD",'Informacion '!P:Q,2,FALSE),"")</f>
        <v>Unidad</v>
      </c>
      <c r="D1819" s="25">
        <v>250</v>
      </c>
      <c r="E1819" s="28">
        <v>359</v>
      </c>
      <c r="F1819" s="27">
        <f t="shared" ca="1" si="61"/>
        <v>89750</v>
      </c>
    </row>
    <row r="1820" spans="1:6" ht="14.25" customHeight="1" x14ac:dyDescent="0.25">
      <c r="A1820" s="25" t="s">
        <v>1176</v>
      </c>
      <c r="B1820" s="26" t="str">
        <f t="shared" ca="1" si="63"/>
        <v>Chalecos de seguridad</v>
      </c>
      <c r="C1820" s="58" t="str">
        <f>IFERROR(VLOOKUP("UD",'Informacion '!P:Q,2,FALSE),"")</f>
        <v>Unidad</v>
      </c>
      <c r="D1820" s="25">
        <v>250</v>
      </c>
      <c r="E1820" s="28">
        <v>359</v>
      </c>
      <c r="F1820" s="27">
        <f t="shared" ca="1" si="61"/>
        <v>89750</v>
      </c>
    </row>
    <row r="1821" spans="1:6" ht="14.25" customHeight="1" x14ac:dyDescent="0.25">
      <c r="A1821" s="25" t="s">
        <v>1176</v>
      </c>
      <c r="B1821" s="26" t="str">
        <f t="shared" ca="1" si="63"/>
        <v>Chalecos de seguridad</v>
      </c>
      <c r="C1821" s="58" t="str">
        <f>IFERROR(VLOOKUP("UD",'Informacion '!P:Q,2,FALSE),"")</f>
        <v>Unidad</v>
      </c>
      <c r="D1821" s="25">
        <v>250</v>
      </c>
      <c r="E1821" s="28">
        <v>359</v>
      </c>
      <c r="F1821" s="27">
        <f t="shared" ca="1" si="61"/>
        <v>89750</v>
      </c>
    </row>
    <row r="1822" spans="1:6" ht="14.25" customHeight="1" x14ac:dyDescent="0.25">
      <c r="A1822" s="25" t="s">
        <v>1176</v>
      </c>
      <c r="B1822" s="26" t="str">
        <f t="shared" ca="1" si="63"/>
        <v>Chalecos de seguridad</v>
      </c>
      <c r="C1822" s="58" t="str">
        <f>IFERROR(VLOOKUP("UD",'Informacion '!P:Q,2,FALSE),"")</f>
        <v>Unidad</v>
      </c>
      <c r="D1822" s="25">
        <v>250</v>
      </c>
      <c r="E1822" s="28">
        <v>359</v>
      </c>
      <c r="F1822" s="27">
        <f t="shared" ca="1" si="61"/>
        <v>89750</v>
      </c>
    </row>
    <row r="1823" spans="1:6" ht="14.25" customHeight="1" x14ac:dyDescent="0.25">
      <c r="A1823" s="25" t="s">
        <v>1176</v>
      </c>
      <c r="B1823" s="26" t="str">
        <f t="shared" ca="1" si="63"/>
        <v>Chalecos de seguridad</v>
      </c>
      <c r="C1823" s="58" t="str">
        <f>IFERROR(VLOOKUP("UD",'Informacion '!P:Q,2,FALSE),"")</f>
        <v>Unidad</v>
      </c>
      <c r="D1823" s="25">
        <v>250</v>
      </c>
      <c r="E1823" s="28">
        <v>359</v>
      </c>
      <c r="F1823" s="27">
        <f t="shared" ca="1" si="61"/>
        <v>89750</v>
      </c>
    </row>
    <row r="1824" spans="1:6" ht="14.25" customHeight="1" x14ac:dyDescent="0.25">
      <c r="A1824" s="25" t="s">
        <v>1162</v>
      </c>
      <c r="B1824" s="26" t="str">
        <f ca="1">IFERROR(INDEX(UNSPSCDes,MATCH(INDIRECT(ADDRESS(ROW(),COLUMN()-1,4)),UNSPSCCode,0)),IF(INDIRECT(ADDRESS(ROW(),COLUMN()-1,4))="46181701","Cascos",""))</f>
        <v>Cascos</v>
      </c>
      <c r="C1824" s="58" t="str">
        <f>IFERROR(VLOOKUP("UD",'Informacion '!P:Q,2,FALSE),"")</f>
        <v>Unidad</v>
      </c>
      <c r="D1824" s="25">
        <v>300</v>
      </c>
      <c r="E1824" s="28">
        <v>500</v>
      </c>
      <c r="F1824" s="27">
        <f t="shared" ca="1" si="61"/>
        <v>150000</v>
      </c>
    </row>
    <row r="1825" spans="1:10" ht="14.25" customHeight="1" x14ac:dyDescent="0.25">
      <c r="E1825" s="30" t="s">
        <v>816</v>
      </c>
      <c r="F1825" s="31">
        <f ca="1">SUM(Table87[MONTO TOTAL ESTIMADO])</f>
        <v>1607000</v>
      </c>
      <c r="H1825" s="21" t="str">
        <f>C1802</f>
        <v>Bienes</v>
      </c>
      <c r="I1825" s="21" t="str">
        <f>E1802</f>
        <v>No</v>
      </c>
      <c r="J1825" s="21" t="str">
        <f>D1802</f>
        <v>Compras Menores</v>
      </c>
    </row>
    <row r="1827" spans="1:10" ht="33.950000000000003" customHeight="1" x14ac:dyDescent="0.25">
      <c r="A1827" s="22" t="s">
        <v>1051</v>
      </c>
      <c r="B1827" s="22" t="s">
        <v>11</v>
      </c>
      <c r="C1827" s="22" t="s">
        <v>751</v>
      </c>
      <c r="D1827" s="22" t="s">
        <v>930</v>
      </c>
      <c r="E1827" s="22" t="s">
        <v>699</v>
      </c>
      <c r="F1827" s="22" t="s">
        <v>710</v>
      </c>
    </row>
    <row r="1828" spans="1:10" ht="14.25" customHeight="1" x14ac:dyDescent="0.25">
      <c r="A1828" s="23" t="s">
        <v>603</v>
      </c>
      <c r="B1828" s="23" t="s">
        <v>603</v>
      </c>
      <c r="C1828" s="23" t="s">
        <v>1155</v>
      </c>
      <c r="D1828" s="23" t="s">
        <v>1128</v>
      </c>
      <c r="E1828" s="23" t="s">
        <v>561</v>
      </c>
      <c r="F1828" s="23" t="s">
        <v>436</v>
      </c>
    </row>
    <row r="1829" spans="1:10" ht="14.25" customHeight="1" x14ac:dyDescent="0.25">
      <c r="A1829" s="68" t="s">
        <v>965</v>
      </c>
      <c r="B1829" s="24" t="s">
        <v>543</v>
      </c>
      <c r="C1829" s="54">
        <v>46164</v>
      </c>
      <c r="D1829" s="68" t="s">
        <v>598</v>
      </c>
      <c r="E1829" s="56" t="s">
        <v>858</v>
      </c>
      <c r="F1829" s="57" t="s">
        <v>184</v>
      </c>
    </row>
    <row r="1830" spans="1:10" ht="14.25" customHeight="1" x14ac:dyDescent="0.25">
      <c r="A1830" s="69"/>
      <c r="B1830" s="24" t="s">
        <v>112</v>
      </c>
      <c r="C1830" s="55">
        <f>IF(C1829="","",IF(AND(MONTH(C1829)&gt;=1,MONTH(C1829)&lt;=3),1,IF(AND(MONTH(C1829)&gt;=4,MONTH(C1829)&lt;=6),2,IF(AND(MONTH(C1829)&gt;=7,MONTH(C1829)&lt;=9),3,4))))</f>
        <v>2</v>
      </c>
      <c r="D1830" s="69"/>
      <c r="E1830" s="56" t="s">
        <v>143</v>
      </c>
      <c r="F1830" s="57"/>
    </row>
    <row r="1831" spans="1:10" ht="14.25" customHeight="1" x14ac:dyDescent="0.25">
      <c r="A1831" s="69"/>
      <c r="B1831" s="24" t="s">
        <v>844</v>
      </c>
      <c r="C1831" s="54">
        <v>46203</v>
      </c>
      <c r="D1831" s="69"/>
      <c r="E1831" s="56" t="s">
        <v>183</v>
      </c>
      <c r="F1831" s="57"/>
    </row>
    <row r="1832" spans="1:10" ht="14.25" customHeight="1" x14ac:dyDescent="0.25">
      <c r="A1832" s="69"/>
      <c r="B1832" s="24" t="s">
        <v>112</v>
      </c>
      <c r="C1832" s="55">
        <f>IF(C1831="","",IF(AND(MONTH(C1831)&gt;=1,MONTH(C1831)&lt;=3),1,IF(AND(MONTH(C1831)&gt;=4,MONTH(C1831)&lt;=6),2,IF(AND(MONTH(C1831)&gt;=7,MONTH(C1831)&lt;=9),3,4))))</f>
        <v>2</v>
      </c>
      <c r="D1832" s="69"/>
      <c r="E1832" s="56" t="s">
        <v>865</v>
      </c>
      <c r="F1832" s="57"/>
    </row>
    <row r="1834" spans="1:10" ht="14.25" customHeight="1" x14ac:dyDescent="0.25">
      <c r="A1834" s="29" t="s">
        <v>1017</v>
      </c>
      <c r="B1834" s="29" t="s">
        <v>1042</v>
      </c>
      <c r="C1834" s="29" t="s">
        <v>1011</v>
      </c>
      <c r="D1834" s="29" t="s">
        <v>985</v>
      </c>
      <c r="E1834" s="29" t="s">
        <v>449</v>
      </c>
      <c r="F1834" s="29" t="s">
        <v>989</v>
      </c>
    </row>
    <row r="1835" spans="1:10" ht="14.25" customHeight="1" x14ac:dyDescent="0.25">
      <c r="A1835" s="25" t="s">
        <v>651</v>
      </c>
      <c r="B1835" s="26" t="str">
        <f t="shared" ref="B1835:B1841" ca="1" si="64">IFERROR(INDEX(UNSPSCDes,MATCH(INDIRECT(ADDRESS(ROW(),COLUMN()-1,4)),UNSPSCCode,0)),IF(INDIRECT(ADDRESS(ROW(),COLUMN()-1,4))="43211711","Escáneres",""))</f>
        <v>Escáneres</v>
      </c>
      <c r="C1835" s="58" t="str">
        <f>IFERROR(VLOOKUP("UD",'Informacion '!P:Q,2,FALSE),"")</f>
        <v>Unidad</v>
      </c>
      <c r="D1835" s="25">
        <v>1</v>
      </c>
      <c r="E1835" s="28">
        <v>4000000</v>
      </c>
      <c r="F1835" s="27">
        <f t="shared" ref="F1835:F1841" ca="1" si="65">INDIRECT(ADDRESS(ROW(),COLUMN()-2,4))*INDIRECT(ADDRESS(ROW(),COLUMN()-1,4))</f>
        <v>4000000</v>
      </c>
    </row>
    <row r="1836" spans="1:10" ht="14.25" customHeight="1" x14ac:dyDescent="0.25">
      <c r="A1836" s="25" t="s">
        <v>651</v>
      </c>
      <c r="B1836" s="26" t="str">
        <f t="shared" ca="1" si="64"/>
        <v>Escáneres</v>
      </c>
      <c r="C1836" s="58" t="str">
        <f>IFERROR(VLOOKUP("UD",'Informacion '!P:Q,2,FALSE),"")</f>
        <v>Unidad</v>
      </c>
      <c r="D1836" s="25">
        <v>7</v>
      </c>
      <c r="E1836" s="28">
        <v>32000</v>
      </c>
      <c r="F1836" s="27">
        <f t="shared" ca="1" si="65"/>
        <v>224000</v>
      </c>
    </row>
    <row r="1837" spans="1:10" ht="14.25" customHeight="1" x14ac:dyDescent="0.25">
      <c r="A1837" s="25" t="s">
        <v>651</v>
      </c>
      <c r="B1837" s="26" t="str">
        <f t="shared" ca="1" si="64"/>
        <v>Escáneres</v>
      </c>
      <c r="C1837" s="58" t="str">
        <f>IFERROR(VLOOKUP("UD",'Informacion '!P:Q,2,FALSE),"")</f>
        <v>Unidad</v>
      </c>
      <c r="D1837" s="25">
        <v>4</v>
      </c>
      <c r="E1837" s="28">
        <v>40000</v>
      </c>
      <c r="F1837" s="27">
        <f t="shared" ca="1" si="65"/>
        <v>160000</v>
      </c>
    </row>
    <row r="1838" spans="1:10" ht="14.25" customHeight="1" x14ac:dyDescent="0.25">
      <c r="A1838" s="25" t="s">
        <v>651</v>
      </c>
      <c r="B1838" s="26" t="str">
        <f t="shared" ca="1" si="64"/>
        <v>Escáneres</v>
      </c>
      <c r="C1838" s="58" t="str">
        <f>IFERROR(VLOOKUP("UD",'Informacion '!P:Q,2,FALSE),"")</f>
        <v>Unidad</v>
      </c>
      <c r="D1838" s="25">
        <v>5</v>
      </c>
      <c r="E1838" s="28">
        <v>30000</v>
      </c>
      <c r="F1838" s="27">
        <f t="shared" ca="1" si="65"/>
        <v>150000</v>
      </c>
    </row>
    <row r="1839" spans="1:10" ht="14.25" customHeight="1" x14ac:dyDescent="0.25">
      <c r="A1839" s="25" t="s">
        <v>651</v>
      </c>
      <c r="B1839" s="26" t="str">
        <f t="shared" ca="1" si="64"/>
        <v>Escáneres</v>
      </c>
      <c r="C1839" s="58" t="str">
        <f>IFERROR(VLOOKUP("UD",'Informacion '!P:Q,2,FALSE),"")</f>
        <v>Unidad</v>
      </c>
      <c r="D1839" s="25">
        <v>5</v>
      </c>
      <c r="E1839" s="28">
        <v>30000</v>
      </c>
      <c r="F1839" s="27">
        <f t="shared" ca="1" si="65"/>
        <v>150000</v>
      </c>
    </row>
    <row r="1840" spans="1:10" ht="14.25" customHeight="1" x14ac:dyDescent="0.25">
      <c r="A1840" s="25" t="s">
        <v>651</v>
      </c>
      <c r="B1840" s="26" t="str">
        <f t="shared" ca="1" si="64"/>
        <v>Escáneres</v>
      </c>
      <c r="C1840" s="58" t="str">
        <f>IFERROR(VLOOKUP("UD",'Informacion '!P:Q,2,FALSE),"")</f>
        <v>Unidad</v>
      </c>
      <c r="D1840" s="25">
        <v>3</v>
      </c>
      <c r="E1840" s="28">
        <v>45000</v>
      </c>
      <c r="F1840" s="27">
        <f t="shared" ca="1" si="65"/>
        <v>135000</v>
      </c>
    </row>
    <row r="1841" spans="1:10" ht="14.25" customHeight="1" x14ac:dyDescent="0.25">
      <c r="A1841" s="25" t="s">
        <v>651</v>
      </c>
      <c r="B1841" s="26" t="str">
        <f t="shared" ca="1" si="64"/>
        <v>Escáneres</v>
      </c>
      <c r="C1841" s="58" t="str">
        <f>IFERROR(VLOOKUP("UD",'Informacion '!P:Q,2,FALSE),"")</f>
        <v>Unidad</v>
      </c>
      <c r="D1841" s="25">
        <v>3</v>
      </c>
      <c r="E1841" s="28">
        <v>32000</v>
      </c>
      <c r="F1841" s="27">
        <f t="shared" ca="1" si="65"/>
        <v>96000</v>
      </c>
    </row>
    <row r="1842" spans="1:10" ht="14.25" customHeight="1" x14ac:dyDescent="0.25">
      <c r="E1842" s="30" t="s">
        <v>816</v>
      </c>
      <c r="F1842" s="31">
        <f ca="1">SUM(Table88[MONTO TOTAL ESTIMADO])</f>
        <v>4915000</v>
      </c>
      <c r="H1842" s="21" t="str">
        <f>C1828</f>
        <v>Bienes</v>
      </c>
      <c r="I1842" s="21" t="str">
        <f>E1828</f>
        <v>Sí</v>
      </c>
      <c r="J1842" s="21" t="str">
        <f>D1828</f>
        <v>Compras Menores</v>
      </c>
    </row>
    <row r="1844" spans="1:10" ht="33.950000000000003" customHeight="1" x14ac:dyDescent="0.25">
      <c r="A1844" s="22" t="s">
        <v>1051</v>
      </c>
      <c r="B1844" s="22" t="s">
        <v>11</v>
      </c>
      <c r="C1844" s="22" t="s">
        <v>751</v>
      </c>
      <c r="D1844" s="22" t="s">
        <v>930</v>
      </c>
      <c r="E1844" s="22" t="s">
        <v>699</v>
      </c>
      <c r="F1844" s="22" t="s">
        <v>710</v>
      </c>
    </row>
    <row r="1845" spans="1:10" ht="14.25" customHeight="1" x14ac:dyDescent="0.25">
      <c r="A1845" s="23" t="s">
        <v>995</v>
      </c>
      <c r="B1845" s="23" t="s">
        <v>995</v>
      </c>
      <c r="C1845" s="23" t="s">
        <v>438</v>
      </c>
      <c r="D1845" s="23" t="s">
        <v>1128</v>
      </c>
      <c r="E1845" s="23" t="s">
        <v>1156</v>
      </c>
      <c r="F1845" s="23" t="s">
        <v>436</v>
      </c>
    </row>
    <row r="1846" spans="1:10" ht="14.25" customHeight="1" x14ac:dyDescent="0.25">
      <c r="A1846" s="68" t="s">
        <v>965</v>
      </c>
      <c r="B1846" s="24" t="s">
        <v>543</v>
      </c>
      <c r="C1846" s="54">
        <v>46167</v>
      </c>
      <c r="D1846" s="68" t="s">
        <v>598</v>
      </c>
      <c r="E1846" s="56" t="s">
        <v>858</v>
      </c>
      <c r="F1846" s="57" t="s">
        <v>184</v>
      </c>
    </row>
    <row r="1847" spans="1:10" ht="14.25" customHeight="1" x14ac:dyDescent="0.25">
      <c r="A1847" s="69"/>
      <c r="B1847" s="24" t="s">
        <v>112</v>
      </c>
      <c r="C1847" s="55">
        <f>IF(C1846="","",IF(AND(MONTH(C1846)&gt;=1,MONTH(C1846)&lt;=3),1,IF(AND(MONTH(C1846)&gt;=4,MONTH(C1846)&lt;=6),2,IF(AND(MONTH(C1846)&gt;=7,MONTH(C1846)&lt;=9),3,4))))</f>
        <v>2</v>
      </c>
      <c r="D1847" s="69"/>
      <c r="E1847" s="56" t="s">
        <v>143</v>
      </c>
      <c r="F1847" s="57"/>
    </row>
    <row r="1848" spans="1:10" ht="14.25" customHeight="1" x14ac:dyDescent="0.25">
      <c r="A1848" s="69"/>
      <c r="B1848" s="24" t="s">
        <v>844</v>
      </c>
      <c r="C1848" s="54">
        <v>46202</v>
      </c>
      <c r="D1848" s="69"/>
      <c r="E1848" s="56" t="s">
        <v>183</v>
      </c>
      <c r="F1848" s="57"/>
    </row>
    <row r="1849" spans="1:10" ht="14.25" customHeight="1" x14ac:dyDescent="0.25">
      <c r="A1849" s="69"/>
      <c r="B1849" s="24" t="s">
        <v>112</v>
      </c>
      <c r="C1849" s="55">
        <f>IF(C1848="","",IF(AND(MONTH(C1848)&gt;=1,MONTH(C1848)&lt;=3),1,IF(AND(MONTH(C1848)&gt;=4,MONTH(C1848)&lt;=6),2,IF(AND(MONTH(C1848)&gt;=7,MONTH(C1848)&lt;=9),3,4))))</f>
        <v>2</v>
      </c>
      <c r="D1849" s="69"/>
      <c r="E1849" s="56" t="s">
        <v>865</v>
      </c>
      <c r="F1849" s="57"/>
    </row>
    <row r="1851" spans="1:10" ht="14.25" customHeight="1" x14ac:dyDescent="0.25">
      <c r="A1851" s="29" t="s">
        <v>1017</v>
      </c>
      <c r="B1851" s="29" t="s">
        <v>1042</v>
      </c>
      <c r="C1851" s="29" t="s">
        <v>1011</v>
      </c>
      <c r="D1851" s="29" t="s">
        <v>985</v>
      </c>
      <c r="E1851" s="29" t="s">
        <v>449</v>
      </c>
      <c r="F1851" s="29" t="s">
        <v>989</v>
      </c>
    </row>
    <row r="1852" spans="1:10" ht="14.25" customHeight="1" x14ac:dyDescent="0.25">
      <c r="A1852" s="25" t="s">
        <v>993</v>
      </c>
      <c r="B1852" s="26" t="str">
        <f ca="1">IFERROR(INDEX(UNSPSCDes,MATCH(INDIRECT(ADDRESS(ROW(),COLUMN()-1,4)),UNSPSCCode,0)),IF(INDIRECT(ADDRESS(ROW(),COLUMN()-1,4))="81111812","Servicio de mantenimiento o soporte equipos de tecnología",""))</f>
        <v>Servicio de mantenimiento o soporte equipos de tecnología</v>
      </c>
      <c r="C1852" s="58" t="str">
        <f>IFERROR(VLOOKUP("UD",'Informacion '!P:Q,2,FALSE),"")</f>
        <v>Unidad</v>
      </c>
      <c r="D1852" s="25">
        <v>12</v>
      </c>
      <c r="E1852" s="28">
        <v>18000</v>
      </c>
      <c r="F1852" s="27">
        <f ca="1">INDIRECT(ADDRESS(ROW(),COLUMN()-2,4))*INDIRECT(ADDRESS(ROW(),COLUMN()-1,4))</f>
        <v>216000</v>
      </c>
    </row>
    <row r="1853" spans="1:10" ht="14.25" customHeight="1" x14ac:dyDescent="0.25">
      <c r="A1853" s="25" t="s">
        <v>993</v>
      </c>
      <c r="B1853" s="26" t="str">
        <f ca="1">IFERROR(INDEX(UNSPSCDes,MATCH(INDIRECT(ADDRESS(ROW(),COLUMN()-1,4)),UNSPSCCode,0)),IF(INDIRECT(ADDRESS(ROW(),COLUMN()-1,4))="81111812","Servicio de mantenimiento o soporte equipos de tecnología",""))</f>
        <v>Servicio de mantenimiento o soporte equipos de tecnología</v>
      </c>
      <c r="C1853" s="58" t="str">
        <f>IFERROR(VLOOKUP("UD",'Informacion '!P:Q,2,FALSE),"")</f>
        <v>Unidad</v>
      </c>
      <c r="D1853" s="25">
        <v>10</v>
      </c>
      <c r="E1853" s="28">
        <v>10000</v>
      </c>
      <c r="F1853" s="27">
        <f ca="1">INDIRECT(ADDRESS(ROW(),COLUMN()-2,4))*INDIRECT(ADDRESS(ROW(),COLUMN()-1,4))</f>
        <v>100000</v>
      </c>
    </row>
    <row r="1854" spans="1:10" ht="14.25" customHeight="1" x14ac:dyDescent="0.25">
      <c r="E1854" s="30" t="s">
        <v>816</v>
      </c>
      <c r="F1854" s="31">
        <f ca="1">SUM(Table89[MONTO TOTAL ESTIMADO])</f>
        <v>316000</v>
      </c>
      <c r="H1854" s="21" t="str">
        <f>C1845</f>
        <v>Servicios</v>
      </c>
      <c r="I1854" s="21" t="str">
        <f>E1845</f>
        <v>No</v>
      </c>
      <c r="J1854" s="21" t="str">
        <f>D1845</f>
        <v>Compras Menores</v>
      </c>
    </row>
    <row r="1856" spans="1:10" ht="33.950000000000003" customHeight="1" x14ac:dyDescent="0.25">
      <c r="A1856" s="22" t="s">
        <v>1051</v>
      </c>
      <c r="B1856" s="22" t="s">
        <v>11</v>
      </c>
      <c r="C1856" s="22" t="s">
        <v>751</v>
      </c>
      <c r="D1856" s="22" t="s">
        <v>930</v>
      </c>
      <c r="E1856" s="22" t="s">
        <v>699</v>
      </c>
      <c r="F1856" s="22" t="s">
        <v>710</v>
      </c>
    </row>
    <row r="1857" spans="1:10" ht="14.25" customHeight="1" x14ac:dyDescent="0.25">
      <c r="A1857" s="23" t="s">
        <v>952</v>
      </c>
      <c r="B1857" s="23" t="s">
        <v>952</v>
      </c>
      <c r="C1857" s="23" t="s">
        <v>438</v>
      </c>
      <c r="D1857" s="23" t="s">
        <v>654</v>
      </c>
      <c r="E1857" s="23" t="s">
        <v>1156</v>
      </c>
      <c r="F1857" s="23" t="s">
        <v>436</v>
      </c>
    </row>
    <row r="1858" spans="1:10" ht="14.25" customHeight="1" x14ac:dyDescent="0.25">
      <c r="A1858" s="68" t="s">
        <v>965</v>
      </c>
      <c r="B1858" s="24" t="s">
        <v>543</v>
      </c>
      <c r="C1858" s="54">
        <v>46317</v>
      </c>
      <c r="D1858" s="68" t="s">
        <v>598</v>
      </c>
      <c r="E1858" s="56" t="s">
        <v>858</v>
      </c>
      <c r="F1858" s="57" t="s">
        <v>184</v>
      </c>
    </row>
    <row r="1859" spans="1:10" ht="14.25" customHeight="1" x14ac:dyDescent="0.25">
      <c r="A1859" s="69"/>
      <c r="B1859" s="24" t="s">
        <v>112</v>
      </c>
      <c r="C1859" s="55">
        <f>IF(C1858="","",IF(AND(MONTH(C1858)&gt;=1,MONTH(C1858)&lt;=3),1,IF(AND(MONTH(C1858)&gt;=4,MONTH(C1858)&lt;=6),2,IF(AND(MONTH(C1858)&gt;=7,MONTH(C1858)&lt;=9),3,4))))</f>
        <v>4</v>
      </c>
      <c r="D1859" s="69"/>
      <c r="E1859" s="56" t="s">
        <v>143</v>
      </c>
      <c r="F1859" s="57"/>
    </row>
    <row r="1860" spans="1:10" ht="14.25" customHeight="1" x14ac:dyDescent="0.25">
      <c r="A1860" s="69"/>
      <c r="B1860" s="24" t="s">
        <v>844</v>
      </c>
      <c r="C1860" s="54">
        <v>46343</v>
      </c>
      <c r="D1860" s="69"/>
      <c r="E1860" s="56" t="s">
        <v>183</v>
      </c>
      <c r="F1860" s="57"/>
    </row>
    <row r="1861" spans="1:10" ht="14.25" customHeight="1" x14ac:dyDescent="0.25">
      <c r="A1861" s="69"/>
      <c r="B1861" s="24" t="s">
        <v>112</v>
      </c>
      <c r="C1861" s="55">
        <f>IF(C1860="","",IF(AND(MONTH(C1860)&gt;=1,MONTH(C1860)&lt;=3),1,IF(AND(MONTH(C1860)&gt;=4,MONTH(C1860)&lt;=6),2,IF(AND(MONTH(C1860)&gt;=7,MONTH(C1860)&lt;=9),3,4))))</f>
        <v>4</v>
      </c>
      <c r="D1861" s="69"/>
      <c r="E1861" s="56" t="s">
        <v>865</v>
      </c>
      <c r="F1861" s="57"/>
    </row>
    <row r="1863" spans="1:10" ht="14.25" customHeight="1" x14ac:dyDescent="0.25">
      <c r="A1863" s="29" t="s">
        <v>1017</v>
      </c>
      <c r="B1863" s="29" t="s">
        <v>1042</v>
      </c>
      <c r="C1863" s="29" t="s">
        <v>1011</v>
      </c>
      <c r="D1863" s="29" t="s">
        <v>985</v>
      </c>
      <c r="E1863" s="29" t="s">
        <v>449</v>
      </c>
      <c r="F1863" s="29" t="s">
        <v>989</v>
      </c>
    </row>
    <row r="1864" spans="1:10" ht="14.25" customHeight="1" x14ac:dyDescent="0.25">
      <c r="A1864" s="25" t="s">
        <v>95</v>
      </c>
      <c r="B1864" s="26" t="str">
        <f ca="1">IFERROR(INDEX(UNSPSCDes,MATCH(INDIRECT(ADDRESS(ROW(),COLUMN()-1,4)),UNSPSCCode,0)),IF(INDIRECT(ADDRESS(ROW(),COLUMN()-1,4))="72101516","Servicio de inspección, mantenimiento o reparación de extinguidores de fuego",""))</f>
        <v>Servicio de inspección, mantenimiento o reparación de extinguidores de fuego</v>
      </c>
      <c r="C1864" s="58" t="str">
        <f>IFERROR(VLOOKUP("UD",'Informacion '!P:Q,2,FALSE),"")</f>
        <v>Unidad</v>
      </c>
      <c r="D1864" s="25">
        <v>15</v>
      </c>
      <c r="E1864" s="28">
        <v>348.1</v>
      </c>
      <c r="F1864" s="27">
        <f ca="1">INDIRECT(ADDRESS(ROW(),COLUMN()-2,4))*INDIRECT(ADDRESS(ROW(),COLUMN()-1,4))</f>
        <v>5221.5</v>
      </c>
    </row>
    <row r="1865" spans="1:10" ht="14.25" customHeight="1" x14ac:dyDescent="0.25">
      <c r="A1865" s="25" t="s">
        <v>95</v>
      </c>
      <c r="B1865" s="26" t="str">
        <f ca="1">IFERROR(INDEX(UNSPSCDes,MATCH(INDIRECT(ADDRESS(ROW(),COLUMN()-1,4)),UNSPSCCode,0)),IF(INDIRECT(ADDRESS(ROW(),COLUMN()-1,4))="72101516","Servicio de inspección, mantenimiento o reparación de extinguidores de fuego",""))</f>
        <v>Servicio de inspección, mantenimiento o reparación de extinguidores de fuego</v>
      </c>
      <c r="C1865" s="58" t="str">
        <f>IFERROR(VLOOKUP("UD",'Informacion '!P:Q,2,FALSE),"")</f>
        <v>Unidad</v>
      </c>
      <c r="D1865" s="25">
        <v>65</v>
      </c>
      <c r="E1865" s="28">
        <v>460.2</v>
      </c>
      <c r="F1865" s="27">
        <f ca="1">INDIRECT(ADDRESS(ROW(),COLUMN()-2,4))*INDIRECT(ADDRESS(ROW(),COLUMN()-1,4))</f>
        <v>29913</v>
      </c>
    </row>
    <row r="1866" spans="1:10" ht="14.25" customHeight="1" x14ac:dyDescent="0.25">
      <c r="A1866" s="25" t="s">
        <v>95</v>
      </c>
      <c r="B1866" s="26" t="str">
        <f ca="1">IFERROR(INDEX(UNSPSCDes,MATCH(INDIRECT(ADDRESS(ROW(),COLUMN()-1,4)),UNSPSCCode,0)),IF(INDIRECT(ADDRESS(ROW(),COLUMN()-1,4))="72101516","Servicio de inspección, mantenimiento o reparación de extinguidores de fuego",""))</f>
        <v>Servicio de inspección, mantenimiento o reparación de extinguidores de fuego</v>
      </c>
      <c r="C1866" s="58" t="str">
        <f>IFERROR(VLOOKUP("UD",'Informacion '!P:Q,2,FALSE),"")</f>
        <v>Unidad</v>
      </c>
      <c r="D1866" s="25">
        <v>55</v>
      </c>
      <c r="E1866" s="28">
        <v>413</v>
      </c>
      <c r="F1866" s="27">
        <f ca="1">INDIRECT(ADDRESS(ROW(),COLUMN()-2,4))*INDIRECT(ADDRESS(ROW(),COLUMN()-1,4))</f>
        <v>22715</v>
      </c>
    </row>
    <row r="1867" spans="1:10" ht="14.25" customHeight="1" x14ac:dyDescent="0.25">
      <c r="A1867" s="25" t="s">
        <v>95</v>
      </c>
      <c r="B1867" s="26" t="str">
        <f ca="1">IFERROR(INDEX(UNSPSCDes,MATCH(INDIRECT(ADDRESS(ROW(),COLUMN()-1,4)),UNSPSCCode,0)),IF(INDIRECT(ADDRESS(ROW(),COLUMN()-1,4))="72101516","Servicio de inspección, mantenimiento o reparación de extinguidores de fuego",""))</f>
        <v>Servicio de inspección, mantenimiento o reparación de extinguidores de fuego</v>
      </c>
      <c r="C1867" s="58" t="str">
        <f>IFERROR(VLOOKUP("UD",'Informacion '!P:Q,2,FALSE),"")</f>
        <v>Unidad</v>
      </c>
      <c r="D1867" s="25">
        <v>55</v>
      </c>
      <c r="E1867" s="28">
        <v>460.2</v>
      </c>
      <c r="F1867" s="27">
        <f ca="1">INDIRECT(ADDRESS(ROW(),COLUMN()-2,4))*INDIRECT(ADDRESS(ROW(),COLUMN()-1,4))</f>
        <v>25311</v>
      </c>
    </row>
    <row r="1868" spans="1:10" ht="14.25" customHeight="1" x14ac:dyDescent="0.25">
      <c r="A1868" s="25" t="s">
        <v>95</v>
      </c>
      <c r="B1868" s="26" t="str">
        <f ca="1">IFERROR(INDEX(UNSPSCDes,MATCH(INDIRECT(ADDRESS(ROW(),COLUMN()-1,4)),UNSPSCCode,0)),IF(INDIRECT(ADDRESS(ROW(),COLUMN()-1,4))="72101516","Servicio de inspección, mantenimiento o reparación de extinguidores de fuego",""))</f>
        <v>Servicio de inspección, mantenimiento o reparación de extinguidores de fuego</v>
      </c>
      <c r="C1868" s="58" t="str">
        <f>IFERROR(VLOOKUP("UD",'Informacion '!P:Q,2,FALSE),"")</f>
        <v>Unidad</v>
      </c>
      <c r="D1868" s="25">
        <v>5</v>
      </c>
      <c r="E1868" s="28">
        <v>2596</v>
      </c>
      <c r="F1868" s="27">
        <f ca="1">INDIRECT(ADDRESS(ROW(),COLUMN()-2,4))*INDIRECT(ADDRESS(ROW(),COLUMN()-1,4))</f>
        <v>12980</v>
      </c>
    </row>
    <row r="1869" spans="1:10" ht="14.25" customHeight="1" x14ac:dyDescent="0.25">
      <c r="E1869" s="30" t="s">
        <v>816</v>
      </c>
      <c r="F1869" s="31">
        <f ca="1">SUM(Table90[MONTO TOTAL ESTIMADO])</f>
        <v>96140.5</v>
      </c>
      <c r="H1869" s="21" t="str">
        <f>C1857</f>
        <v>Servicios</v>
      </c>
      <c r="I1869" s="21" t="str">
        <f>E1857</f>
        <v>No</v>
      </c>
      <c r="J1869" s="21" t="str">
        <f>D1857</f>
        <v>Compras por debajo del Umbral</v>
      </c>
    </row>
    <row r="1871" spans="1:10" ht="33.950000000000003" customHeight="1" x14ac:dyDescent="0.25">
      <c r="A1871" s="22" t="s">
        <v>1051</v>
      </c>
      <c r="B1871" s="22" t="s">
        <v>11</v>
      </c>
      <c r="C1871" s="22" t="s">
        <v>751</v>
      </c>
      <c r="D1871" s="22" t="s">
        <v>930</v>
      </c>
      <c r="E1871" s="22" t="s">
        <v>699</v>
      </c>
      <c r="F1871" s="22" t="s">
        <v>710</v>
      </c>
    </row>
    <row r="1872" spans="1:10" ht="14.25" customHeight="1" x14ac:dyDescent="0.25">
      <c r="A1872" s="23" t="s">
        <v>893</v>
      </c>
      <c r="B1872" s="23" t="s">
        <v>893</v>
      </c>
      <c r="C1872" s="23" t="s">
        <v>438</v>
      </c>
      <c r="D1872" s="23" t="s">
        <v>1128</v>
      </c>
      <c r="E1872" s="23" t="s">
        <v>1156</v>
      </c>
      <c r="F1872" s="23" t="s">
        <v>436</v>
      </c>
    </row>
    <row r="1873" spans="1:10" ht="14.25" customHeight="1" x14ac:dyDescent="0.25">
      <c r="A1873" s="68" t="s">
        <v>965</v>
      </c>
      <c r="B1873" s="24" t="s">
        <v>543</v>
      </c>
      <c r="C1873" s="54">
        <v>46309</v>
      </c>
      <c r="D1873" s="68" t="s">
        <v>598</v>
      </c>
      <c r="E1873" s="56" t="s">
        <v>858</v>
      </c>
      <c r="F1873" s="57"/>
    </row>
    <row r="1874" spans="1:10" ht="14.25" customHeight="1" x14ac:dyDescent="0.25">
      <c r="A1874" s="69"/>
      <c r="B1874" s="24" t="s">
        <v>112</v>
      </c>
      <c r="C1874" s="55">
        <f>IF(C1873="","",IF(AND(MONTH(C1873)&gt;=1,MONTH(C1873)&lt;=3),1,IF(AND(MONTH(C1873)&gt;=4,MONTH(C1873)&lt;=6),2,IF(AND(MONTH(C1873)&gt;=7,MONTH(C1873)&lt;=9),3,4))))</f>
        <v>4</v>
      </c>
      <c r="D1874" s="69"/>
      <c r="E1874" s="56" t="s">
        <v>143</v>
      </c>
      <c r="F1874" s="57"/>
    </row>
    <row r="1875" spans="1:10" ht="14.25" customHeight="1" x14ac:dyDescent="0.25">
      <c r="A1875" s="69"/>
      <c r="B1875" s="24" t="s">
        <v>844</v>
      </c>
      <c r="C1875" s="54">
        <v>46319</v>
      </c>
      <c r="D1875" s="69"/>
      <c r="E1875" s="56" t="s">
        <v>183</v>
      </c>
      <c r="F1875" s="57"/>
    </row>
    <row r="1876" spans="1:10" ht="14.25" customHeight="1" x14ac:dyDescent="0.25">
      <c r="A1876" s="69"/>
      <c r="B1876" s="24" t="s">
        <v>112</v>
      </c>
      <c r="C1876" s="55">
        <f>IF(C1875="","",IF(AND(MONTH(C1875)&gt;=1,MONTH(C1875)&lt;=3),1,IF(AND(MONTH(C1875)&gt;=4,MONTH(C1875)&lt;=6),2,IF(AND(MONTH(C1875)&gt;=7,MONTH(C1875)&lt;=9),3,4))))</f>
        <v>4</v>
      </c>
      <c r="D1876" s="69"/>
      <c r="E1876" s="56" t="s">
        <v>865</v>
      </c>
      <c r="F1876" s="57"/>
    </row>
    <row r="1878" spans="1:10" ht="14.25" customHeight="1" x14ac:dyDescent="0.25">
      <c r="A1878" s="29" t="s">
        <v>1017</v>
      </c>
      <c r="B1878" s="29" t="s">
        <v>1042</v>
      </c>
      <c r="C1878" s="29" t="s">
        <v>1011</v>
      </c>
      <c r="D1878" s="29" t="s">
        <v>985</v>
      </c>
      <c r="E1878" s="29" t="s">
        <v>449</v>
      </c>
      <c r="F1878" s="29" t="s">
        <v>989</v>
      </c>
    </row>
    <row r="1879" spans="1:10" ht="14.25" customHeight="1" x14ac:dyDescent="0.25">
      <c r="A1879" s="25" t="s">
        <v>199</v>
      </c>
      <c r="B1879" s="26" t="str">
        <f ca="1">IFERROR(INDEX(UNSPSCDes,MATCH(INDIRECT(ADDRESS(ROW(),COLUMN()-1,4)),UNSPSCCode,0)),IF(INDIRECT(ADDRESS(ROW(),COLUMN()-1,4))="72102103","Servicios de exterminación o fumigación",""))</f>
        <v>Servicios de exterminación o fumigación</v>
      </c>
      <c r="C1879" s="58" t="str">
        <f>IFERROR(VLOOKUP("UD",'Informacion '!P:Q,2,FALSE),"")</f>
        <v>Unidad</v>
      </c>
      <c r="D1879" s="25">
        <v>2</v>
      </c>
      <c r="E1879" s="28">
        <v>542436.01</v>
      </c>
      <c r="F1879" s="27">
        <f ca="1">INDIRECT(ADDRESS(ROW(),COLUMN()-2,4))*INDIRECT(ADDRESS(ROW(),COLUMN()-1,4))</f>
        <v>1084872.02</v>
      </c>
    </row>
    <row r="1880" spans="1:10" ht="14.25" customHeight="1" x14ac:dyDescent="0.25">
      <c r="E1880" s="30" t="s">
        <v>816</v>
      </c>
      <c r="F1880" s="31">
        <f ca="1">SUM(Table91[MONTO TOTAL ESTIMADO])</f>
        <v>1084872.02</v>
      </c>
      <c r="H1880" s="21" t="str">
        <f>C1872</f>
        <v>Servicios</v>
      </c>
      <c r="I1880" s="21" t="str">
        <f>E1872</f>
        <v>No</v>
      </c>
      <c r="J1880" s="21" t="str">
        <f>D1872</f>
        <v>Compras Menores</v>
      </c>
    </row>
    <row r="1882" spans="1:10" ht="33.950000000000003" customHeight="1" x14ac:dyDescent="0.25">
      <c r="A1882" s="22" t="s">
        <v>1051</v>
      </c>
      <c r="B1882" s="22" t="s">
        <v>11</v>
      </c>
      <c r="C1882" s="22" t="s">
        <v>751</v>
      </c>
      <c r="D1882" s="22" t="s">
        <v>930</v>
      </c>
      <c r="E1882" s="22" t="s">
        <v>699</v>
      </c>
      <c r="F1882" s="22" t="s">
        <v>710</v>
      </c>
    </row>
    <row r="1883" spans="1:10" ht="14.25" customHeight="1" x14ac:dyDescent="0.25">
      <c r="A1883" s="23" t="s">
        <v>1079</v>
      </c>
      <c r="B1883" s="23" t="s">
        <v>1079</v>
      </c>
      <c r="C1883" s="23" t="s">
        <v>1155</v>
      </c>
      <c r="D1883" s="23" t="s">
        <v>654</v>
      </c>
      <c r="E1883" s="23" t="s">
        <v>1156</v>
      </c>
      <c r="F1883" s="23" t="s">
        <v>436</v>
      </c>
    </row>
    <row r="1884" spans="1:10" ht="14.25" customHeight="1" x14ac:dyDescent="0.25">
      <c r="A1884" s="68" t="s">
        <v>965</v>
      </c>
      <c r="B1884" s="24" t="s">
        <v>543</v>
      </c>
      <c r="C1884" s="54">
        <v>46296</v>
      </c>
      <c r="D1884" s="68" t="s">
        <v>598</v>
      </c>
      <c r="E1884" s="56" t="s">
        <v>858</v>
      </c>
      <c r="F1884" s="57" t="s">
        <v>184</v>
      </c>
    </row>
    <row r="1885" spans="1:10" ht="14.25" customHeight="1" x14ac:dyDescent="0.25">
      <c r="A1885" s="69"/>
      <c r="B1885" s="24" t="s">
        <v>112</v>
      </c>
      <c r="C1885" s="55">
        <f>IF(C1884="","",IF(AND(MONTH(C1884)&gt;=1,MONTH(C1884)&lt;=3),1,IF(AND(MONTH(C1884)&gt;=4,MONTH(C1884)&lt;=6),2,IF(AND(MONTH(C1884)&gt;=7,MONTH(C1884)&lt;=9),3,4))))</f>
        <v>4</v>
      </c>
      <c r="D1885" s="69"/>
      <c r="E1885" s="56" t="s">
        <v>143</v>
      </c>
      <c r="F1885" s="57"/>
    </row>
    <row r="1886" spans="1:10" ht="14.25" customHeight="1" x14ac:dyDescent="0.25">
      <c r="A1886" s="69"/>
      <c r="B1886" s="24" t="s">
        <v>844</v>
      </c>
      <c r="C1886" s="54">
        <v>46320</v>
      </c>
      <c r="D1886" s="69"/>
      <c r="E1886" s="56" t="s">
        <v>183</v>
      </c>
      <c r="F1886" s="57"/>
    </row>
    <row r="1887" spans="1:10" ht="14.25" customHeight="1" x14ac:dyDescent="0.25">
      <c r="A1887" s="69"/>
      <c r="B1887" s="24" t="s">
        <v>112</v>
      </c>
      <c r="C1887" s="55">
        <f>IF(C1886="","",IF(AND(MONTH(C1886)&gt;=1,MONTH(C1886)&lt;=3),1,IF(AND(MONTH(C1886)&gt;=4,MONTH(C1886)&lt;=6),2,IF(AND(MONTH(C1886)&gt;=7,MONTH(C1886)&lt;=9),3,4))))</f>
        <v>4</v>
      </c>
      <c r="D1887" s="69"/>
      <c r="E1887" s="56" t="s">
        <v>865</v>
      </c>
      <c r="F1887" s="57"/>
    </row>
    <row r="1889" spans="1:10" ht="14.25" customHeight="1" x14ac:dyDescent="0.25">
      <c r="A1889" s="29" t="s">
        <v>1017</v>
      </c>
      <c r="B1889" s="29" t="s">
        <v>1042</v>
      </c>
      <c r="C1889" s="29" t="s">
        <v>1011</v>
      </c>
      <c r="D1889" s="29" t="s">
        <v>985</v>
      </c>
      <c r="E1889" s="29" t="s">
        <v>449</v>
      </c>
      <c r="F1889" s="29" t="s">
        <v>989</v>
      </c>
    </row>
    <row r="1890" spans="1:10" ht="14.25" customHeight="1" x14ac:dyDescent="0.25">
      <c r="A1890" s="25" t="s">
        <v>201</v>
      </c>
      <c r="B1890" s="26" t="str">
        <f ca="1">IFERROR(INDEX(UNSPSCDes,MATCH(INDIRECT(ADDRESS(ROW(),COLUMN()-1,4)),UNSPSCCode,0)),IF(INDIRECT(ADDRESS(ROW(),COLUMN()-1,4))="80141607","Gestión de eventos",""))</f>
        <v>Gestión de eventos</v>
      </c>
      <c r="C1890" s="58" t="str">
        <f>IFERROR(VLOOKUP("UD",'Informacion '!P:Q,2,FALSE),"")</f>
        <v>Unidad</v>
      </c>
      <c r="D1890" s="25">
        <v>2</v>
      </c>
      <c r="E1890" s="28">
        <v>20000</v>
      </c>
      <c r="F1890" s="27">
        <f ca="1">INDIRECT(ADDRESS(ROW(),COLUMN()-2,4))*INDIRECT(ADDRESS(ROW(),COLUMN()-1,4))</f>
        <v>40000</v>
      </c>
    </row>
    <row r="1891" spans="1:10" ht="14.25" customHeight="1" x14ac:dyDescent="0.25">
      <c r="A1891" s="25" t="s">
        <v>201</v>
      </c>
      <c r="B1891" s="26" t="str">
        <f ca="1">IFERROR(INDEX(UNSPSCDes,MATCH(INDIRECT(ADDRESS(ROW(),COLUMN()-1,4)),UNSPSCCode,0)),IF(INDIRECT(ADDRESS(ROW(),COLUMN()-1,4))="80141607","Gestión de eventos",""))</f>
        <v>Gestión de eventos</v>
      </c>
      <c r="C1891" s="58" t="str">
        <f>IFERROR(VLOOKUP("UD",'Informacion '!P:Q,2,FALSE),"")</f>
        <v>Unidad</v>
      </c>
      <c r="D1891" s="25">
        <v>2</v>
      </c>
      <c r="E1891" s="28">
        <v>29000</v>
      </c>
      <c r="F1891" s="27">
        <f ca="1">INDIRECT(ADDRESS(ROW(),COLUMN()-2,4))*INDIRECT(ADDRESS(ROW(),COLUMN()-1,4))</f>
        <v>58000</v>
      </c>
    </row>
    <row r="1892" spans="1:10" ht="14.25" customHeight="1" x14ac:dyDescent="0.25">
      <c r="A1892" s="25" t="s">
        <v>201</v>
      </c>
      <c r="B1892" s="26" t="str">
        <f ca="1">IFERROR(INDEX(UNSPSCDes,MATCH(INDIRECT(ADDRESS(ROW(),COLUMN()-1,4)),UNSPSCCode,0)),IF(INDIRECT(ADDRESS(ROW(),COLUMN()-1,4))="80141607","Gestión de eventos",""))</f>
        <v>Gestión de eventos</v>
      </c>
      <c r="C1892" s="58" t="str">
        <f>IFERROR(VLOOKUP("UD",'Informacion '!P:Q,2,FALSE),"")</f>
        <v>Unidad</v>
      </c>
      <c r="D1892" s="25">
        <v>2</v>
      </c>
      <c r="E1892" s="28">
        <v>18000</v>
      </c>
      <c r="F1892" s="27">
        <f ca="1">INDIRECT(ADDRESS(ROW(),COLUMN()-2,4))*INDIRECT(ADDRESS(ROW(),COLUMN()-1,4))</f>
        <v>36000</v>
      </c>
    </row>
    <row r="1893" spans="1:10" ht="14.25" customHeight="1" x14ac:dyDescent="0.25">
      <c r="E1893" s="30" t="s">
        <v>816</v>
      </c>
      <c r="F1893" s="31">
        <f ca="1">SUM(Table92[MONTO TOTAL ESTIMADO])</f>
        <v>134000</v>
      </c>
      <c r="H1893" s="21" t="str">
        <f>C1883</f>
        <v>Bienes</v>
      </c>
      <c r="I1893" s="21" t="str">
        <f>E1883</f>
        <v>No</v>
      </c>
      <c r="J1893" s="21" t="str">
        <f>D1883</f>
        <v>Compras por debajo del Umbral</v>
      </c>
    </row>
    <row r="1895" spans="1:10" ht="33.950000000000003" customHeight="1" x14ac:dyDescent="0.25">
      <c r="A1895" s="22" t="s">
        <v>1051</v>
      </c>
      <c r="B1895" s="22" t="s">
        <v>11</v>
      </c>
      <c r="C1895" s="22" t="s">
        <v>751</v>
      </c>
      <c r="D1895" s="22" t="s">
        <v>930</v>
      </c>
      <c r="E1895" s="22" t="s">
        <v>699</v>
      </c>
      <c r="F1895" s="22" t="s">
        <v>710</v>
      </c>
    </row>
    <row r="1896" spans="1:10" ht="14.25" customHeight="1" x14ac:dyDescent="0.25">
      <c r="A1896" s="23" t="s">
        <v>427</v>
      </c>
      <c r="B1896" s="23" t="s">
        <v>892</v>
      </c>
      <c r="C1896" s="23" t="s">
        <v>438</v>
      </c>
      <c r="D1896" s="23" t="s">
        <v>1128</v>
      </c>
      <c r="E1896" s="23" t="s">
        <v>1156</v>
      </c>
      <c r="F1896" s="23" t="s">
        <v>436</v>
      </c>
    </row>
    <row r="1897" spans="1:10" ht="14.25" customHeight="1" x14ac:dyDescent="0.25">
      <c r="A1897" s="68" t="s">
        <v>965</v>
      </c>
      <c r="B1897" s="24" t="s">
        <v>543</v>
      </c>
      <c r="C1897" s="54">
        <v>46316</v>
      </c>
      <c r="D1897" s="68" t="s">
        <v>598</v>
      </c>
      <c r="E1897" s="56" t="s">
        <v>858</v>
      </c>
      <c r="F1897" s="57"/>
    </row>
    <row r="1898" spans="1:10" ht="14.25" customHeight="1" x14ac:dyDescent="0.25">
      <c r="A1898" s="69"/>
      <c r="B1898" s="24" t="s">
        <v>112</v>
      </c>
      <c r="C1898" s="55">
        <f>IF(C1897="","",IF(AND(MONTH(C1897)&gt;=1,MONTH(C1897)&lt;=3),1,IF(AND(MONTH(C1897)&gt;=4,MONTH(C1897)&lt;=6),2,IF(AND(MONTH(C1897)&gt;=7,MONTH(C1897)&lt;=9),3,4))))</f>
        <v>4</v>
      </c>
      <c r="D1898" s="69"/>
      <c r="E1898" s="56" t="s">
        <v>143</v>
      </c>
      <c r="F1898" s="57"/>
    </row>
    <row r="1899" spans="1:10" ht="14.25" customHeight="1" x14ac:dyDescent="0.25">
      <c r="A1899" s="69"/>
      <c r="B1899" s="24" t="s">
        <v>844</v>
      </c>
      <c r="C1899" s="54">
        <v>46325</v>
      </c>
      <c r="D1899" s="69"/>
      <c r="E1899" s="56" t="s">
        <v>183</v>
      </c>
      <c r="F1899" s="57"/>
    </row>
    <row r="1900" spans="1:10" ht="14.25" customHeight="1" x14ac:dyDescent="0.25">
      <c r="A1900" s="69"/>
      <c r="B1900" s="24" t="s">
        <v>112</v>
      </c>
      <c r="C1900" s="55">
        <f>IF(C1899="","",IF(AND(MONTH(C1899)&gt;=1,MONTH(C1899)&lt;=3),1,IF(AND(MONTH(C1899)&gt;=4,MONTH(C1899)&lt;=6),2,IF(AND(MONTH(C1899)&gt;=7,MONTH(C1899)&lt;=9),3,4))))</f>
        <v>4</v>
      </c>
      <c r="D1900" s="69"/>
      <c r="E1900" s="56" t="s">
        <v>865</v>
      </c>
      <c r="F1900" s="57"/>
    </row>
    <row r="1902" spans="1:10" ht="14.25" customHeight="1" x14ac:dyDescent="0.25">
      <c r="A1902" s="29" t="s">
        <v>1017</v>
      </c>
      <c r="B1902" s="29" t="s">
        <v>1042</v>
      </c>
      <c r="C1902" s="29" t="s">
        <v>1011</v>
      </c>
      <c r="D1902" s="29" t="s">
        <v>985</v>
      </c>
      <c r="E1902" s="29" t="s">
        <v>449</v>
      </c>
      <c r="F1902" s="29" t="s">
        <v>989</v>
      </c>
    </row>
    <row r="1903" spans="1:10" ht="14.25" customHeight="1" x14ac:dyDescent="0.25">
      <c r="A1903" s="25" t="s">
        <v>552</v>
      </c>
      <c r="B1903" s="26" t="str">
        <f ca="1">IFERROR(INDEX(UNSPSCDes,MATCH(INDIRECT(ADDRESS(ROW(),COLUMN()-1,4)),UNSPSCCode,0)),IF(INDIRECT(ADDRESS(ROW(),COLUMN()-1,4))="80141602","Servicios de relaciones públicas",""))</f>
        <v>Servicios de relaciones públicas</v>
      </c>
      <c r="C1903" s="58" t="str">
        <f>IFERROR(VLOOKUP("UD",'Informacion '!P:Q,2,FALSE),"")</f>
        <v>Unidad</v>
      </c>
      <c r="D1903" s="25">
        <v>3</v>
      </c>
      <c r="E1903" s="28">
        <v>250000</v>
      </c>
      <c r="F1903" s="27">
        <f ca="1">INDIRECT(ADDRESS(ROW(),COLUMN()-2,4))*INDIRECT(ADDRESS(ROW(),COLUMN()-1,4))</f>
        <v>750000</v>
      </c>
    </row>
    <row r="1904" spans="1:10" ht="14.25" customHeight="1" x14ac:dyDescent="0.25">
      <c r="E1904" s="30" t="s">
        <v>816</v>
      </c>
      <c r="F1904" s="31">
        <f ca="1">SUM(Table93[MONTO TOTAL ESTIMADO])</f>
        <v>750000</v>
      </c>
      <c r="H1904" s="21" t="str">
        <f>C1896</f>
        <v>Servicios</v>
      </c>
      <c r="I1904" s="21" t="str">
        <f>E1896</f>
        <v>No</v>
      </c>
      <c r="J1904" s="21" t="str">
        <f>D1896</f>
        <v>Compras Menores</v>
      </c>
    </row>
    <row r="1906" spans="1:10" ht="33.950000000000003" customHeight="1" x14ac:dyDescent="0.25">
      <c r="A1906" s="22" t="s">
        <v>1051</v>
      </c>
      <c r="B1906" s="22" t="s">
        <v>11</v>
      </c>
      <c r="C1906" s="22" t="s">
        <v>751</v>
      </c>
      <c r="D1906" s="22" t="s">
        <v>930</v>
      </c>
      <c r="E1906" s="22" t="s">
        <v>699</v>
      </c>
      <c r="F1906" s="22" t="s">
        <v>710</v>
      </c>
    </row>
    <row r="1907" spans="1:10" ht="14.25" customHeight="1" x14ac:dyDescent="0.25">
      <c r="A1907" s="23" t="s">
        <v>942</v>
      </c>
      <c r="B1907" s="23" t="s">
        <v>942</v>
      </c>
      <c r="C1907" s="23" t="s">
        <v>438</v>
      </c>
      <c r="D1907" s="23" t="s">
        <v>1128</v>
      </c>
      <c r="E1907" s="23" t="s">
        <v>1156</v>
      </c>
      <c r="F1907" s="23" t="s">
        <v>436</v>
      </c>
    </row>
    <row r="1908" spans="1:10" ht="14.25" customHeight="1" x14ac:dyDescent="0.25">
      <c r="A1908" s="68" t="s">
        <v>965</v>
      </c>
      <c r="B1908" s="24" t="s">
        <v>543</v>
      </c>
      <c r="C1908" s="54">
        <v>46207</v>
      </c>
      <c r="D1908" s="68" t="s">
        <v>598</v>
      </c>
      <c r="E1908" s="56" t="s">
        <v>858</v>
      </c>
      <c r="F1908" s="57" t="s">
        <v>184</v>
      </c>
    </row>
    <row r="1909" spans="1:10" ht="14.25" customHeight="1" x14ac:dyDescent="0.25">
      <c r="A1909" s="69"/>
      <c r="B1909" s="24" t="s">
        <v>112</v>
      </c>
      <c r="C1909" s="55">
        <f>IF(C1908="","",IF(AND(MONTH(C1908)&gt;=1,MONTH(C1908)&lt;=3),1,IF(AND(MONTH(C1908)&gt;=4,MONTH(C1908)&lt;=6),2,IF(AND(MONTH(C1908)&gt;=7,MONTH(C1908)&lt;=9),3,4))))</f>
        <v>3</v>
      </c>
      <c r="D1909" s="69"/>
      <c r="E1909" s="56" t="s">
        <v>143</v>
      </c>
      <c r="F1909" s="57"/>
    </row>
    <row r="1910" spans="1:10" ht="14.25" customHeight="1" x14ac:dyDescent="0.25">
      <c r="A1910" s="69"/>
      <c r="B1910" s="24" t="s">
        <v>844</v>
      </c>
      <c r="C1910" s="54">
        <v>46245</v>
      </c>
      <c r="D1910" s="69"/>
      <c r="E1910" s="56" t="s">
        <v>183</v>
      </c>
      <c r="F1910" s="57"/>
    </row>
    <row r="1911" spans="1:10" ht="14.25" customHeight="1" x14ac:dyDescent="0.25">
      <c r="A1911" s="69"/>
      <c r="B1911" s="24" t="s">
        <v>112</v>
      </c>
      <c r="C1911" s="55">
        <f>IF(C1910="","",IF(AND(MONTH(C1910)&gt;=1,MONTH(C1910)&lt;=3),1,IF(AND(MONTH(C1910)&gt;=4,MONTH(C1910)&lt;=6),2,IF(AND(MONTH(C1910)&gt;=7,MONTH(C1910)&lt;=9),3,4))))</f>
        <v>3</v>
      </c>
      <c r="D1911" s="69"/>
      <c r="E1911" s="56" t="s">
        <v>865</v>
      </c>
      <c r="F1911" s="57"/>
    </row>
    <row r="1913" spans="1:10" ht="14.25" customHeight="1" x14ac:dyDescent="0.25">
      <c r="A1913" s="29" t="s">
        <v>1017</v>
      </c>
      <c r="B1913" s="29" t="s">
        <v>1042</v>
      </c>
      <c r="C1913" s="29" t="s">
        <v>1011</v>
      </c>
      <c r="D1913" s="29" t="s">
        <v>985</v>
      </c>
      <c r="E1913" s="29" t="s">
        <v>449</v>
      </c>
      <c r="F1913" s="29" t="s">
        <v>989</v>
      </c>
    </row>
    <row r="1914" spans="1:10" ht="14.25" customHeight="1" x14ac:dyDescent="0.25">
      <c r="A1914" s="25" t="s">
        <v>49</v>
      </c>
      <c r="B1914" s="26" t="str">
        <f ca="1">IFERROR(INDEX(UNSPSCDes,MATCH(INDIRECT(ADDRESS(ROW(),COLUMN()-1,4)),UNSPSCCode,0)),IF(INDIRECT(ADDRESS(ROW(),COLUMN()-1,4))="72101506","Servicios de mantenimiento de elevadores. ",""))</f>
        <v xml:space="preserve">Servicios de mantenimiento de elevadores. </v>
      </c>
      <c r="C1914" s="58" t="str">
        <f>IFERROR(VLOOKUP("UD",'Informacion '!P:Q,2,FALSE),"")</f>
        <v>Unidad</v>
      </c>
      <c r="D1914" s="25">
        <v>3</v>
      </c>
      <c r="E1914" s="28">
        <v>86666.67</v>
      </c>
      <c r="F1914" s="27">
        <f ca="1">INDIRECT(ADDRESS(ROW(),COLUMN()-2,4))*INDIRECT(ADDRESS(ROW(),COLUMN()-1,4))</f>
        <v>260000.01</v>
      </c>
    </row>
    <row r="1915" spans="1:10" ht="14.25" customHeight="1" x14ac:dyDescent="0.25">
      <c r="E1915" s="30" t="s">
        <v>816</v>
      </c>
      <c r="F1915" s="31">
        <f ca="1">SUM(Table94[MONTO TOTAL ESTIMADO])</f>
        <v>260000.01</v>
      </c>
      <c r="H1915" s="21" t="str">
        <f>C1907</f>
        <v>Servicios</v>
      </c>
      <c r="I1915" s="21" t="str">
        <f>E1907</f>
        <v>No</v>
      </c>
      <c r="J1915" s="21" t="str">
        <f>D1907</f>
        <v>Compras Menores</v>
      </c>
    </row>
    <row r="1917" spans="1:10" ht="33.950000000000003" customHeight="1" x14ac:dyDescent="0.25">
      <c r="A1917" s="22" t="s">
        <v>1051</v>
      </c>
      <c r="B1917" s="22" t="s">
        <v>11</v>
      </c>
      <c r="C1917" s="22" t="s">
        <v>751</v>
      </c>
      <c r="D1917" s="22" t="s">
        <v>930</v>
      </c>
      <c r="E1917" s="22" t="s">
        <v>699</v>
      </c>
      <c r="F1917" s="22" t="s">
        <v>710</v>
      </c>
    </row>
    <row r="1918" spans="1:10" ht="14.25" customHeight="1" x14ac:dyDescent="0.25">
      <c r="A1918" s="23" t="s">
        <v>228</v>
      </c>
      <c r="B1918" s="23" t="s">
        <v>317</v>
      </c>
      <c r="C1918" s="23" t="s">
        <v>1155</v>
      </c>
      <c r="D1918" s="23" t="s">
        <v>1128</v>
      </c>
      <c r="E1918" s="23" t="s">
        <v>561</v>
      </c>
      <c r="F1918" s="23" t="s">
        <v>436</v>
      </c>
    </row>
    <row r="1919" spans="1:10" ht="14.25" customHeight="1" x14ac:dyDescent="0.25">
      <c r="A1919" s="68" t="s">
        <v>965</v>
      </c>
      <c r="B1919" s="24" t="s">
        <v>543</v>
      </c>
      <c r="C1919" s="54">
        <v>46312</v>
      </c>
      <c r="D1919" s="68" t="s">
        <v>598</v>
      </c>
      <c r="E1919" s="56" t="s">
        <v>858</v>
      </c>
      <c r="F1919" s="57" t="s">
        <v>184</v>
      </c>
    </row>
    <row r="1920" spans="1:10" ht="14.25" customHeight="1" x14ac:dyDescent="0.25">
      <c r="A1920" s="69"/>
      <c r="B1920" s="24" t="s">
        <v>112</v>
      </c>
      <c r="C1920" s="55">
        <f>IF(C1919="","",IF(AND(MONTH(C1919)&gt;=1,MONTH(C1919)&lt;=3),1,IF(AND(MONTH(C1919)&gt;=4,MONTH(C1919)&lt;=6),2,IF(AND(MONTH(C1919)&gt;=7,MONTH(C1919)&lt;=9),3,4))))</f>
        <v>4</v>
      </c>
      <c r="D1920" s="69"/>
      <c r="E1920" s="56" t="s">
        <v>143</v>
      </c>
      <c r="F1920" s="57"/>
    </row>
    <row r="1921" spans="1:10" ht="14.25" customHeight="1" x14ac:dyDescent="0.25">
      <c r="A1921" s="69"/>
      <c r="B1921" s="24" t="s">
        <v>844</v>
      </c>
      <c r="C1921" s="54">
        <v>46320</v>
      </c>
      <c r="D1921" s="69"/>
      <c r="E1921" s="56" t="s">
        <v>183</v>
      </c>
      <c r="F1921" s="57"/>
    </row>
    <row r="1922" spans="1:10" ht="14.25" customHeight="1" x14ac:dyDescent="0.25">
      <c r="A1922" s="69"/>
      <c r="B1922" s="24" t="s">
        <v>112</v>
      </c>
      <c r="C1922" s="55">
        <f>IF(C1921="","",IF(AND(MONTH(C1921)&gt;=1,MONTH(C1921)&lt;=3),1,IF(AND(MONTH(C1921)&gt;=4,MONTH(C1921)&lt;=6),2,IF(AND(MONTH(C1921)&gt;=7,MONTH(C1921)&lt;=9),3,4))))</f>
        <v>4</v>
      </c>
      <c r="D1922" s="69"/>
      <c r="E1922" s="56" t="s">
        <v>865</v>
      </c>
      <c r="F1922" s="57"/>
    </row>
    <row r="1924" spans="1:10" ht="14.25" customHeight="1" x14ac:dyDescent="0.25">
      <c r="A1924" s="29" t="s">
        <v>1017</v>
      </c>
      <c r="B1924" s="29" t="s">
        <v>1042</v>
      </c>
      <c r="C1924" s="29" t="s">
        <v>1011</v>
      </c>
      <c r="D1924" s="29" t="s">
        <v>985</v>
      </c>
      <c r="E1924" s="29" t="s">
        <v>449</v>
      </c>
      <c r="F1924" s="29" t="s">
        <v>989</v>
      </c>
    </row>
    <row r="1925" spans="1:10" ht="14.25" customHeight="1" x14ac:dyDescent="0.25">
      <c r="A1925" s="25" t="s">
        <v>872</v>
      </c>
      <c r="B1925" s="26" t="str">
        <f ca="1">IFERROR(INDEX(UNSPSCDes,MATCH(INDIRECT(ADDRESS(ROW(),COLUMN()-1,4)),UNSPSCCode,0)),IF(INDIRECT(ADDRESS(ROW(),COLUMN()-1,4))="14111537","Etiquetas de papel",""))</f>
        <v>Etiquetas de papel</v>
      </c>
      <c r="C1925" s="58" t="str">
        <f>IFERROR(VLOOKUP("CAJ",'Informacion '!P:Q,2,FALSE),"")</f>
        <v>Caja</v>
      </c>
      <c r="D1925" s="25">
        <v>50</v>
      </c>
      <c r="E1925" s="28">
        <v>64.900000000000006</v>
      </c>
      <c r="F1925" s="27">
        <f t="shared" ref="F1925:F1935" ca="1" si="66">INDIRECT(ADDRESS(ROW(),COLUMN()-2,4))*INDIRECT(ADDRESS(ROW(),COLUMN()-1,4))</f>
        <v>3245.0000000000005</v>
      </c>
    </row>
    <row r="1926" spans="1:10" ht="14.25" customHeight="1" x14ac:dyDescent="0.25">
      <c r="A1926" s="25" t="s">
        <v>284</v>
      </c>
      <c r="B1926" s="26" t="str">
        <f ca="1">IFERROR(INDEX(UNSPSCDes,MATCH(INDIRECT(ADDRESS(ROW(),COLUMN()-1,4)),UNSPSCCode,0)),IF(INDIRECT(ADDRESS(ROW(),COLUMN()-1,4))="14111514","Blocs o cuadernos de papel",""))</f>
        <v>Blocs o cuadernos de papel</v>
      </c>
      <c r="C1926" s="58" t="str">
        <f>IFERROR(VLOOKUP("UD",'Informacion '!P:Q,2,FALSE),"")</f>
        <v>Unidad</v>
      </c>
      <c r="D1926" s="25">
        <v>200</v>
      </c>
      <c r="E1926" s="28">
        <v>53.1</v>
      </c>
      <c r="F1926" s="27">
        <f t="shared" ca="1" si="66"/>
        <v>10620</v>
      </c>
    </row>
    <row r="1927" spans="1:10" ht="14.25" customHeight="1" x14ac:dyDescent="0.25">
      <c r="A1927" s="25" t="s">
        <v>284</v>
      </c>
      <c r="B1927" s="26" t="str">
        <f ca="1">IFERROR(INDEX(UNSPSCDes,MATCH(INDIRECT(ADDRESS(ROW(),COLUMN()-1,4)),UNSPSCCode,0)),IF(INDIRECT(ADDRESS(ROW(),COLUMN()-1,4))="14111514","Blocs o cuadernos de papel",""))</f>
        <v>Blocs o cuadernos de papel</v>
      </c>
      <c r="C1927" s="58" t="str">
        <f>IFERROR(VLOOKUP("UD",'Informacion '!P:Q,2,FALSE),"")</f>
        <v>Unidad</v>
      </c>
      <c r="D1927" s="25">
        <v>200</v>
      </c>
      <c r="E1927" s="28">
        <v>75.52</v>
      </c>
      <c r="F1927" s="27">
        <f t="shared" ca="1" si="66"/>
        <v>15104</v>
      </c>
    </row>
    <row r="1928" spans="1:10" ht="14.25" customHeight="1" x14ac:dyDescent="0.25">
      <c r="A1928" s="25" t="s">
        <v>883</v>
      </c>
      <c r="B1928" s="26" t="str">
        <f ca="1">IFERROR(INDEX(UNSPSCDes,MATCH(INDIRECT(ADDRESS(ROW(),COLUMN()-1,4)),UNSPSCCode,0)),IF(INDIRECT(ADDRESS(ROW(),COLUMN()-1,4))="14111530","Papel de notas autoadhesivas",""))</f>
        <v>Papel de notas autoadhesivas</v>
      </c>
      <c r="C1928" s="58" t="str">
        <f>IFERROR(VLOOKUP("UD",'Informacion '!P:Q,2,FALSE),"")</f>
        <v>Unidad</v>
      </c>
      <c r="D1928" s="25">
        <v>600</v>
      </c>
      <c r="E1928" s="28">
        <v>41.3</v>
      </c>
      <c r="F1928" s="27">
        <f t="shared" ca="1" si="66"/>
        <v>24780</v>
      </c>
    </row>
    <row r="1929" spans="1:10" ht="14.25" customHeight="1" x14ac:dyDescent="0.25">
      <c r="A1929" s="25" t="s">
        <v>883</v>
      </c>
      <c r="B1929" s="26" t="str">
        <f ca="1">IFERROR(INDEX(UNSPSCDes,MATCH(INDIRECT(ADDRESS(ROW(),COLUMN()-1,4)),UNSPSCCode,0)),IF(INDIRECT(ADDRESS(ROW(),COLUMN()-1,4))="14111530","Papel de notas autoadhesivas",""))</f>
        <v>Papel de notas autoadhesivas</v>
      </c>
      <c r="C1929" s="58" t="str">
        <f>IFERROR(VLOOKUP("UD",'Informacion '!P:Q,2,FALSE),"")</f>
        <v>Unidad</v>
      </c>
      <c r="D1929" s="25">
        <v>600</v>
      </c>
      <c r="E1929" s="28">
        <v>60.18</v>
      </c>
      <c r="F1929" s="27">
        <f t="shared" ca="1" si="66"/>
        <v>36108</v>
      </c>
    </row>
    <row r="1930" spans="1:10" ht="14.25" customHeight="1" x14ac:dyDescent="0.25">
      <c r="A1930" s="25" t="s">
        <v>877</v>
      </c>
      <c r="B1930" s="26" t="str">
        <f ca="1">IFERROR(INDEX(UNSPSCDes,MATCH(INDIRECT(ADDRESS(ROW(),COLUMN()-1,4)),UNSPSCCode,0)),IF(INDIRECT(ADDRESS(ROW(),COLUMN()-1,4))="14111507","Papel para impresora o fotocopiadora",""))</f>
        <v>Papel para impresora o fotocopiadora</v>
      </c>
      <c r="C1930" s="58" t="str">
        <f>IFERROR(VLOOKUP("RESMA",'Informacion '!P:Q,2,FALSE),"")</f>
        <v>Resma</v>
      </c>
      <c r="D1930" s="25">
        <v>2750</v>
      </c>
      <c r="E1930" s="28">
        <v>341.02</v>
      </c>
      <c r="F1930" s="27">
        <f t="shared" ca="1" si="66"/>
        <v>937805</v>
      </c>
    </row>
    <row r="1931" spans="1:10" ht="14.25" customHeight="1" x14ac:dyDescent="0.25">
      <c r="A1931" s="25" t="s">
        <v>771</v>
      </c>
      <c r="B1931" s="26" t="str">
        <f ca="1">IFERROR(INDEX(UNSPSCDes,MATCH(INDIRECT(ADDRESS(ROW(),COLUMN()-1,4)),UNSPSCCode,0)),IF(INDIRECT(ADDRESS(ROW(),COLUMN()-1,4))="14111527","Papel autocopiante",""))</f>
        <v>Papel autocopiante</v>
      </c>
      <c r="C1931" s="58" t="str">
        <f>IFERROR(VLOOKUP("CAJ",'Informacion '!P:Q,2,FALSE),"")</f>
        <v>Caja</v>
      </c>
      <c r="D1931" s="25">
        <v>10</v>
      </c>
      <c r="E1931" s="28">
        <v>233.64</v>
      </c>
      <c r="F1931" s="27">
        <f t="shared" ca="1" si="66"/>
        <v>2336.3999999999996</v>
      </c>
    </row>
    <row r="1932" spans="1:10" ht="14.25" customHeight="1" x14ac:dyDescent="0.25">
      <c r="A1932" s="25" t="s">
        <v>883</v>
      </c>
      <c r="B1932" s="26" t="str">
        <f ca="1">IFERROR(INDEX(UNSPSCDes,MATCH(INDIRECT(ADDRESS(ROW(),COLUMN()-1,4)),UNSPSCCode,0)),IF(INDIRECT(ADDRESS(ROW(),COLUMN()-1,4))="14111530","Papel de notas autoadhesivas",""))</f>
        <v>Papel de notas autoadhesivas</v>
      </c>
      <c r="C1932" s="58" t="str">
        <f>IFERROR(VLOOKUP("UD",'Informacion '!P:Q,2,FALSE),"")</f>
        <v>Unidad</v>
      </c>
      <c r="D1932" s="25">
        <v>100</v>
      </c>
      <c r="E1932" s="28">
        <v>67.260000000000005</v>
      </c>
      <c r="F1932" s="27">
        <f t="shared" ca="1" si="66"/>
        <v>6726.0000000000009</v>
      </c>
    </row>
    <row r="1933" spans="1:10" ht="14.25" customHeight="1" x14ac:dyDescent="0.25">
      <c r="A1933" s="25" t="s">
        <v>733</v>
      </c>
      <c r="B1933" s="26" t="str">
        <f ca="1">IFERROR(INDEX(UNSPSCDes,MATCH(INDIRECT(ADDRESS(ROW(),COLUMN()-1,4)),UNSPSCCode,0)),IF(INDIRECT(ADDRESS(ROW(),COLUMN()-1,4))="14111515","Papel para sumadora o máquina registradora",""))</f>
        <v>Papel para sumadora o máquina registradora</v>
      </c>
      <c r="C1933" s="58" t="str">
        <f>IFERROR(VLOOKUP("UD",'Informacion '!P:Q,2,FALSE),"")</f>
        <v>Unidad</v>
      </c>
      <c r="D1933" s="25">
        <v>100</v>
      </c>
      <c r="E1933" s="28">
        <v>29.5</v>
      </c>
      <c r="F1933" s="27">
        <f t="shared" ca="1" si="66"/>
        <v>2950</v>
      </c>
    </row>
    <row r="1934" spans="1:10" ht="14.25" customHeight="1" x14ac:dyDescent="0.25">
      <c r="A1934" s="25" t="s">
        <v>76</v>
      </c>
      <c r="B1934" s="26" t="str">
        <f ca="1">IFERROR(INDEX(UNSPSCDes,MATCH(INDIRECT(ADDRESS(ROW(),COLUMN()-1,4)),UNSPSCCode,0)),IF(INDIRECT(ADDRESS(ROW(),COLUMN()-1,4))="14111510","Papel para plotter",""))</f>
        <v>Papel para plotter</v>
      </c>
      <c r="C1934" s="58" t="str">
        <f>IFERROR(VLOOKUP("UD",'Informacion '!P:Q,2,FALSE),"")</f>
        <v>Unidad</v>
      </c>
      <c r="D1934" s="25">
        <v>75</v>
      </c>
      <c r="E1934" s="28">
        <v>1121</v>
      </c>
      <c r="F1934" s="27">
        <f t="shared" ca="1" si="66"/>
        <v>84075</v>
      </c>
    </row>
    <row r="1935" spans="1:10" ht="14.25" customHeight="1" x14ac:dyDescent="0.25">
      <c r="A1935" s="25" t="s">
        <v>872</v>
      </c>
      <c r="B1935" s="26" t="str">
        <f ca="1">IFERROR(INDEX(UNSPSCDes,MATCH(INDIRECT(ADDRESS(ROW(),COLUMN()-1,4)),UNSPSCCode,0)),IF(INDIRECT(ADDRESS(ROW(),COLUMN()-1,4))="14111537","Etiquetas de papel",""))</f>
        <v>Etiquetas de papel</v>
      </c>
      <c r="C1935" s="58" t="str">
        <f>IFERROR(VLOOKUP("CAJ",'Informacion '!P:Q,2,FALSE),"")</f>
        <v>Caja</v>
      </c>
      <c r="D1935" s="25">
        <v>3</v>
      </c>
      <c r="E1935" s="28">
        <v>1000</v>
      </c>
      <c r="F1935" s="27">
        <f t="shared" ca="1" si="66"/>
        <v>3000</v>
      </c>
    </row>
    <row r="1936" spans="1:10" ht="14.25" customHeight="1" x14ac:dyDescent="0.25">
      <c r="E1936" s="30" t="s">
        <v>816</v>
      </c>
      <c r="F1936" s="31">
        <f ca="1">SUM(Table95[MONTO TOTAL ESTIMADO])</f>
        <v>1126749.3999999999</v>
      </c>
      <c r="H1936" s="21" t="str">
        <f>C1918</f>
        <v>Bienes</v>
      </c>
      <c r="I1936" s="21" t="str">
        <f>E1918</f>
        <v>Sí</v>
      </c>
      <c r="J1936" s="21" t="str">
        <f>D1918</f>
        <v>Compras Menores</v>
      </c>
    </row>
    <row r="1938" spans="1:6" ht="33.950000000000003" customHeight="1" x14ac:dyDescent="0.25">
      <c r="A1938" s="22" t="s">
        <v>1051</v>
      </c>
      <c r="B1938" s="22" t="s">
        <v>11</v>
      </c>
      <c r="C1938" s="22" t="s">
        <v>751</v>
      </c>
      <c r="D1938" s="22" t="s">
        <v>930</v>
      </c>
      <c r="E1938" s="22" t="s">
        <v>699</v>
      </c>
      <c r="F1938" s="22" t="s">
        <v>710</v>
      </c>
    </row>
    <row r="1939" spans="1:6" ht="14.25" customHeight="1" x14ac:dyDescent="0.25">
      <c r="A1939" s="23" t="s">
        <v>1066</v>
      </c>
      <c r="B1939" s="23" t="s">
        <v>1066</v>
      </c>
      <c r="C1939" s="23" t="s">
        <v>1155</v>
      </c>
      <c r="D1939" s="23" t="s">
        <v>654</v>
      </c>
      <c r="E1939" s="23" t="s">
        <v>385</v>
      </c>
      <c r="F1939" s="23" t="s">
        <v>436</v>
      </c>
    </row>
    <row r="1940" spans="1:6" ht="14.25" customHeight="1" x14ac:dyDescent="0.25">
      <c r="A1940" s="68" t="s">
        <v>965</v>
      </c>
      <c r="B1940" s="24" t="s">
        <v>543</v>
      </c>
      <c r="C1940" s="54">
        <v>46145</v>
      </c>
      <c r="D1940" s="68" t="s">
        <v>598</v>
      </c>
      <c r="E1940" s="56" t="s">
        <v>858</v>
      </c>
      <c r="F1940" s="57" t="s">
        <v>184</v>
      </c>
    </row>
    <row r="1941" spans="1:6" ht="14.25" customHeight="1" x14ac:dyDescent="0.25">
      <c r="A1941" s="69"/>
      <c r="B1941" s="24" t="s">
        <v>112</v>
      </c>
      <c r="C1941" s="55">
        <f>IF(C1940="","",IF(AND(MONTH(C1940)&gt;=1,MONTH(C1940)&lt;=3),1,IF(AND(MONTH(C1940)&gt;=4,MONTH(C1940)&lt;=6),2,IF(AND(MONTH(C1940)&gt;=7,MONTH(C1940)&lt;=9),3,4))))</f>
        <v>2</v>
      </c>
      <c r="D1941" s="69"/>
      <c r="E1941" s="56" t="s">
        <v>143</v>
      </c>
      <c r="F1941" s="57"/>
    </row>
    <row r="1942" spans="1:6" ht="14.25" customHeight="1" x14ac:dyDescent="0.25">
      <c r="A1942" s="69"/>
      <c r="B1942" s="24" t="s">
        <v>844</v>
      </c>
      <c r="C1942" s="54">
        <v>46183</v>
      </c>
      <c r="D1942" s="69"/>
      <c r="E1942" s="56" t="s">
        <v>183</v>
      </c>
      <c r="F1942" s="57"/>
    </row>
    <row r="1943" spans="1:6" ht="14.25" customHeight="1" x14ac:dyDescent="0.25">
      <c r="A1943" s="69"/>
      <c r="B1943" s="24" t="s">
        <v>112</v>
      </c>
      <c r="C1943" s="55">
        <f>IF(C1942="","",IF(AND(MONTH(C1942)&gt;=1,MONTH(C1942)&lt;=3),1,IF(AND(MONTH(C1942)&gt;=4,MONTH(C1942)&lt;=6),2,IF(AND(MONTH(C1942)&gt;=7,MONTH(C1942)&lt;=9),3,4))))</f>
        <v>2</v>
      </c>
      <c r="D1943" s="69"/>
      <c r="E1943" s="56" t="s">
        <v>865</v>
      </c>
      <c r="F1943" s="57"/>
    </row>
    <row r="1945" spans="1:6" ht="14.25" customHeight="1" x14ac:dyDescent="0.25">
      <c r="A1945" s="29" t="s">
        <v>1017</v>
      </c>
      <c r="B1945" s="29" t="s">
        <v>1042</v>
      </c>
      <c r="C1945" s="29" t="s">
        <v>1011</v>
      </c>
      <c r="D1945" s="29" t="s">
        <v>985</v>
      </c>
      <c r="E1945" s="29" t="s">
        <v>449</v>
      </c>
      <c r="F1945" s="29" t="s">
        <v>989</v>
      </c>
    </row>
    <row r="1946" spans="1:6" ht="14.25" customHeight="1" x14ac:dyDescent="0.25">
      <c r="A1946" s="25" t="s">
        <v>1111</v>
      </c>
      <c r="B1946" s="26" t="str">
        <f t="shared" ref="B1946:B1957" ca="1" si="67">IFERROR(INDEX(UNSPSCDes,MATCH(INDIRECT(ADDRESS(ROW(),COLUMN()-1,4)),UNSPSCCode,0)),IF(INDIRECT(ADDRESS(ROW(),COLUMN()-1,4))="25202003","Unidades de la fuente de alimentación de avión",""))</f>
        <v>Unidades de la fuente de alimentación de avión</v>
      </c>
      <c r="C1946" s="58" t="str">
        <f>IFERROR(VLOOKUP("UD",'Informacion '!P:Q,2,FALSE),"")</f>
        <v>Unidad</v>
      </c>
      <c r="D1946" s="25">
        <v>15</v>
      </c>
      <c r="E1946" s="28">
        <v>7500</v>
      </c>
      <c r="F1946" s="27">
        <f t="shared" ref="F1946:F1957" ca="1" si="68">INDIRECT(ADDRESS(ROW(),COLUMN()-2,4))*INDIRECT(ADDRESS(ROW(),COLUMN()-1,4))</f>
        <v>112500</v>
      </c>
    </row>
    <row r="1947" spans="1:6" ht="14.25" customHeight="1" x14ac:dyDescent="0.25">
      <c r="A1947" s="25" t="s">
        <v>1111</v>
      </c>
      <c r="B1947" s="26" t="str">
        <f t="shared" ca="1" si="67"/>
        <v>Unidades de la fuente de alimentación de avión</v>
      </c>
      <c r="C1947" s="58" t="str">
        <f>IFERROR(VLOOKUP("UD",'Informacion '!P:Q,2,FALSE),"")</f>
        <v>Unidad</v>
      </c>
      <c r="D1947" s="25">
        <v>15</v>
      </c>
      <c r="E1947" s="28">
        <v>7500</v>
      </c>
      <c r="F1947" s="27">
        <f t="shared" ca="1" si="68"/>
        <v>112500</v>
      </c>
    </row>
    <row r="1948" spans="1:6" ht="14.25" customHeight="1" x14ac:dyDescent="0.25">
      <c r="A1948" s="25" t="s">
        <v>1111</v>
      </c>
      <c r="B1948" s="26" t="str">
        <f t="shared" ca="1" si="67"/>
        <v>Unidades de la fuente de alimentación de avión</v>
      </c>
      <c r="C1948" s="58" t="str">
        <f>IFERROR(VLOOKUP("UD",'Informacion '!P:Q,2,FALSE),"")</f>
        <v>Unidad</v>
      </c>
      <c r="D1948" s="25">
        <v>14</v>
      </c>
      <c r="E1948" s="28">
        <v>7500</v>
      </c>
      <c r="F1948" s="27">
        <f t="shared" ca="1" si="68"/>
        <v>105000</v>
      </c>
    </row>
    <row r="1949" spans="1:6" ht="14.25" customHeight="1" x14ac:dyDescent="0.25">
      <c r="A1949" s="25" t="s">
        <v>1111</v>
      </c>
      <c r="B1949" s="26" t="str">
        <f t="shared" ca="1" si="67"/>
        <v>Unidades de la fuente de alimentación de avión</v>
      </c>
      <c r="C1949" s="58" t="str">
        <f>IFERROR(VLOOKUP("UD",'Informacion '!P:Q,2,FALSE),"")</f>
        <v>Unidad</v>
      </c>
      <c r="D1949" s="25">
        <v>12</v>
      </c>
      <c r="E1949" s="28">
        <v>7500</v>
      </c>
      <c r="F1949" s="27">
        <f t="shared" ca="1" si="68"/>
        <v>90000</v>
      </c>
    </row>
    <row r="1950" spans="1:6" ht="14.25" customHeight="1" x14ac:dyDescent="0.25">
      <c r="A1950" s="25" t="s">
        <v>1111</v>
      </c>
      <c r="B1950" s="26" t="str">
        <f t="shared" ca="1" si="67"/>
        <v>Unidades de la fuente de alimentación de avión</v>
      </c>
      <c r="C1950" s="58" t="str">
        <f>IFERROR(VLOOKUP("UD",'Informacion '!P:Q,2,FALSE),"")</f>
        <v>Unidad</v>
      </c>
      <c r="D1950" s="25">
        <v>11</v>
      </c>
      <c r="E1950" s="28">
        <v>7500</v>
      </c>
      <c r="F1950" s="27">
        <f t="shared" ca="1" si="68"/>
        <v>82500</v>
      </c>
    </row>
    <row r="1951" spans="1:6" ht="14.25" customHeight="1" x14ac:dyDescent="0.25">
      <c r="A1951" s="25" t="s">
        <v>1111</v>
      </c>
      <c r="B1951" s="26" t="str">
        <f t="shared" ca="1" si="67"/>
        <v>Unidades de la fuente de alimentación de avión</v>
      </c>
      <c r="C1951" s="58" t="str">
        <f>IFERROR(VLOOKUP("UD",'Informacion '!P:Q,2,FALSE),"")</f>
        <v>Unidad</v>
      </c>
      <c r="D1951" s="25">
        <v>10</v>
      </c>
      <c r="E1951" s="28">
        <v>7500</v>
      </c>
      <c r="F1951" s="27">
        <f t="shared" ca="1" si="68"/>
        <v>75000</v>
      </c>
    </row>
    <row r="1952" spans="1:6" ht="14.25" customHeight="1" x14ac:dyDescent="0.25">
      <c r="A1952" s="25" t="s">
        <v>1111</v>
      </c>
      <c r="B1952" s="26" t="str">
        <f t="shared" ca="1" si="67"/>
        <v>Unidades de la fuente de alimentación de avión</v>
      </c>
      <c r="C1952" s="58" t="str">
        <f>IFERROR(VLOOKUP("UD",'Informacion '!P:Q,2,FALSE),"")</f>
        <v>Unidad</v>
      </c>
      <c r="D1952" s="25">
        <v>10</v>
      </c>
      <c r="E1952" s="28">
        <v>7500</v>
      </c>
      <c r="F1952" s="27">
        <f t="shared" ca="1" si="68"/>
        <v>75000</v>
      </c>
    </row>
    <row r="1953" spans="1:10" ht="14.25" customHeight="1" x14ac:dyDescent="0.25">
      <c r="A1953" s="25" t="s">
        <v>1111</v>
      </c>
      <c r="B1953" s="26" t="str">
        <f t="shared" ca="1" si="67"/>
        <v>Unidades de la fuente de alimentación de avión</v>
      </c>
      <c r="C1953" s="58" t="str">
        <f>IFERROR(VLOOKUP("UD",'Informacion '!P:Q,2,FALSE),"")</f>
        <v>Unidad</v>
      </c>
      <c r="D1953" s="25">
        <v>10</v>
      </c>
      <c r="E1953" s="28">
        <v>7500</v>
      </c>
      <c r="F1953" s="27">
        <f t="shared" ca="1" si="68"/>
        <v>75000</v>
      </c>
    </row>
    <row r="1954" spans="1:10" ht="14.25" customHeight="1" x14ac:dyDescent="0.25">
      <c r="A1954" s="25" t="s">
        <v>1111</v>
      </c>
      <c r="B1954" s="26" t="str">
        <f t="shared" ca="1" si="67"/>
        <v>Unidades de la fuente de alimentación de avión</v>
      </c>
      <c r="C1954" s="58" t="str">
        <f>IFERROR(VLOOKUP("UD",'Informacion '!P:Q,2,FALSE),"")</f>
        <v>Unidad</v>
      </c>
      <c r="D1954" s="25">
        <v>10</v>
      </c>
      <c r="E1954" s="28">
        <v>7500</v>
      </c>
      <c r="F1954" s="27">
        <f t="shared" ca="1" si="68"/>
        <v>75000</v>
      </c>
    </row>
    <row r="1955" spans="1:10" ht="14.25" customHeight="1" x14ac:dyDescent="0.25">
      <c r="A1955" s="25" t="s">
        <v>1111</v>
      </c>
      <c r="B1955" s="26" t="str">
        <f t="shared" ca="1" si="67"/>
        <v>Unidades de la fuente de alimentación de avión</v>
      </c>
      <c r="C1955" s="58" t="str">
        <f>IFERROR(VLOOKUP("UD",'Informacion '!P:Q,2,FALSE),"")</f>
        <v>Unidad</v>
      </c>
      <c r="D1955" s="25">
        <v>10</v>
      </c>
      <c r="E1955" s="28">
        <v>6800</v>
      </c>
      <c r="F1955" s="27">
        <f t="shared" ca="1" si="68"/>
        <v>68000</v>
      </c>
    </row>
    <row r="1956" spans="1:10" ht="14.25" customHeight="1" x14ac:dyDescent="0.25">
      <c r="A1956" s="25" t="s">
        <v>1111</v>
      </c>
      <c r="B1956" s="26" t="str">
        <f t="shared" ca="1" si="67"/>
        <v>Unidades de la fuente de alimentación de avión</v>
      </c>
      <c r="C1956" s="58" t="str">
        <f>IFERROR(VLOOKUP("UD",'Informacion '!P:Q,2,FALSE),"")</f>
        <v>Unidad</v>
      </c>
      <c r="D1956" s="25">
        <v>8</v>
      </c>
      <c r="E1956" s="28">
        <v>7500</v>
      </c>
      <c r="F1956" s="27">
        <f t="shared" ca="1" si="68"/>
        <v>60000</v>
      </c>
    </row>
    <row r="1957" spans="1:10" ht="14.25" customHeight="1" x14ac:dyDescent="0.25">
      <c r="A1957" s="25" t="s">
        <v>1111</v>
      </c>
      <c r="B1957" s="26" t="str">
        <f t="shared" ca="1" si="67"/>
        <v>Unidades de la fuente de alimentación de avión</v>
      </c>
      <c r="C1957" s="58" t="str">
        <f>IFERROR(VLOOKUP("UD",'Informacion '!P:Q,2,FALSE),"")</f>
        <v>Unidad</v>
      </c>
      <c r="D1957" s="25">
        <v>8</v>
      </c>
      <c r="E1957" s="28">
        <v>7500</v>
      </c>
      <c r="F1957" s="27">
        <f t="shared" ca="1" si="68"/>
        <v>60000</v>
      </c>
    </row>
    <row r="1958" spans="1:10" ht="14.25" customHeight="1" x14ac:dyDescent="0.25">
      <c r="E1958" s="30" t="s">
        <v>816</v>
      </c>
      <c r="F1958" s="31">
        <f ca="1">SUM(Table96[MONTO TOTAL ESTIMADO])</f>
        <v>990500</v>
      </c>
      <c r="H1958" s="21" t="str">
        <f>C1939</f>
        <v>Bienes</v>
      </c>
      <c r="I1958" s="21" t="str">
        <f>E1939</f>
        <v>MIPYME Mujeres</v>
      </c>
      <c r="J1958" s="21" t="str">
        <f>D1939</f>
        <v>Compras por debajo del Umbral</v>
      </c>
    </row>
    <row r="1960" spans="1:10" ht="33.950000000000003" customHeight="1" x14ac:dyDescent="0.25">
      <c r="A1960" s="22" t="s">
        <v>1051</v>
      </c>
      <c r="B1960" s="22" t="s">
        <v>11</v>
      </c>
      <c r="C1960" s="22" t="s">
        <v>751</v>
      </c>
      <c r="D1960" s="22" t="s">
        <v>930</v>
      </c>
      <c r="E1960" s="22" t="s">
        <v>699</v>
      </c>
      <c r="F1960" s="22" t="s">
        <v>710</v>
      </c>
    </row>
    <row r="1961" spans="1:10" ht="14.25" customHeight="1" x14ac:dyDescent="0.25">
      <c r="A1961" s="23" t="s">
        <v>1222</v>
      </c>
      <c r="B1961" s="23" t="s">
        <v>495</v>
      </c>
      <c r="C1961" s="23" t="s">
        <v>1155</v>
      </c>
      <c r="D1961" s="23" t="s">
        <v>1128</v>
      </c>
      <c r="E1961" s="23" t="s">
        <v>561</v>
      </c>
      <c r="F1961" s="23" t="s">
        <v>436</v>
      </c>
    </row>
    <row r="1962" spans="1:10" ht="14.25" customHeight="1" x14ac:dyDescent="0.25">
      <c r="A1962" s="68" t="s">
        <v>965</v>
      </c>
      <c r="B1962" s="24" t="s">
        <v>543</v>
      </c>
      <c r="C1962" s="54">
        <v>46352</v>
      </c>
      <c r="D1962" s="68" t="s">
        <v>598</v>
      </c>
      <c r="E1962" s="56" t="s">
        <v>858</v>
      </c>
      <c r="F1962" s="57" t="s">
        <v>184</v>
      </c>
    </row>
    <row r="1963" spans="1:10" ht="14.25" customHeight="1" x14ac:dyDescent="0.25">
      <c r="A1963" s="69"/>
      <c r="B1963" s="24" t="s">
        <v>112</v>
      </c>
      <c r="C1963" s="55">
        <f>IF(C1962="","",IF(AND(MONTH(C1962)&gt;=1,MONTH(C1962)&lt;=3),1,IF(AND(MONTH(C1962)&gt;=4,MONTH(C1962)&lt;=6),2,IF(AND(MONTH(C1962)&gt;=7,MONTH(C1962)&lt;=9),3,4))))</f>
        <v>4</v>
      </c>
      <c r="D1963" s="69"/>
      <c r="E1963" s="56" t="s">
        <v>143</v>
      </c>
      <c r="F1963" s="57"/>
    </row>
    <row r="1964" spans="1:10" ht="14.25" customHeight="1" x14ac:dyDescent="0.25">
      <c r="A1964" s="69"/>
      <c r="B1964" s="24" t="s">
        <v>844</v>
      </c>
      <c r="C1964" s="54">
        <v>46360</v>
      </c>
      <c r="D1964" s="69"/>
      <c r="E1964" s="56" t="s">
        <v>183</v>
      </c>
      <c r="F1964" s="57"/>
    </row>
    <row r="1965" spans="1:10" ht="14.25" customHeight="1" x14ac:dyDescent="0.25">
      <c r="A1965" s="69"/>
      <c r="B1965" s="24" t="s">
        <v>112</v>
      </c>
      <c r="C1965" s="55">
        <f>IF(C1964="","",IF(AND(MONTH(C1964)&gt;=1,MONTH(C1964)&lt;=3),1,IF(AND(MONTH(C1964)&gt;=4,MONTH(C1964)&lt;=6),2,IF(AND(MONTH(C1964)&gt;=7,MONTH(C1964)&lt;=9),3,4))))</f>
        <v>4</v>
      </c>
      <c r="D1965" s="69"/>
      <c r="E1965" s="56" t="s">
        <v>865</v>
      </c>
      <c r="F1965" s="57"/>
    </row>
    <row r="1967" spans="1:10" ht="14.25" customHeight="1" x14ac:dyDescent="0.25">
      <c r="A1967" s="29" t="s">
        <v>1017</v>
      </c>
      <c r="B1967" s="29" t="s">
        <v>1042</v>
      </c>
      <c r="C1967" s="29" t="s">
        <v>1011</v>
      </c>
      <c r="D1967" s="29" t="s">
        <v>985</v>
      </c>
      <c r="E1967" s="29" t="s">
        <v>449</v>
      </c>
      <c r="F1967" s="29" t="s">
        <v>989</v>
      </c>
    </row>
    <row r="1968" spans="1:10" ht="14.25" customHeight="1" x14ac:dyDescent="0.25">
      <c r="A1968" s="25" t="s">
        <v>304</v>
      </c>
      <c r="B1968" s="26" t="str">
        <f ca="1">IFERROR(INDEX(UNSPSCDes,MATCH(INDIRECT(ADDRESS(ROW(),COLUMN()-1,4)),UNSPSCCode,0)),IF(INDIRECT(ADDRESS(ROW(),COLUMN()-1,4))="14111704","Papel higiénico",""))</f>
        <v>Papel higiénico</v>
      </c>
      <c r="C1968" s="58" t="str">
        <f>IFERROR(VLOOKUP("PAQ",'Informacion '!P:Q,2,FALSE),"")</f>
        <v>Paquete</v>
      </c>
      <c r="D1968" s="25">
        <v>400</v>
      </c>
      <c r="E1968" s="28">
        <v>1600</v>
      </c>
      <c r="F1968" s="27">
        <f t="shared" ref="F1968:F1973" ca="1" si="69">INDIRECT(ADDRESS(ROW(),COLUMN()-2,4))*INDIRECT(ADDRESS(ROW(),COLUMN()-1,4))</f>
        <v>640000</v>
      </c>
    </row>
    <row r="1969" spans="1:10" ht="14.25" customHeight="1" x14ac:dyDescent="0.25">
      <c r="A1969" s="25" t="s">
        <v>304</v>
      </c>
      <c r="B1969" s="26" t="str">
        <f ca="1">IFERROR(INDEX(UNSPSCDes,MATCH(INDIRECT(ADDRESS(ROW(),COLUMN()-1,4)),UNSPSCCode,0)),IF(INDIRECT(ADDRESS(ROW(),COLUMN()-1,4))="14111704","Papel higiénico",""))</f>
        <v>Papel higiénico</v>
      </c>
      <c r="C1969" s="58" t="str">
        <f>IFERROR(VLOOKUP("PAQ",'Informacion '!P:Q,2,FALSE),"")</f>
        <v>Paquete</v>
      </c>
      <c r="D1969" s="25">
        <v>200</v>
      </c>
      <c r="E1969" s="28">
        <v>850</v>
      </c>
      <c r="F1969" s="27">
        <f t="shared" ca="1" si="69"/>
        <v>170000</v>
      </c>
    </row>
    <row r="1970" spans="1:10" ht="14.25" customHeight="1" x14ac:dyDescent="0.25">
      <c r="A1970" s="25" t="s">
        <v>520</v>
      </c>
      <c r="B1970" s="26" t="str">
        <f ca="1">IFERROR(INDEX(UNSPSCDes,MATCH(INDIRECT(ADDRESS(ROW(),COLUMN()-1,4)),UNSPSCCode,0)),IF(INDIRECT(ADDRESS(ROW(),COLUMN()-1,4))="14111703","Toallas de papel",""))</f>
        <v>Toallas de papel</v>
      </c>
      <c r="C1970" s="58" t="str">
        <f>IFERROR(VLOOKUP("PAQ",'Informacion '!P:Q,2,FALSE),"")</f>
        <v>Paquete</v>
      </c>
      <c r="D1970" s="25">
        <v>150</v>
      </c>
      <c r="E1970" s="28">
        <v>950</v>
      </c>
      <c r="F1970" s="27">
        <f t="shared" ca="1" si="69"/>
        <v>142500</v>
      </c>
    </row>
    <row r="1971" spans="1:10" ht="14.25" customHeight="1" x14ac:dyDescent="0.25">
      <c r="A1971" s="25" t="s">
        <v>520</v>
      </c>
      <c r="B1971" s="26" t="str">
        <f ca="1">IFERROR(INDEX(UNSPSCDes,MATCH(INDIRECT(ADDRESS(ROW(),COLUMN()-1,4)),UNSPSCCode,0)),IF(INDIRECT(ADDRESS(ROW(),COLUMN()-1,4))="14111703","Toallas de papel",""))</f>
        <v>Toallas de papel</v>
      </c>
      <c r="C1971" s="58" t="str">
        <f>IFERROR(VLOOKUP("PAQ",'Informacion '!P:Q,2,FALSE),"")</f>
        <v>Paquete</v>
      </c>
      <c r="D1971" s="25">
        <v>100</v>
      </c>
      <c r="E1971" s="28">
        <v>3300</v>
      </c>
      <c r="F1971" s="27">
        <f t="shared" ca="1" si="69"/>
        <v>330000</v>
      </c>
    </row>
    <row r="1972" spans="1:10" ht="14.25" customHeight="1" x14ac:dyDescent="0.25">
      <c r="A1972" s="25" t="s">
        <v>191</v>
      </c>
      <c r="B1972" s="26" t="str">
        <f ca="1">IFERROR(INDEX(UNSPSCDes,MATCH(INDIRECT(ADDRESS(ROW(),COLUMN()-1,4)),UNSPSCCode,0)),IF(INDIRECT(ADDRESS(ROW(),COLUMN()-1,4))="14111705","Servilletas de papel",""))</f>
        <v>Servilletas de papel</v>
      </c>
      <c r="C1972" s="58" t="str">
        <f>IFERROR(VLOOKUP("PAQ",'Informacion '!P:Q,2,FALSE),"")</f>
        <v>Paquete</v>
      </c>
      <c r="D1972" s="25">
        <v>500</v>
      </c>
      <c r="E1972" s="28">
        <v>160</v>
      </c>
      <c r="F1972" s="27">
        <f t="shared" ca="1" si="69"/>
        <v>80000</v>
      </c>
    </row>
    <row r="1973" spans="1:10" ht="14.25" customHeight="1" x14ac:dyDescent="0.25">
      <c r="A1973" s="25" t="s">
        <v>191</v>
      </c>
      <c r="B1973" s="26" t="str">
        <f ca="1">IFERROR(INDEX(UNSPSCDes,MATCH(INDIRECT(ADDRESS(ROW(),COLUMN()-1,4)),UNSPSCCode,0)),IF(INDIRECT(ADDRESS(ROW(),COLUMN()-1,4))="14111705","Servilletas de papel",""))</f>
        <v>Servilletas de papel</v>
      </c>
      <c r="C1973" s="58" t="str">
        <f>IFERROR(VLOOKUP("PAQ",'Informacion '!P:Q,2,FALSE),"")</f>
        <v>Paquete</v>
      </c>
      <c r="D1973" s="25">
        <v>250</v>
      </c>
      <c r="E1973" s="28">
        <v>95</v>
      </c>
      <c r="F1973" s="27">
        <f t="shared" ca="1" si="69"/>
        <v>23750</v>
      </c>
    </row>
    <row r="1974" spans="1:10" ht="14.25" customHeight="1" x14ac:dyDescent="0.25">
      <c r="E1974" s="30" t="s">
        <v>816</v>
      </c>
      <c r="F1974" s="31">
        <f ca="1">SUM(Table97[MONTO TOTAL ESTIMADO])</f>
        <v>1386250</v>
      </c>
      <c r="H1974" s="21" t="str">
        <f>C1961</f>
        <v>Bienes</v>
      </c>
      <c r="I1974" s="21" t="str">
        <f>E1961</f>
        <v>Sí</v>
      </c>
      <c r="J1974" s="21" t="str">
        <f>D1961</f>
        <v>Compras Menores</v>
      </c>
    </row>
    <row r="1976" spans="1:10" ht="33.950000000000003" customHeight="1" x14ac:dyDescent="0.25">
      <c r="A1976" s="22" t="s">
        <v>1051</v>
      </c>
      <c r="B1976" s="22" t="s">
        <v>11</v>
      </c>
      <c r="C1976" s="22" t="s">
        <v>751</v>
      </c>
      <c r="D1976" s="22" t="s">
        <v>930</v>
      </c>
      <c r="E1976" s="22" t="s">
        <v>699</v>
      </c>
      <c r="F1976" s="22" t="s">
        <v>710</v>
      </c>
    </row>
    <row r="1977" spans="1:10" ht="14.25" customHeight="1" x14ac:dyDescent="0.25">
      <c r="A1977" s="23" t="s">
        <v>38</v>
      </c>
      <c r="B1977" s="23" t="s">
        <v>249</v>
      </c>
      <c r="C1977" s="23" t="s">
        <v>438</v>
      </c>
      <c r="D1977" s="23" t="s">
        <v>654</v>
      </c>
      <c r="E1977" s="23" t="s">
        <v>1156</v>
      </c>
      <c r="F1977" s="23" t="s">
        <v>436</v>
      </c>
    </row>
    <row r="1978" spans="1:10" ht="14.25" customHeight="1" x14ac:dyDescent="0.25">
      <c r="A1978" s="68" t="s">
        <v>965</v>
      </c>
      <c r="B1978" s="24" t="s">
        <v>543</v>
      </c>
      <c r="C1978" s="54">
        <v>46304</v>
      </c>
      <c r="D1978" s="68" t="s">
        <v>598</v>
      </c>
      <c r="E1978" s="56" t="s">
        <v>858</v>
      </c>
      <c r="F1978" s="57" t="s">
        <v>184</v>
      </c>
    </row>
    <row r="1979" spans="1:10" ht="14.25" customHeight="1" x14ac:dyDescent="0.25">
      <c r="A1979" s="69"/>
      <c r="B1979" s="24" t="s">
        <v>112</v>
      </c>
      <c r="C1979" s="55">
        <f>IF(C1978="","",IF(AND(MONTH(C1978)&gt;=1,MONTH(C1978)&lt;=3),1,IF(AND(MONTH(C1978)&gt;=4,MONTH(C1978)&lt;=6),2,IF(AND(MONTH(C1978)&gt;=7,MONTH(C1978)&lt;=9),3,4))))</f>
        <v>4</v>
      </c>
      <c r="D1979" s="69"/>
      <c r="E1979" s="56" t="s">
        <v>143</v>
      </c>
      <c r="F1979" s="57"/>
    </row>
    <row r="1980" spans="1:10" ht="14.25" customHeight="1" x14ac:dyDescent="0.25">
      <c r="A1980" s="69"/>
      <c r="B1980" s="24" t="s">
        <v>844</v>
      </c>
      <c r="C1980" s="54">
        <v>46345</v>
      </c>
      <c r="D1980" s="69"/>
      <c r="E1980" s="56" t="s">
        <v>183</v>
      </c>
      <c r="F1980" s="57"/>
    </row>
    <row r="1981" spans="1:10" ht="14.25" customHeight="1" x14ac:dyDescent="0.25">
      <c r="A1981" s="69"/>
      <c r="B1981" s="24" t="s">
        <v>112</v>
      </c>
      <c r="C1981" s="55">
        <f>IF(C1980="","",IF(AND(MONTH(C1980)&gt;=1,MONTH(C1980)&lt;=3),1,IF(AND(MONTH(C1980)&gt;=4,MONTH(C1980)&lt;=6),2,IF(AND(MONTH(C1980)&gt;=7,MONTH(C1980)&lt;=9),3,4))))</f>
        <v>4</v>
      </c>
      <c r="D1981" s="69"/>
      <c r="E1981" s="56" t="s">
        <v>865</v>
      </c>
      <c r="F1981" s="57"/>
    </row>
    <row r="1983" spans="1:10" ht="14.25" customHeight="1" x14ac:dyDescent="0.25">
      <c r="A1983" s="29" t="s">
        <v>1017</v>
      </c>
      <c r="B1983" s="29" t="s">
        <v>1042</v>
      </c>
      <c r="C1983" s="29" t="s">
        <v>1011</v>
      </c>
      <c r="D1983" s="29" t="s">
        <v>985</v>
      </c>
      <c r="E1983" s="29" t="s">
        <v>449</v>
      </c>
      <c r="F1983" s="29" t="s">
        <v>989</v>
      </c>
    </row>
    <row r="1984" spans="1:10" ht="14.25" customHeight="1" x14ac:dyDescent="0.25">
      <c r="A1984" s="25" t="s">
        <v>834</v>
      </c>
      <c r="B1984" s="26" t="str">
        <f ca="1">IFERROR(INDEX(UNSPSCDes,MATCH(INDIRECT(ADDRESS(ROW(),COLUMN()-1,4)),UNSPSCCode,0)),IF(INDIRECT(ADDRESS(ROW(),COLUMN()-1,4))="43231505","Software de recursos humanos.",""))</f>
        <v>Software de recursos humanos.</v>
      </c>
      <c r="C1984" s="58" t="str">
        <f>IFERROR(VLOOKUP("UD",'Informacion '!P:Q,2,FALSE),"")</f>
        <v>Unidad</v>
      </c>
      <c r="D1984" s="25">
        <v>1</v>
      </c>
      <c r="E1984" s="28">
        <v>60608</v>
      </c>
      <c r="F1984" s="27">
        <f ca="1">INDIRECT(ADDRESS(ROW(),COLUMN()-2,4))*INDIRECT(ADDRESS(ROW(),COLUMN()-1,4))</f>
        <v>60608</v>
      </c>
    </row>
    <row r="1985" spans="1:10" ht="14.25" customHeight="1" x14ac:dyDescent="0.25">
      <c r="E1985" s="30" t="s">
        <v>816</v>
      </c>
      <c r="F1985" s="31">
        <f ca="1">SUM(Table98[MONTO TOTAL ESTIMADO])</f>
        <v>60608</v>
      </c>
      <c r="H1985" s="21" t="str">
        <f>C1977</f>
        <v>Servicios</v>
      </c>
      <c r="I1985" s="21" t="str">
        <f>E1977</f>
        <v>No</v>
      </c>
      <c r="J1985" s="21" t="str">
        <f>D1977</f>
        <v>Compras por debajo del Umbral</v>
      </c>
    </row>
    <row r="1987" spans="1:10" ht="33.950000000000003" customHeight="1" x14ac:dyDescent="0.25">
      <c r="A1987" s="22" t="s">
        <v>1051</v>
      </c>
      <c r="B1987" s="22" t="s">
        <v>11</v>
      </c>
      <c r="C1987" s="22" t="s">
        <v>751</v>
      </c>
      <c r="D1987" s="22" t="s">
        <v>930</v>
      </c>
      <c r="E1987" s="22" t="s">
        <v>699</v>
      </c>
      <c r="F1987" s="22" t="s">
        <v>710</v>
      </c>
    </row>
    <row r="1988" spans="1:10" ht="14.25" customHeight="1" x14ac:dyDescent="0.25">
      <c r="A1988" s="23" t="s">
        <v>511</v>
      </c>
      <c r="B1988" s="23" t="s">
        <v>272</v>
      </c>
      <c r="C1988" s="23" t="s">
        <v>438</v>
      </c>
      <c r="D1988" s="23" t="s">
        <v>464</v>
      </c>
      <c r="E1988" s="23" t="s">
        <v>1156</v>
      </c>
      <c r="F1988" s="23" t="s">
        <v>436</v>
      </c>
    </row>
    <row r="1989" spans="1:10" ht="14.25" customHeight="1" x14ac:dyDescent="0.25">
      <c r="A1989" s="68" t="s">
        <v>965</v>
      </c>
      <c r="B1989" s="24" t="s">
        <v>543</v>
      </c>
      <c r="C1989" s="54">
        <v>46061</v>
      </c>
      <c r="D1989" s="68" t="s">
        <v>598</v>
      </c>
      <c r="E1989" s="56" t="s">
        <v>858</v>
      </c>
      <c r="F1989" s="57"/>
    </row>
    <row r="1990" spans="1:10" ht="14.25" customHeight="1" x14ac:dyDescent="0.25">
      <c r="A1990" s="69"/>
      <c r="B1990" s="24" t="s">
        <v>112</v>
      </c>
      <c r="C1990" s="55">
        <f>IF(C1989="","",IF(AND(MONTH(C1989)&gt;=1,MONTH(C1989)&lt;=3),1,IF(AND(MONTH(C1989)&gt;=4,MONTH(C1989)&lt;=6),2,IF(AND(MONTH(C1989)&gt;=7,MONTH(C1989)&lt;=9),3,4))))</f>
        <v>1</v>
      </c>
      <c r="D1990" s="69"/>
      <c r="E1990" s="56" t="s">
        <v>143</v>
      </c>
      <c r="F1990" s="57"/>
    </row>
    <row r="1991" spans="1:10" ht="14.25" customHeight="1" x14ac:dyDescent="0.25">
      <c r="A1991" s="69"/>
      <c r="B1991" s="24" t="s">
        <v>844</v>
      </c>
      <c r="C1991" s="54">
        <v>46096</v>
      </c>
      <c r="D1991" s="69"/>
      <c r="E1991" s="56" t="s">
        <v>183</v>
      </c>
      <c r="F1991" s="57"/>
    </row>
    <row r="1992" spans="1:10" ht="14.25" customHeight="1" x14ac:dyDescent="0.25">
      <c r="A1992" s="69"/>
      <c r="B1992" s="24" t="s">
        <v>112</v>
      </c>
      <c r="C1992" s="55">
        <f>IF(C1991="","",IF(AND(MONTH(C1991)&gt;=1,MONTH(C1991)&lt;=3),1,IF(AND(MONTH(C1991)&gt;=4,MONTH(C1991)&lt;=6),2,IF(AND(MONTH(C1991)&gt;=7,MONTH(C1991)&lt;=9),3,4))))</f>
        <v>1</v>
      </c>
      <c r="D1992" s="69"/>
      <c r="E1992" s="56" t="s">
        <v>865</v>
      </c>
      <c r="F1992" s="57"/>
    </row>
    <row r="1994" spans="1:10" ht="14.25" customHeight="1" x14ac:dyDescent="0.25">
      <c r="A1994" s="29" t="s">
        <v>1017</v>
      </c>
      <c r="B1994" s="29" t="s">
        <v>1042</v>
      </c>
      <c r="C1994" s="29" t="s">
        <v>1011</v>
      </c>
      <c r="D1994" s="29" t="s">
        <v>985</v>
      </c>
      <c r="E1994" s="29" t="s">
        <v>449</v>
      </c>
      <c r="F1994" s="29" t="s">
        <v>989</v>
      </c>
    </row>
    <row r="1995" spans="1:10" ht="14.25" customHeight="1" x14ac:dyDescent="0.25">
      <c r="A1995" s="25" t="s">
        <v>456</v>
      </c>
      <c r="B1995" s="26" t="str">
        <f ca="1">IFERROR(INDEX(UNSPSCDes,MATCH(INDIRECT(ADDRESS(ROW(),COLUMN()-1,4)),UNSPSCCode,0)),IF(INDIRECT(ADDRESS(ROW(),COLUMN()-1,4))="82131603","Servicios de producción de vídeos",""))</f>
        <v>Servicios de producción de vídeos</v>
      </c>
      <c r="C1995" s="58" t="str">
        <f>IFERROR(VLOOKUP("UD",'Informacion '!P:Q,2,FALSE),"")</f>
        <v>Unidad</v>
      </c>
      <c r="D1995" s="25">
        <v>1</v>
      </c>
      <c r="E1995" s="28">
        <v>1800000</v>
      </c>
      <c r="F1995" s="27">
        <f ca="1">INDIRECT(ADDRESS(ROW(),COLUMN()-2,4))*INDIRECT(ADDRESS(ROW(),COLUMN()-1,4))</f>
        <v>1800000</v>
      </c>
    </row>
    <row r="1996" spans="1:10" ht="14.25" customHeight="1" x14ac:dyDescent="0.25">
      <c r="E1996" s="30" t="s">
        <v>816</v>
      </c>
      <c r="F1996" s="31">
        <f ca="1">SUM(Table99[MONTO TOTAL ESTIMADO])</f>
        <v>1800000</v>
      </c>
      <c r="H1996" s="21" t="str">
        <f>C1988</f>
        <v>Servicios</v>
      </c>
      <c r="I1996" s="21" t="str">
        <f>E1988</f>
        <v>No</v>
      </c>
      <c r="J1996" s="21" t="str">
        <f>D1988</f>
        <v>Excepción - Obras científicas, técnicas, artísticas, o restauración  de monumentos históricos</v>
      </c>
    </row>
    <row r="1998" spans="1:10" ht="33.950000000000003" customHeight="1" x14ac:dyDescent="0.25">
      <c r="A1998" s="22" t="s">
        <v>1051</v>
      </c>
      <c r="B1998" s="22" t="s">
        <v>11</v>
      </c>
      <c r="C1998" s="22" t="s">
        <v>751</v>
      </c>
      <c r="D1998" s="22" t="s">
        <v>930</v>
      </c>
      <c r="E1998" s="22" t="s">
        <v>699</v>
      </c>
      <c r="F1998" s="22" t="s">
        <v>710</v>
      </c>
    </row>
    <row r="1999" spans="1:10" ht="14.25" customHeight="1" x14ac:dyDescent="0.25">
      <c r="A1999" s="23" t="s">
        <v>548</v>
      </c>
      <c r="B1999" s="23" t="s">
        <v>548</v>
      </c>
      <c r="C1999" s="23" t="s">
        <v>438</v>
      </c>
      <c r="D1999" s="23" t="s">
        <v>270</v>
      </c>
      <c r="E1999" s="23" t="s">
        <v>1156</v>
      </c>
      <c r="F1999" s="23" t="s">
        <v>436</v>
      </c>
    </row>
    <row r="2000" spans="1:10" ht="14.25" customHeight="1" x14ac:dyDescent="0.25">
      <c r="A2000" s="68" t="s">
        <v>965</v>
      </c>
      <c r="B2000" s="24" t="s">
        <v>543</v>
      </c>
      <c r="C2000" s="54">
        <v>46309</v>
      </c>
      <c r="D2000" s="68" t="s">
        <v>598</v>
      </c>
      <c r="E2000" s="56" t="s">
        <v>858</v>
      </c>
      <c r="F2000" s="57"/>
    </row>
    <row r="2001" spans="1:10" ht="14.25" customHeight="1" x14ac:dyDescent="0.25">
      <c r="A2001" s="69"/>
      <c r="B2001" s="24" t="s">
        <v>112</v>
      </c>
      <c r="C2001" s="55">
        <f>IF(C2000="","",IF(AND(MONTH(C2000)&gt;=1,MONTH(C2000)&lt;=3),1,IF(AND(MONTH(C2000)&gt;=4,MONTH(C2000)&lt;=6),2,IF(AND(MONTH(C2000)&gt;=7,MONTH(C2000)&lt;=9),3,4))))</f>
        <v>4</v>
      </c>
      <c r="D2001" s="69"/>
      <c r="E2001" s="56" t="s">
        <v>143</v>
      </c>
      <c r="F2001" s="57"/>
    </row>
    <row r="2002" spans="1:10" ht="14.25" customHeight="1" x14ac:dyDescent="0.25">
      <c r="A2002" s="69"/>
      <c r="B2002" s="24" t="s">
        <v>844</v>
      </c>
      <c r="C2002" s="54">
        <v>46356</v>
      </c>
      <c r="D2002" s="69"/>
      <c r="E2002" s="56" t="s">
        <v>183</v>
      </c>
      <c r="F2002" s="57"/>
    </row>
    <row r="2003" spans="1:10" ht="14.25" customHeight="1" x14ac:dyDescent="0.25">
      <c r="A2003" s="69"/>
      <c r="B2003" s="24" t="s">
        <v>112</v>
      </c>
      <c r="C2003" s="55">
        <f>IF(C2002="","",IF(AND(MONTH(C2002)&gt;=1,MONTH(C2002)&lt;=3),1,IF(AND(MONTH(C2002)&gt;=4,MONTH(C2002)&lt;=6),2,IF(AND(MONTH(C2002)&gt;=7,MONTH(C2002)&lt;=9),3,4))))</f>
        <v>4</v>
      </c>
      <c r="D2003" s="69"/>
      <c r="E2003" s="56" t="s">
        <v>865</v>
      </c>
      <c r="F2003" s="57"/>
    </row>
    <row r="2005" spans="1:10" ht="14.25" customHeight="1" x14ac:dyDescent="0.25">
      <c r="A2005" s="29" t="s">
        <v>1017</v>
      </c>
      <c r="B2005" s="29" t="s">
        <v>1042</v>
      </c>
      <c r="C2005" s="29" t="s">
        <v>1011</v>
      </c>
      <c r="D2005" s="29" t="s">
        <v>985</v>
      </c>
      <c r="E2005" s="29" t="s">
        <v>449</v>
      </c>
      <c r="F2005" s="29" t="s">
        <v>989</v>
      </c>
    </row>
    <row r="2006" spans="1:10" ht="14.25" customHeight="1" x14ac:dyDescent="0.25">
      <c r="A2006" s="25" t="s">
        <v>999</v>
      </c>
      <c r="B2006" s="26" t="str">
        <f ca="1">IFERROR(INDEX(UNSPSCDes,MATCH(INDIRECT(ADDRESS(ROW(),COLUMN()-1,4)),UNSPSCCode,0)),IF(INDIRECT(ADDRESS(ROW(),COLUMN()-1,4))="82101603","Publicidad en internet",""))</f>
        <v>Publicidad en internet</v>
      </c>
      <c r="C2006" s="58" t="str">
        <f>IFERROR(VLOOKUP("UD",'Informacion '!P:Q,2,FALSE),"")</f>
        <v>Unidad</v>
      </c>
      <c r="D2006" s="25">
        <v>1</v>
      </c>
      <c r="E2006" s="28">
        <v>5000000</v>
      </c>
      <c r="F2006" s="27">
        <f ca="1">INDIRECT(ADDRESS(ROW(),COLUMN()-2,4))*INDIRECT(ADDRESS(ROW(),COLUMN()-1,4))</f>
        <v>5000000</v>
      </c>
    </row>
    <row r="2007" spans="1:10" ht="14.25" customHeight="1" x14ac:dyDescent="0.25">
      <c r="A2007" s="25" t="s">
        <v>972</v>
      </c>
      <c r="B2007" s="26" t="str">
        <f ca="1">IFERROR(INDEX(UNSPSCDes,MATCH(INDIRECT(ADDRESS(ROW(),COLUMN()-1,4)),UNSPSCCode,0)),IF(INDIRECT(ADDRESS(ROW(),COLUMN()-1,4))="82101602","Publicidad en televisión",""))</f>
        <v>Publicidad en televisión</v>
      </c>
      <c r="C2007" s="58" t="str">
        <f>IFERROR(VLOOKUP("UD",'Informacion '!P:Q,2,FALSE),"")</f>
        <v>Unidad</v>
      </c>
      <c r="D2007" s="25">
        <v>1</v>
      </c>
      <c r="E2007" s="28">
        <v>5000000</v>
      </c>
      <c r="F2007" s="27">
        <f ca="1">INDIRECT(ADDRESS(ROW(),COLUMN()-2,4))*INDIRECT(ADDRESS(ROW(),COLUMN()-1,4))</f>
        <v>5000000</v>
      </c>
    </row>
    <row r="2008" spans="1:10" ht="14.25" customHeight="1" x14ac:dyDescent="0.25">
      <c r="A2008" s="25" t="s">
        <v>655</v>
      </c>
      <c r="B2008" s="26" t="str">
        <f ca="1">IFERROR(INDEX(UNSPSCDes,MATCH(INDIRECT(ADDRESS(ROW(),COLUMN()-1,4)),UNSPSCCode,0)),IF(INDIRECT(ADDRESS(ROW(),COLUMN()-1,4))="82101601","Publicidad en radio",""))</f>
        <v>Publicidad en radio</v>
      </c>
      <c r="C2008" s="58" t="str">
        <f>IFERROR(VLOOKUP("UD",'Informacion '!P:Q,2,FALSE),"")</f>
        <v>Unidad</v>
      </c>
      <c r="D2008" s="25">
        <v>1</v>
      </c>
      <c r="E2008" s="28">
        <v>2000000</v>
      </c>
      <c r="F2008" s="27">
        <f ca="1">INDIRECT(ADDRESS(ROW(),COLUMN()-2,4))*INDIRECT(ADDRESS(ROW(),COLUMN()-1,4))</f>
        <v>2000000</v>
      </c>
    </row>
    <row r="2009" spans="1:10" ht="14.25" customHeight="1" x14ac:dyDescent="0.25">
      <c r="E2009" s="30" t="s">
        <v>816</v>
      </c>
      <c r="F2009" s="31">
        <f ca="1">SUM(Table100[MONTO TOTAL ESTIMADO])</f>
        <v>12000000</v>
      </c>
      <c r="H2009" s="21" t="str">
        <f>C1999</f>
        <v>Servicios</v>
      </c>
      <c r="I2009" s="21" t="str">
        <f>E1999</f>
        <v>No</v>
      </c>
      <c r="J2009" s="21" t="str">
        <f>D1999</f>
        <v>Excepción - Contratación de publicidad a través de medios de comunicación social</v>
      </c>
    </row>
    <row r="2011" spans="1:10" ht="33.950000000000003" customHeight="1" x14ac:dyDescent="0.25">
      <c r="A2011" s="22" t="s">
        <v>1051</v>
      </c>
      <c r="B2011" s="22" t="s">
        <v>11</v>
      </c>
      <c r="C2011" s="22" t="s">
        <v>751</v>
      </c>
      <c r="D2011" s="22" t="s">
        <v>930</v>
      </c>
      <c r="E2011" s="22" t="s">
        <v>699</v>
      </c>
      <c r="F2011" s="22" t="s">
        <v>710</v>
      </c>
    </row>
    <row r="2012" spans="1:10" ht="14.25" customHeight="1" x14ac:dyDescent="0.25">
      <c r="A2012" s="23" t="s">
        <v>1086</v>
      </c>
      <c r="B2012" s="23" t="s">
        <v>864</v>
      </c>
      <c r="C2012" s="23" t="s">
        <v>438</v>
      </c>
      <c r="D2012" s="23" t="s">
        <v>270</v>
      </c>
      <c r="E2012" s="23" t="s">
        <v>1156</v>
      </c>
      <c r="F2012" s="23" t="s">
        <v>436</v>
      </c>
    </row>
    <row r="2013" spans="1:10" ht="14.25" customHeight="1" x14ac:dyDescent="0.25">
      <c r="A2013" s="68" t="s">
        <v>965</v>
      </c>
      <c r="B2013" s="24" t="s">
        <v>543</v>
      </c>
      <c r="C2013" s="54">
        <v>46311</v>
      </c>
      <c r="D2013" s="68" t="s">
        <v>598</v>
      </c>
      <c r="E2013" s="56" t="s">
        <v>858</v>
      </c>
      <c r="F2013" s="57"/>
    </row>
    <row r="2014" spans="1:10" ht="14.25" customHeight="1" x14ac:dyDescent="0.25">
      <c r="A2014" s="69"/>
      <c r="B2014" s="24" t="s">
        <v>112</v>
      </c>
      <c r="C2014" s="55">
        <f>IF(C2013="","",IF(AND(MONTH(C2013)&gt;=1,MONTH(C2013)&lt;=3),1,IF(AND(MONTH(C2013)&gt;=4,MONTH(C2013)&lt;=6),2,IF(AND(MONTH(C2013)&gt;=7,MONTH(C2013)&lt;=9),3,4))))</f>
        <v>4</v>
      </c>
      <c r="D2014" s="69"/>
      <c r="E2014" s="56" t="s">
        <v>143</v>
      </c>
      <c r="F2014" s="57"/>
    </row>
    <row r="2015" spans="1:10" ht="14.25" customHeight="1" x14ac:dyDescent="0.25">
      <c r="A2015" s="69"/>
      <c r="B2015" s="24" t="s">
        <v>844</v>
      </c>
      <c r="C2015" s="54">
        <v>46318</v>
      </c>
      <c r="D2015" s="69"/>
      <c r="E2015" s="56" t="s">
        <v>183</v>
      </c>
      <c r="F2015" s="57"/>
    </row>
    <row r="2016" spans="1:10" ht="14.25" customHeight="1" x14ac:dyDescent="0.25">
      <c r="A2016" s="69"/>
      <c r="B2016" s="24" t="s">
        <v>112</v>
      </c>
      <c r="C2016" s="55">
        <f>IF(C2015="","",IF(AND(MONTH(C2015)&gt;=1,MONTH(C2015)&lt;=3),1,IF(AND(MONTH(C2015)&gt;=4,MONTH(C2015)&lt;=6),2,IF(AND(MONTH(C2015)&gt;=7,MONTH(C2015)&lt;=9),3,4))))</f>
        <v>4</v>
      </c>
      <c r="D2016" s="69"/>
      <c r="E2016" s="56" t="s">
        <v>865</v>
      </c>
      <c r="F2016" s="57"/>
    </row>
    <row r="2018" spans="1:10" ht="14.25" customHeight="1" x14ac:dyDescent="0.25">
      <c r="A2018" s="29" t="s">
        <v>1017</v>
      </c>
      <c r="B2018" s="29" t="s">
        <v>1042</v>
      </c>
      <c r="C2018" s="29" t="s">
        <v>1011</v>
      </c>
      <c r="D2018" s="29" t="s">
        <v>985</v>
      </c>
      <c r="E2018" s="29" t="s">
        <v>449</v>
      </c>
      <c r="F2018" s="29" t="s">
        <v>989</v>
      </c>
    </row>
    <row r="2019" spans="1:10" ht="14.25" customHeight="1" x14ac:dyDescent="0.25">
      <c r="A2019" s="25" t="s">
        <v>384</v>
      </c>
      <c r="B2019" s="26" t="str">
        <f ca="1">IFERROR(INDEX(UNSPSCDes,MATCH(INDIRECT(ADDRESS(ROW(),COLUMN()-1,4)),UNSPSCCode,0)),IF(INDIRECT(ADDRESS(ROW(),COLUMN()-1,4))="82101504","Publicidad en periódicos",""))</f>
        <v>Publicidad en periódicos</v>
      </c>
      <c r="C2019" s="58" t="str">
        <f>IFERROR(VLOOKUP("UD",'Informacion '!P:Q,2,FALSE),"")</f>
        <v>Unidad</v>
      </c>
      <c r="D2019" s="25">
        <v>2</v>
      </c>
      <c r="E2019" s="28">
        <v>1000000</v>
      </c>
      <c r="F2019" s="27">
        <f ca="1">INDIRECT(ADDRESS(ROW(),COLUMN()-2,4))*INDIRECT(ADDRESS(ROW(),COLUMN()-1,4))</f>
        <v>2000000</v>
      </c>
    </row>
    <row r="2020" spans="1:10" ht="14.25" customHeight="1" x14ac:dyDescent="0.25">
      <c r="E2020" s="30" t="s">
        <v>816</v>
      </c>
      <c r="F2020" s="31">
        <f ca="1">SUM(Table101[MONTO TOTAL ESTIMADO])</f>
        <v>2000000</v>
      </c>
      <c r="H2020" s="21" t="str">
        <f>C2012</f>
        <v>Servicios</v>
      </c>
      <c r="I2020" s="21" t="str">
        <f>E2012</f>
        <v>No</v>
      </c>
      <c r="J2020" s="21" t="str">
        <f>D2012</f>
        <v>Excepción - Contratación de publicidad a través de medios de comunicación social</v>
      </c>
    </row>
    <row r="2022" spans="1:10" ht="33.950000000000003" customHeight="1" x14ac:dyDescent="0.25">
      <c r="A2022" s="22" t="s">
        <v>1051</v>
      </c>
      <c r="B2022" s="22" t="s">
        <v>11</v>
      </c>
      <c r="C2022" s="22" t="s">
        <v>751</v>
      </c>
      <c r="D2022" s="22" t="s">
        <v>930</v>
      </c>
      <c r="E2022" s="22" t="s">
        <v>699</v>
      </c>
      <c r="F2022" s="22" t="s">
        <v>710</v>
      </c>
    </row>
    <row r="2023" spans="1:10" ht="14.25" customHeight="1" x14ac:dyDescent="0.25">
      <c r="A2023" s="23" t="s">
        <v>833</v>
      </c>
      <c r="B2023" s="23" t="s">
        <v>833</v>
      </c>
      <c r="C2023" s="23" t="s">
        <v>438</v>
      </c>
      <c r="D2023" s="23" t="s">
        <v>270</v>
      </c>
      <c r="E2023" s="23" t="s">
        <v>1156</v>
      </c>
      <c r="F2023" s="23" t="s">
        <v>436</v>
      </c>
    </row>
    <row r="2024" spans="1:10" ht="14.25" customHeight="1" x14ac:dyDescent="0.25">
      <c r="A2024" s="68" t="s">
        <v>965</v>
      </c>
      <c r="B2024" s="24" t="s">
        <v>543</v>
      </c>
      <c r="C2024" s="54">
        <v>46309</v>
      </c>
      <c r="D2024" s="68" t="s">
        <v>598</v>
      </c>
      <c r="E2024" s="56" t="s">
        <v>858</v>
      </c>
      <c r="F2024" s="57"/>
    </row>
    <row r="2025" spans="1:10" ht="14.25" customHeight="1" x14ac:dyDescent="0.25">
      <c r="A2025" s="69"/>
      <c r="B2025" s="24" t="s">
        <v>112</v>
      </c>
      <c r="C2025" s="55">
        <f>IF(C2024="","",IF(AND(MONTH(C2024)&gt;=1,MONTH(C2024)&lt;=3),1,IF(AND(MONTH(C2024)&gt;=4,MONTH(C2024)&lt;=6),2,IF(AND(MONTH(C2024)&gt;=7,MONTH(C2024)&lt;=9),3,4))))</f>
        <v>4</v>
      </c>
      <c r="D2025" s="69"/>
      <c r="E2025" s="56" t="s">
        <v>143</v>
      </c>
      <c r="F2025" s="57"/>
    </row>
    <row r="2026" spans="1:10" ht="14.25" customHeight="1" x14ac:dyDescent="0.25">
      <c r="A2026" s="69"/>
      <c r="B2026" s="24" t="s">
        <v>844</v>
      </c>
      <c r="C2026" s="54">
        <v>46316</v>
      </c>
      <c r="D2026" s="69"/>
      <c r="E2026" s="56" t="s">
        <v>183</v>
      </c>
      <c r="F2026" s="57"/>
    </row>
    <row r="2027" spans="1:10" ht="14.25" customHeight="1" x14ac:dyDescent="0.25">
      <c r="A2027" s="69"/>
      <c r="B2027" s="24" t="s">
        <v>112</v>
      </c>
      <c r="C2027" s="55">
        <f>IF(C2026="","",IF(AND(MONTH(C2026)&gt;=1,MONTH(C2026)&lt;=3),1,IF(AND(MONTH(C2026)&gt;=4,MONTH(C2026)&lt;=6),2,IF(AND(MONTH(C2026)&gt;=7,MONTH(C2026)&lt;=9),3,4))))</f>
        <v>4</v>
      </c>
      <c r="D2027" s="69"/>
      <c r="E2027" s="56" t="s">
        <v>865</v>
      </c>
      <c r="F2027" s="57"/>
    </row>
    <row r="2029" spans="1:10" ht="14.25" customHeight="1" x14ac:dyDescent="0.25">
      <c r="A2029" s="29" t="s">
        <v>1017</v>
      </c>
      <c r="B2029" s="29" t="s">
        <v>1042</v>
      </c>
      <c r="C2029" s="29" t="s">
        <v>1011</v>
      </c>
      <c r="D2029" s="29" t="s">
        <v>985</v>
      </c>
      <c r="E2029" s="29" t="s">
        <v>449</v>
      </c>
      <c r="F2029" s="29" t="s">
        <v>989</v>
      </c>
    </row>
    <row r="2030" spans="1:10" ht="14.25" customHeight="1" x14ac:dyDescent="0.25">
      <c r="A2030" s="25" t="s">
        <v>503</v>
      </c>
      <c r="B2030" s="26" t="str">
        <f ca="1">IFERROR(INDEX(UNSPSCDes,MATCH(INDIRECT(ADDRESS(ROW(),COLUMN()-1,4)),UNSPSCCode,0)),IF(INDIRECT(ADDRESS(ROW(),COLUMN()-1,4))="82101501","Publicidad en vallas",""))</f>
        <v>Publicidad en vallas</v>
      </c>
      <c r="C2030" s="58" t="str">
        <f>IFERROR(VLOOKUP("UD",'Informacion '!P:Q,2,FALSE),"")</f>
        <v>Unidad</v>
      </c>
      <c r="D2030" s="25">
        <v>1</v>
      </c>
      <c r="E2030" s="28">
        <v>10000000</v>
      </c>
      <c r="F2030" s="27">
        <f ca="1">INDIRECT(ADDRESS(ROW(),COLUMN()-2,4))*INDIRECT(ADDRESS(ROW(),COLUMN()-1,4))</f>
        <v>10000000</v>
      </c>
    </row>
    <row r="2031" spans="1:10" ht="14.25" customHeight="1" x14ac:dyDescent="0.25">
      <c r="E2031" s="30" t="s">
        <v>816</v>
      </c>
      <c r="F2031" s="31">
        <f ca="1">SUM(Table102[MONTO TOTAL ESTIMADO])</f>
        <v>10000000</v>
      </c>
      <c r="H2031" s="21" t="str">
        <f>C2023</f>
        <v>Servicios</v>
      </c>
      <c r="I2031" s="21" t="str">
        <f>E2023</f>
        <v>No</v>
      </c>
      <c r="J2031" s="21" t="str">
        <f>D2023</f>
        <v>Excepción - Contratación de publicidad a través de medios de comunicación social</v>
      </c>
    </row>
    <row r="2033" spans="1:10" ht="33.950000000000003" customHeight="1" x14ac:dyDescent="0.25">
      <c r="A2033" s="22" t="s">
        <v>1051</v>
      </c>
      <c r="B2033" s="22" t="s">
        <v>11</v>
      </c>
      <c r="C2033" s="22" t="s">
        <v>751</v>
      </c>
      <c r="D2033" s="22" t="s">
        <v>930</v>
      </c>
      <c r="E2033" s="22" t="s">
        <v>699</v>
      </c>
      <c r="F2033" s="22" t="s">
        <v>710</v>
      </c>
    </row>
    <row r="2034" spans="1:10" ht="14.25" customHeight="1" x14ac:dyDescent="0.25">
      <c r="A2034" s="23" t="s">
        <v>524</v>
      </c>
      <c r="B2034" s="23" t="s">
        <v>524</v>
      </c>
      <c r="C2034" s="23" t="s">
        <v>438</v>
      </c>
      <c r="D2034" s="23" t="s">
        <v>270</v>
      </c>
      <c r="E2034" s="23" t="s">
        <v>1156</v>
      </c>
      <c r="F2034" s="23" t="s">
        <v>436</v>
      </c>
    </row>
    <row r="2035" spans="1:10" ht="14.25" customHeight="1" x14ac:dyDescent="0.25">
      <c r="A2035" s="68" t="s">
        <v>965</v>
      </c>
      <c r="B2035" s="24" t="s">
        <v>543</v>
      </c>
      <c r="C2035" s="54">
        <v>46309</v>
      </c>
      <c r="D2035" s="68" t="s">
        <v>598</v>
      </c>
      <c r="E2035" s="56" t="s">
        <v>858</v>
      </c>
      <c r="F2035" s="57"/>
    </row>
    <row r="2036" spans="1:10" ht="14.25" customHeight="1" x14ac:dyDescent="0.25">
      <c r="A2036" s="69"/>
      <c r="B2036" s="24" t="s">
        <v>112</v>
      </c>
      <c r="C2036" s="55">
        <f>IF(C2035="","",IF(AND(MONTH(C2035)&gt;=1,MONTH(C2035)&lt;=3),1,IF(AND(MONTH(C2035)&gt;=4,MONTH(C2035)&lt;=6),2,IF(AND(MONTH(C2035)&gt;=7,MONTH(C2035)&lt;=9),3,4))))</f>
        <v>4</v>
      </c>
      <c r="D2036" s="69"/>
      <c r="E2036" s="56" t="s">
        <v>143</v>
      </c>
      <c r="F2036" s="57"/>
    </row>
    <row r="2037" spans="1:10" ht="14.25" customHeight="1" x14ac:dyDescent="0.25">
      <c r="A2037" s="69"/>
      <c r="B2037" s="24" t="s">
        <v>844</v>
      </c>
      <c r="C2037" s="54">
        <v>46317</v>
      </c>
      <c r="D2037" s="69"/>
      <c r="E2037" s="56" t="s">
        <v>183</v>
      </c>
      <c r="F2037" s="57"/>
    </row>
    <row r="2038" spans="1:10" ht="14.25" customHeight="1" x14ac:dyDescent="0.25">
      <c r="A2038" s="69"/>
      <c r="B2038" s="24" t="s">
        <v>112</v>
      </c>
      <c r="C2038" s="55">
        <f>IF(C2037="","",IF(AND(MONTH(C2037)&gt;=1,MONTH(C2037)&lt;=3),1,IF(AND(MONTH(C2037)&gt;=4,MONTH(C2037)&lt;=6),2,IF(AND(MONTH(C2037)&gt;=7,MONTH(C2037)&lt;=9),3,4))))</f>
        <v>4</v>
      </c>
      <c r="D2038" s="69"/>
      <c r="E2038" s="56" t="s">
        <v>865</v>
      </c>
      <c r="F2038" s="57"/>
    </row>
    <row r="2040" spans="1:10" ht="14.25" customHeight="1" x14ac:dyDescent="0.25">
      <c r="A2040" s="29" t="s">
        <v>1017</v>
      </c>
      <c r="B2040" s="29" t="s">
        <v>1042</v>
      </c>
      <c r="C2040" s="29" t="s">
        <v>1011</v>
      </c>
      <c r="D2040" s="29" t="s">
        <v>985</v>
      </c>
      <c r="E2040" s="29" t="s">
        <v>449</v>
      </c>
      <c r="F2040" s="29" t="s">
        <v>989</v>
      </c>
    </row>
    <row r="2041" spans="1:10" ht="14.25" customHeight="1" x14ac:dyDescent="0.25">
      <c r="A2041" s="25" t="s">
        <v>494</v>
      </c>
      <c r="B2041" s="26" t="str">
        <f ca="1">IFERROR(INDEX(UNSPSCDes,MATCH(INDIRECT(ADDRESS(ROW(),COLUMN()-1,4)),UNSPSCCode,0)),IF(INDIRECT(ADDRESS(ROW(),COLUMN()-1,4))="82101503","Publicidad en revistas",""))</f>
        <v>Publicidad en revistas</v>
      </c>
      <c r="C2041" s="58" t="str">
        <f>IFERROR(VLOOKUP("UD",'Informacion '!P:Q,2,FALSE),"")</f>
        <v>Unidad</v>
      </c>
      <c r="D2041" s="25">
        <v>1</v>
      </c>
      <c r="E2041" s="28">
        <v>1000000</v>
      </c>
      <c r="F2041" s="27">
        <f ca="1">INDIRECT(ADDRESS(ROW(),COLUMN()-2,4))*INDIRECT(ADDRESS(ROW(),COLUMN()-1,4))</f>
        <v>1000000</v>
      </c>
    </row>
    <row r="2042" spans="1:10" ht="14.25" customHeight="1" x14ac:dyDescent="0.25">
      <c r="E2042" s="30" t="s">
        <v>816</v>
      </c>
      <c r="F2042" s="31">
        <f ca="1">SUM(Table103[MONTO TOTAL ESTIMADO])</f>
        <v>1000000</v>
      </c>
      <c r="H2042" s="21" t="str">
        <f>C2034</f>
        <v>Servicios</v>
      </c>
      <c r="I2042" s="21" t="str">
        <f>E2034</f>
        <v>No</v>
      </c>
      <c r="J2042" s="21" t="str">
        <f>D2034</f>
        <v>Excepción - Contratación de publicidad a través de medios de comunicación social</v>
      </c>
    </row>
    <row r="2044" spans="1:10" ht="33.950000000000003" customHeight="1" x14ac:dyDescent="0.25">
      <c r="A2044" s="22" t="s">
        <v>1051</v>
      </c>
      <c r="B2044" s="22" t="s">
        <v>11</v>
      </c>
      <c r="C2044" s="22" t="s">
        <v>751</v>
      </c>
      <c r="D2044" s="22" t="s">
        <v>930</v>
      </c>
      <c r="E2044" s="22" t="s">
        <v>699</v>
      </c>
      <c r="F2044" s="22" t="s">
        <v>710</v>
      </c>
    </row>
    <row r="2045" spans="1:10" ht="14.25" customHeight="1" x14ac:dyDescent="0.25">
      <c r="A2045" s="23" t="s">
        <v>1114</v>
      </c>
      <c r="B2045" s="23" t="s">
        <v>1114</v>
      </c>
      <c r="C2045" s="23" t="s">
        <v>438</v>
      </c>
      <c r="D2045" s="23" t="s">
        <v>146</v>
      </c>
      <c r="E2045" s="23" t="s">
        <v>1156</v>
      </c>
      <c r="F2045" s="23" t="s">
        <v>436</v>
      </c>
    </row>
    <row r="2046" spans="1:10" ht="14.25" customHeight="1" x14ac:dyDescent="0.25">
      <c r="A2046" s="68" t="s">
        <v>965</v>
      </c>
      <c r="B2046" s="24" t="s">
        <v>543</v>
      </c>
      <c r="C2046" s="54">
        <v>46302</v>
      </c>
      <c r="D2046" s="68" t="s">
        <v>598</v>
      </c>
      <c r="E2046" s="56" t="s">
        <v>858</v>
      </c>
      <c r="F2046" s="57"/>
    </row>
    <row r="2047" spans="1:10" ht="14.25" customHeight="1" x14ac:dyDescent="0.25">
      <c r="A2047" s="69"/>
      <c r="B2047" s="24" t="s">
        <v>112</v>
      </c>
      <c r="C2047" s="55">
        <f>IF(C2046="","",IF(AND(MONTH(C2046)&gt;=1,MONTH(C2046)&lt;=3),1,IF(AND(MONTH(C2046)&gt;=4,MONTH(C2046)&lt;=6),2,IF(AND(MONTH(C2046)&gt;=7,MONTH(C2046)&lt;=9),3,4))))</f>
        <v>4</v>
      </c>
      <c r="D2047" s="69"/>
      <c r="E2047" s="56" t="s">
        <v>143</v>
      </c>
      <c r="F2047" s="57"/>
    </row>
    <row r="2048" spans="1:10" ht="14.25" customHeight="1" x14ac:dyDescent="0.25">
      <c r="A2048" s="69"/>
      <c r="B2048" s="24" t="s">
        <v>844</v>
      </c>
      <c r="C2048" s="54">
        <v>46330</v>
      </c>
      <c r="D2048" s="69"/>
      <c r="E2048" s="56" t="s">
        <v>183</v>
      </c>
      <c r="F2048" s="57"/>
    </row>
    <row r="2049" spans="1:10" ht="14.25" customHeight="1" x14ac:dyDescent="0.25">
      <c r="A2049" s="69"/>
      <c r="B2049" s="24" t="s">
        <v>112</v>
      </c>
      <c r="C2049" s="55">
        <f>IF(C2048="","",IF(AND(MONTH(C2048)&gt;=1,MONTH(C2048)&lt;=3),1,IF(AND(MONTH(C2048)&gt;=4,MONTH(C2048)&lt;=6),2,IF(AND(MONTH(C2048)&gt;=7,MONTH(C2048)&lt;=9),3,4))))</f>
        <v>4</v>
      </c>
      <c r="D2049" s="69"/>
      <c r="E2049" s="56" t="s">
        <v>865</v>
      </c>
      <c r="F2049" s="57"/>
    </row>
    <row r="2051" spans="1:10" ht="14.25" customHeight="1" x14ac:dyDescent="0.25">
      <c r="A2051" s="29" t="s">
        <v>1017</v>
      </c>
      <c r="B2051" s="29" t="s">
        <v>1042</v>
      </c>
      <c r="C2051" s="29" t="s">
        <v>1011</v>
      </c>
      <c r="D2051" s="29" t="s">
        <v>985</v>
      </c>
      <c r="E2051" s="29" t="s">
        <v>449</v>
      </c>
      <c r="F2051" s="29" t="s">
        <v>989</v>
      </c>
    </row>
    <row r="2052" spans="1:10" ht="14.25" customHeight="1" x14ac:dyDescent="0.25">
      <c r="A2052" s="25" t="s">
        <v>744</v>
      </c>
      <c r="B2052" s="26" t="str">
        <f ca="1">IFERROR(INDEX(UNSPSCDes,MATCH(INDIRECT(ADDRESS(ROW(),COLUMN()-1,4)),UNSPSCCode,0)),IF(INDIRECT(ADDRESS(ROW(),COLUMN()-1,4))="78101604","Vehículos de servicios de transporte",""))</f>
        <v>Vehículos de servicios de transporte</v>
      </c>
      <c r="C2052" s="58" t="str">
        <f>IFERROR(VLOOKUP("UD",'Informacion '!P:Q,2,FALSE),"")</f>
        <v>Unidad</v>
      </c>
      <c r="D2052" s="25">
        <v>1</v>
      </c>
      <c r="E2052" s="28">
        <v>30000000</v>
      </c>
      <c r="F2052" s="27">
        <f ca="1">INDIRECT(ADDRESS(ROW(),COLUMN()-2,4))*INDIRECT(ADDRESS(ROW(),COLUMN()-1,4))</f>
        <v>30000000</v>
      </c>
    </row>
    <row r="2053" spans="1:10" ht="14.25" customHeight="1" x14ac:dyDescent="0.25">
      <c r="E2053" s="30" t="s">
        <v>816</v>
      </c>
      <c r="F2053" s="31">
        <f ca="1">SUM(Table104[MONTO TOTAL ESTIMADO])</f>
        <v>30000000</v>
      </c>
      <c r="H2053" s="21" t="str">
        <f>C2045</f>
        <v>Servicios</v>
      </c>
      <c r="I2053" s="21" t="str">
        <f>E2045</f>
        <v>No</v>
      </c>
      <c r="J2053" s="21" t="str">
        <f>D2045</f>
        <v>Licitacion Publica</v>
      </c>
    </row>
    <row r="2055" spans="1:10" ht="33.950000000000003" customHeight="1" x14ac:dyDescent="0.25">
      <c r="A2055" s="22" t="s">
        <v>1051</v>
      </c>
      <c r="B2055" s="22" t="s">
        <v>11</v>
      </c>
      <c r="C2055" s="22" t="s">
        <v>751</v>
      </c>
      <c r="D2055" s="22" t="s">
        <v>930</v>
      </c>
      <c r="E2055" s="22" t="s">
        <v>699</v>
      </c>
      <c r="F2055" s="22" t="s">
        <v>710</v>
      </c>
    </row>
    <row r="2056" spans="1:10" ht="14.25" customHeight="1" x14ac:dyDescent="0.25">
      <c r="A2056" s="23" t="s">
        <v>18</v>
      </c>
      <c r="B2056" s="23" t="s">
        <v>18</v>
      </c>
      <c r="C2056" s="23" t="s">
        <v>604</v>
      </c>
      <c r="D2056" s="23" t="s">
        <v>146</v>
      </c>
      <c r="E2056" s="23" t="s">
        <v>1156</v>
      </c>
      <c r="F2056" s="23" t="s">
        <v>436</v>
      </c>
    </row>
    <row r="2057" spans="1:10" ht="14.25" customHeight="1" x14ac:dyDescent="0.25">
      <c r="A2057" s="68" t="s">
        <v>965</v>
      </c>
      <c r="B2057" s="24" t="s">
        <v>543</v>
      </c>
      <c r="C2057" s="54">
        <v>46023</v>
      </c>
      <c r="D2057" s="68" t="s">
        <v>598</v>
      </c>
      <c r="E2057" s="56" t="s">
        <v>858</v>
      </c>
      <c r="F2057" s="57" t="s">
        <v>184</v>
      </c>
    </row>
    <row r="2058" spans="1:10" ht="14.25" customHeight="1" x14ac:dyDescent="0.25">
      <c r="A2058" s="69"/>
      <c r="B2058" s="24" t="s">
        <v>112</v>
      </c>
      <c r="C2058" s="55">
        <f>IF(C2057="","",IF(AND(MONTH(C2057)&gt;=1,MONTH(C2057)&lt;=3),1,IF(AND(MONTH(C2057)&gt;=4,MONTH(C2057)&lt;=6),2,IF(AND(MONTH(C2057)&gt;=7,MONTH(C2057)&lt;=9),3,4))))</f>
        <v>1</v>
      </c>
      <c r="D2058" s="69"/>
      <c r="E2058" s="56" t="s">
        <v>143</v>
      </c>
      <c r="F2058" s="57"/>
    </row>
    <row r="2059" spans="1:10" ht="14.25" customHeight="1" x14ac:dyDescent="0.25">
      <c r="A2059" s="69"/>
      <c r="B2059" s="24" t="s">
        <v>844</v>
      </c>
      <c r="C2059" s="54">
        <v>46082</v>
      </c>
      <c r="D2059" s="69"/>
      <c r="E2059" s="56" t="s">
        <v>183</v>
      </c>
      <c r="F2059" s="57"/>
    </row>
    <row r="2060" spans="1:10" ht="14.25" customHeight="1" x14ac:dyDescent="0.25">
      <c r="A2060" s="69"/>
      <c r="B2060" s="24" t="s">
        <v>112</v>
      </c>
      <c r="C2060" s="55">
        <f>IF(C2059="","",IF(AND(MONTH(C2059)&gt;=1,MONTH(C2059)&lt;=3),1,IF(AND(MONTH(C2059)&gt;=4,MONTH(C2059)&lt;=6),2,IF(AND(MONTH(C2059)&gt;=7,MONTH(C2059)&lt;=9),3,4))))</f>
        <v>1</v>
      </c>
      <c r="D2060" s="69"/>
      <c r="E2060" s="56" t="s">
        <v>865</v>
      </c>
      <c r="F2060" s="57"/>
    </row>
    <row r="2062" spans="1:10" ht="14.25" customHeight="1" x14ac:dyDescent="0.25">
      <c r="A2062" s="29" t="s">
        <v>1017</v>
      </c>
      <c r="B2062" s="29" t="s">
        <v>1042</v>
      </c>
      <c r="C2062" s="29" t="s">
        <v>1011</v>
      </c>
      <c r="D2062" s="29" t="s">
        <v>985</v>
      </c>
      <c r="E2062" s="29" t="s">
        <v>449</v>
      </c>
      <c r="F2062" s="29" t="s">
        <v>989</v>
      </c>
    </row>
    <row r="2063" spans="1:10" ht="14.25" customHeight="1" x14ac:dyDescent="0.25">
      <c r="A2063" s="25" t="s">
        <v>955</v>
      </c>
      <c r="B2063" s="26" t="str">
        <f ca="1">IFERROR(INDEX(UNSPSCDes,MATCH(INDIRECT(ADDRESS(ROW(),COLUMN()-1,4)),UNSPSCCode,0)),IF(INDIRECT(ADDRESS(ROW(),COLUMN()-1,4))="30222112","Centro cívico",""))</f>
        <v>Centro cívico</v>
      </c>
      <c r="C2063" s="58" t="str">
        <f>IFERROR(VLOOKUP("UD",'Informacion '!P:Q,2,FALSE),"")</f>
        <v>Unidad</v>
      </c>
      <c r="D2063" s="25">
        <v>1</v>
      </c>
      <c r="E2063" s="28">
        <v>2200000000</v>
      </c>
      <c r="F2063" s="27">
        <f ca="1">INDIRECT(ADDRESS(ROW(),COLUMN()-2,4))*INDIRECT(ADDRESS(ROW(),COLUMN()-1,4))</f>
        <v>2200000000</v>
      </c>
    </row>
    <row r="2064" spans="1:10" ht="14.25" customHeight="1" x14ac:dyDescent="0.25">
      <c r="E2064" s="30" t="s">
        <v>816</v>
      </c>
      <c r="F2064" s="31">
        <f ca="1">SUM(Table105[MONTO TOTAL ESTIMADO])</f>
        <v>2200000000</v>
      </c>
      <c r="H2064" s="21" t="str">
        <f>C2056</f>
        <v>Obras</v>
      </c>
      <c r="I2064" s="21" t="str">
        <f>E2056</f>
        <v>No</v>
      </c>
      <c r="J2064" s="21" t="str">
        <f>D2056</f>
        <v>Licitacion Publica</v>
      </c>
    </row>
    <row r="2066" spans="1:10" ht="33.950000000000003" customHeight="1" x14ac:dyDescent="0.25">
      <c r="A2066" s="22" t="s">
        <v>1051</v>
      </c>
      <c r="B2066" s="22" t="s">
        <v>11</v>
      </c>
      <c r="C2066" s="22" t="s">
        <v>751</v>
      </c>
      <c r="D2066" s="22" t="s">
        <v>930</v>
      </c>
      <c r="E2066" s="22" t="s">
        <v>699</v>
      </c>
      <c r="F2066" s="22" t="s">
        <v>710</v>
      </c>
    </row>
    <row r="2067" spans="1:10" ht="14.25" customHeight="1" x14ac:dyDescent="0.25">
      <c r="A2067" s="23" t="s">
        <v>126</v>
      </c>
      <c r="B2067" s="23" t="s">
        <v>126</v>
      </c>
      <c r="C2067" s="23" t="s">
        <v>604</v>
      </c>
      <c r="D2067" s="23" t="s">
        <v>146</v>
      </c>
      <c r="E2067" s="23" t="s">
        <v>1156</v>
      </c>
      <c r="F2067" s="23" t="s">
        <v>436</v>
      </c>
    </row>
    <row r="2068" spans="1:10" ht="14.25" customHeight="1" x14ac:dyDescent="0.25">
      <c r="A2068" s="68" t="s">
        <v>965</v>
      </c>
      <c r="B2068" s="24" t="s">
        <v>543</v>
      </c>
      <c r="C2068" s="54">
        <v>46032</v>
      </c>
      <c r="D2068" s="68" t="s">
        <v>598</v>
      </c>
      <c r="E2068" s="56" t="s">
        <v>858</v>
      </c>
      <c r="F2068" s="57"/>
    </row>
    <row r="2069" spans="1:10" ht="14.25" customHeight="1" x14ac:dyDescent="0.25">
      <c r="A2069" s="69"/>
      <c r="B2069" s="24" t="s">
        <v>112</v>
      </c>
      <c r="C2069" s="55">
        <f>IF(C2068="","",IF(AND(MONTH(C2068)&gt;=1,MONTH(C2068)&lt;=3),1,IF(AND(MONTH(C2068)&gt;=4,MONTH(C2068)&lt;=6),2,IF(AND(MONTH(C2068)&gt;=7,MONTH(C2068)&lt;=9),3,4))))</f>
        <v>1</v>
      </c>
      <c r="D2069" s="69"/>
      <c r="E2069" s="56" t="s">
        <v>143</v>
      </c>
      <c r="F2069" s="57"/>
    </row>
    <row r="2070" spans="1:10" ht="14.25" customHeight="1" x14ac:dyDescent="0.25">
      <c r="A2070" s="69"/>
      <c r="B2070" s="24" t="s">
        <v>844</v>
      </c>
      <c r="C2070" s="54">
        <v>46082</v>
      </c>
      <c r="D2070" s="69"/>
      <c r="E2070" s="56" t="s">
        <v>183</v>
      </c>
      <c r="F2070" s="57"/>
    </row>
    <row r="2071" spans="1:10" ht="14.25" customHeight="1" x14ac:dyDescent="0.25">
      <c r="A2071" s="69"/>
      <c r="B2071" s="24" t="s">
        <v>112</v>
      </c>
      <c r="C2071" s="55">
        <f>IF(C2070="","",IF(AND(MONTH(C2070)&gt;=1,MONTH(C2070)&lt;=3),1,IF(AND(MONTH(C2070)&gt;=4,MONTH(C2070)&lt;=6),2,IF(AND(MONTH(C2070)&gt;=7,MONTH(C2070)&lt;=9),3,4))))</f>
        <v>1</v>
      </c>
      <c r="D2071" s="69"/>
      <c r="E2071" s="56" t="s">
        <v>865</v>
      </c>
      <c r="F2071" s="57"/>
    </row>
    <row r="2073" spans="1:10" ht="14.25" customHeight="1" x14ac:dyDescent="0.25">
      <c r="A2073" s="29" t="s">
        <v>1017</v>
      </c>
      <c r="B2073" s="29" t="s">
        <v>1042</v>
      </c>
      <c r="C2073" s="29" t="s">
        <v>1011</v>
      </c>
      <c r="D2073" s="29" t="s">
        <v>985</v>
      </c>
      <c r="E2073" s="29" t="s">
        <v>449</v>
      </c>
      <c r="F2073" s="29" t="s">
        <v>989</v>
      </c>
    </row>
    <row r="2074" spans="1:10" ht="14.25" customHeight="1" x14ac:dyDescent="0.25">
      <c r="A2074" s="25" t="s">
        <v>83</v>
      </c>
      <c r="B2074" s="26" t="str">
        <f ca="1">IFERROR(INDEX(UNSPSCDes,MATCH(INDIRECT(ADDRESS(ROW(),COLUMN()-1,4)),UNSPSCCode,0)),IF(INDIRECT(ADDRESS(ROW(),COLUMN()-1,4))="30222303","Centro de formación profesional",""))</f>
        <v>Centro de formación profesional</v>
      </c>
      <c r="C2074" s="58" t="str">
        <f>IFERROR(VLOOKUP("UD",'Informacion '!P:Q,2,FALSE),"")</f>
        <v>Unidad</v>
      </c>
      <c r="D2074" s="25">
        <v>1</v>
      </c>
      <c r="E2074" s="28">
        <v>100000000</v>
      </c>
      <c r="F2074" s="27">
        <f ca="1">INDIRECT(ADDRESS(ROW(),COLUMN()-2,4))*INDIRECT(ADDRESS(ROW(),COLUMN()-1,4))</f>
        <v>100000000</v>
      </c>
    </row>
    <row r="2075" spans="1:10" ht="14.25" customHeight="1" x14ac:dyDescent="0.25">
      <c r="E2075" s="30" t="s">
        <v>816</v>
      </c>
      <c r="F2075" s="31">
        <f ca="1">SUM(Table106[MONTO TOTAL ESTIMADO])</f>
        <v>100000000</v>
      </c>
      <c r="H2075" s="21" t="str">
        <f>C2067</f>
        <v>Obras</v>
      </c>
      <c r="I2075" s="21" t="str">
        <f>E2067</f>
        <v>No</v>
      </c>
      <c r="J2075" s="21" t="str">
        <f>D2067</f>
        <v>Licitacion Publica</v>
      </c>
    </row>
    <row r="2077" spans="1:10" ht="33.950000000000003" customHeight="1" x14ac:dyDescent="0.25">
      <c r="A2077" s="22" t="s">
        <v>1051</v>
      </c>
      <c r="B2077" s="22" t="s">
        <v>11</v>
      </c>
      <c r="C2077" s="22" t="s">
        <v>751</v>
      </c>
      <c r="D2077" s="22" t="s">
        <v>930</v>
      </c>
      <c r="E2077" s="22" t="s">
        <v>699</v>
      </c>
      <c r="F2077" s="22" t="s">
        <v>710</v>
      </c>
    </row>
    <row r="2078" spans="1:10" ht="14.25" customHeight="1" x14ac:dyDescent="0.25">
      <c r="A2078" s="23" t="s">
        <v>992</v>
      </c>
      <c r="B2078" s="23" t="s">
        <v>992</v>
      </c>
      <c r="C2078" s="23" t="s">
        <v>438</v>
      </c>
      <c r="D2078" s="23" t="s">
        <v>146</v>
      </c>
      <c r="E2078" s="23" t="s">
        <v>1156</v>
      </c>
      <c r="F2078" s="23" t="s">
        <v>436</v>
      </c>
    </row>
    <row r="2079" spans="1:10" ht="14.25" customHeight="1" x14ac:dyDescent="0.25">
      <c r="A2079" s="68" t="s">
        <v>965</v>
      </c>
      <c r="B2079" s="24" t="s">
        <v>543</v>
      </c>
      <c r="C2079" s="54">
        <v>46127</v>
      </c>
      <c r="D2079" s="68" t="s">
        <v>598</v>
      </c>
      <c r="E2079" s="56" t="s">
        <v>858</v>
      </c>
      <c r="F2079" s="57" t="s">
        <v>184</v>
      </c>
    </row>
    <row r="2080" spans="1:10" ht="14.25" customHeight="1" x14ac:dyDescent="0.25">
      <c r="A2080" s="69"/>
      <c r="B2080" s="24" t="s">
        <v>112</v>
      </c>
      <c r="C2080" s="55">
        <f>IF(C2079="","",IF(AND(MONTH(C2079)&gt;=1,MONTH(C2079)&lt;=3),1,IF(AND(MONTH(C2079)&gt;=4,MONTH(C2079)&lt;=6),2,IF(AND(MONTH(C2079)&gt;=7,MONTH(C2079)&lt;=9),3,4))))</f>
        <v>2</v>
      </c>
      <c r="D2080" s="69"/>
      <c r="E2080" s="56" t="s">
        <v>143</v>
      </c>
      <c r="F2080" s="57"/>
    </row>
    <row r="2081" spans="1:10" ht="14.25" customHeight="1" x14ac:dyDescent="0.25">
      <c r="A2081" s="69"/>
      <c r="B2081" s="24" t="s">
        <v>844</v>
      </c>
      <c r="C2081" s="54">
        <v>46197</v>
      </c>
      <c r="D2081" s="69"/>
      <c r="E2081" s="56" t="s">
        <v>183</v>
      </c>
      <c r="F2081" s="57"/>
    </row>
    <row r="2082" spans="1:10" ht="14.25" customHeight="1" x14ac:dyDescent="0.25">
      <c r="A2082" s="69"/>
      <c r="B2082" s="24" t="s">
        <v>112</v>
      </c>
      <c r="C2082" s="55">
        <f>IF(C2081="","",IF(AND(MONTH(C2081)&gt;=1,MONTH(C2081)&lt;=3),1,IF(AND(MONTH(C2081)&gt;=4,MONTH(C2081)&lt;=6),2,IF(AND(MONTH(C2081)&gt;=7,MONTH(C2081)&lt;=9),3,4))))</f>
        <v>2</v>
      </c>
      <c r="D2082" s="69"/>
      <c r="E2082" s="56" t="s">
        <v>865</v>
      </c>
      <c r="F2082" s="57"/>
    </row>
    <row r="2084" spans="1:10" ht="14.25" customHeight="1" x14ac:dyDescent="0.25">
      <c r="A2084" s="29" t="s">
        <v>1017</v>
      </c>
      <c r="B2084" s="29" t="s">
        <v>1042</v>
      </c>
      <c r="C2084" s="29" t="s">
        <v>1011</v>
      </c>
      <c r="D2084" s="29" t="s">
        <v>985</v>
      </c>
      <c r="E2084" s="29" t="s">
        <v>449</v>
      </c>
      <c r="F2084" s="29" t="s">
        <v>989</v>
      </c>
    </row>
    <row r="2085" spans="1:10" ht="14.25" customHeight="1" x14ac:dyDescent="0.25">
      <c r="A2085" s="25" t="s">
        <v>83</v>
      </c>
      <c r="B2085" s="26" t="str">
        <f ca="1">IFERROR(INDEX(UNSPSCDes,MATCH(INDIRECT(ADDRESS(ROW(),COLUMN()-1,4)),UNSPSCCode,0)),IF(INDIRECT(ADDRESS(ROW(),COLUMN()-1,4))="30222303","Centro de formación profesional",""))</f>
        <v>Centro de formación profesional</v>
      </c>
      <c r="C2085" s="58" t="str">
        <f>IFERROR(VLOOKUP("UD",'Informacion '!P:Q,2,FALSE),"")</f>
        <v>Unidad</v>
      </c>
      <c r="D2085" s="25">
        <v>1</v>
      </c>
      <c r="E2085" s="28">
        <v>1400000000</v>
      </c>
      <c r="F2085" s="27">
        <f ca="1">INDIRECT(ADDRESS(ROW(),COLUMN()-2,4))*INDIRECT(ADDRESS(ROW(),COLUMN()-1,4))</f>
        <v>1400000000</v>
      </c>
    </row>
    <row r="2086" spans="1:10" ht="14.25" customHeight="1" x14ac:dyDescent="0.25">
      <c r="E2086" s="30" t="s">
        <v>816</v>
      </c>
      <c r="F2086" s="31">
        <f ca="1">SUM(Table107[MONTO TOTAL ESTIMADO])</f>
        <v>1400000000</v>
      </c>
      <c r="H2086" s="21" t="str">
        <f>C2078</f>
        <v>Servicios</v>
      </c>
      <c r="I2086" s="21" t="str">
        <f>E2078</f>
        <v>No</v>
      </c>
      <c r="J2086" s="21" t="str">
        <f>D2078</f>
        <v>Licitacion Publica</v>
      </c>
    </row>
    <row r="2088" spans="1:10" ht="33.950000000000003" customHeight="1" x14ac:dyDescent="0.25">
      <c r="A2088" s="22" t="s">
        <v>1051</v>
      </c>
      <c r="B2088" s="22" t="s">
        <v>11</v>
      </c>
      <c r="C2088" s="22" t="s">
        <v>751</v>
      </c>
      <c r="D2088" s="22" t="s">
        <v>930</v>
      </c>
      <c r="E2088" s="22" t="s">
        <v>699</v>
      </c>
      <c r="F2088" s="22" t="s">
        <v>710</v>
      </c>
    </row>
    <row r="2089" spans="1:10" ht="14.25" customHeight="1" x14ac:dyDescent="0.25">
      <c r="A2089" s="23" t="s">
        <v>117</v>
      </c>
      <c r="B2089" s="23" t="s">
        <v>117</v>
      </c>
      <c r="C2089" s="23" t="s">
        <v>604</v>
      </c>
      <c r="D2089" s="23" t="s">
        <v>146</v>
      </c>
      <c r="E2089" s="23" t="s">
        <v>1156</v>
      </c>
      <c r="F2089" s="23" t="s">
        <v>436</v>
      </c>
    </row>
    <row r="2090" spans="1:10" ht="14.25" customHeight="1" x14ac:dyDescent="0.25">
      <c r="A2090" s="68" t="s">
        <v>965</v>
      </c>
      <c r="B2090" s="24" t="s">
        <v>543</v>
      </c>
      <c r="C2090" s="54">
        <v>46032</v>
      </c>
      <c r="D2090" s="68" t="s">
        <v>598</v>
      </c>
      <c r="E2090" s="56" t="s">
        <v>858</v>
      </c>
      <c r="F2090" s="57" t="s">
        <v>184</v>
      </c>
    </row>
    <row r="2091" spans="1:10" ht="14.25" customHeight="1" x14ac:dyDescent="0.25">
      <c r="A2091" s="69"/>
      <c r="B2091" s="24" t="s">
        <v>112</v>
      </c>
      <c r="C2091" s="55">
        <f>IF(C2090="","",IF(AND(MONTH(C2090)&gt;=1,MONTH(C2090)&lt;=3),1,IF(AND(MONTH(C2090)&gt;=4,MONTH(C2090)&lt;=6),2,IF(AND(MONTH(C2090)&gt;=7,MONTH(C2090)&lt;=9),3,4))))</f>
        <v>1</v>
      </c>
      <c r="D2091" s="69"/>
      <c r="E2091" s="56" t="s">
        <v>143</v>
      </c>
      <c r="F2091" s="57"/>
    </row>
    <row r="2092" spans="1:10" ht="14.25" customHeight="1" x14ac:dyDescent="0.25">
      <c r="A2092" s="69"/>
      <c r="B2092" s="24" t="s">
        <v>844</v>
      </c>
      <c r="C2092" s="54">
        <v>46098</v>
      </c>
      <c r="D2092" s="69"/>
      <c r="E2092" s="56" t="s">
        <v>183</v>
      </c>
      <c r="F2092" s="57"/>
    </row>
    <row r="2093" spans="1:10" ht="14.25" customHeight="1" x14ac:dyDescent="0.25">
      <c r="A2093" s="69"/>
      <c r="B2093" s="24" t="s">
        <v>112</v>
      </c>
      <c r="C2093" s="55">
        <f>IF(C2092="","",IF(AND(MONTH(C2092)&gt;=1,MONTH(C2092)&lt;=3),1,IF(AND(MONTH(C2092)&gt;=4,MONTH(C2092)&lt;=6),2,IF(AND(MONTH(C2092)&gt;=7,MONTH(C2092)&lt;=9),3,4))))</f>
        <v>1</v>
      </c>
      <c r="D2093" s="69"/>
      <c r="E2093" s="56" t="s">
        <v>865</v>
      </c>
      <c r="F2093" s="57"/>
    </row>
    <row r="2095" spans="1:10" ht="14.25" customHeight="1" x14ac:dyDescent="0.25">
      <c r="A2095" s="29" t="s">
        <v>1017</v>
      </c>
      <c r="B2095" s="29" t="s">
        <v>1042</v>
      </c>
      <c r="C2095" s="29" t="s">
        <v>1011</v>
      </c>
      <c r="D2095" s="29" t="s">
        <v>985</v>
      </c>
      <c r="E2095" s="29" t="s">
        <v>449</v>
      </c>
      <c r="F2095" s="29" t="s">
        <v>989</v>
      </c>
    </row>
    <row r="2096" spans="1:10" ht="14.25" customHeight="1" x14ac:dyDescent="0.25">
      <c r="A2096" s="25" t="s">
        <v>1113</v>
      </c>
      <c r="B2096" s="26" t="str">
        <f ca="1">IFERROR(INDEX(UNSPSCDes,MATCH(INDIRECT(ADDRESS(ROW(),COLUMN()-1,4)),UNSPSCCode,0)),IF(INDIRECT(ADDRESS(ROW(),COLUMN()-1,4))="30222103","Comisaría de policía",""))</f>
        <v>Comisaría de policía</v>
      </c>
      <c r="C2096" s="58" t="str">
        <f>IFERROR(VLOOKUP("UD",'Informacion '!P:Q,2,FALSE),"")</f>
        <v>Unidad</v>
      </c>
      <c r="D2096" s="25">
        <v>1</v>
      </c>
      <c r="E2096" s="28">
        <v>50000000</v>
      </c>
      <c r="F2096" s="27">
        <f ca="1">INDIRECT(ADDRESS(ROW(),COLUMN()-2,4))*INDIRECT(ADDRESS(ROW(),COLUMN()-1,4))</f>
        <v>50000000</v>
      </c>
    </row>
    <row r="2097" spans="1:10" ht="14.25" customHeight="1" x14ac:dyDescent="0.25">
      <c r="E2097" s="30" t="s">
        <v>816</v>
      </c>
      <c r="F2097" s="31">
        <f ca="1">SUM(Table108[MONTO TOTAL ESTIMADO])</f>
        <v>50000000</v>
      </c>
      <c r="H2097" s="21" t="str">
        <f>C2089</f>
        <v>Obras</v>
      </c>
      <c r="I2097" s="21" t="str">
        <f>E2089</f>
        <v>No</v>
      </c>
      <c r="J2097" s="21" t="str">
        <f>D2089</f>
        <v>Licitacion Publica</v>
      </c>
    </row>
    <row r="2099" spans="1:10" ht="33.950000000000003" customHeight="1" x14ac:dyDescent="0.25">
      <c r="A2099" s="22" t="s">
        <v>1051</v>
      </c>
      <c r="B2099" s="22" t="s">
        <v>11</v>
      </c>
      <c r="C2099" s="22" t="s">
        <v>751</v>
      </c>
      <c r="D2099" s="22" t="s">
        <v>930</v>
      </c>
      <c r="E2099" s="22" t="s">
        <v>699</v>
      </c>
      <c r="F2099" s="22" t="s">
        <v>710</v>
      </c>
    </row>
    <row r="2100" spans="1:10" ht="14.25" customHeight="1" x14ac:dyDescent="0.25">
      <c r="A2100" s="23" t="s">
        <v>586</v>
      </c>
      <c r="B2100" s="23" t="s">
        <v>586</v>
      </c>
      <c r="C2100" s="23" t="s">
        <v>604</v>
      </c>
      <c r="D2100" s="23" t="s">
        <v>146</v>
      </c>
      <c r="E2100" s="23" t="s">
        <v>1156</v>
      </c>
      <c r="F2100" s="23" t="s">
        <v>436</v>
      </c>
    </row>
    <row r="2101" spans="1:10" ht="14.25" customHeight="1" x14ac:dyDescent="0.25">
      <c r="A2101" s="68" t="s">
        <v>965</v>
      </c>
      <c r="B2101" s="24" t="s">
        <v>543</v>
      </c>
      <c r="C2101" s="54">
        <v>46041</v>
      </c>
      <c r="D2101" s="68" t="s">
        <v>598</v>
      </c>
      <c r="E2101" s="56" t="s">
        <v>858</v>
      </c>
      <c r="F2101" s="57" t="s">
        <v>184</v>
      </c>
    </row>
    <row r="2102" spans="1:10" ht="14.25" customHeight="1" x14ac:dyDescent="0.25">
      <c r="A2102" s="69"/>
      <c r="B2102" s="24" t="s">
        <v>112</v>
      </c>
      <c r="C2102" s="55">
        <f>IF(C2101="","",IF(AND(MONTH(C2101)&gt;=1,MONTH(C2101)&lt;=3),1,IF(AND(MONTH(C2101)&gt;=4,MONTH(C2101)&lt;=6),2,IF(AND(MONTH(C2101)&gt;=7,MONTH(C2101)&lt;=9),3,4))))</f>
        <v>1</v>
      </c>
      <c r="D2102" s="69"/>
      <c r="E2102" s="56" t="s">
        <v>143</v>
      </c>
      <c r="F2102" s="57"/>
    </row>
    <row r="2103" spans="1:10" ht="14.25" customHeight="1" x14ac:dyDescent="0.25">
      <c r="A2103" s="69"/>
      <c r="B2103" s="24" t="s">
        <v>844</v>
      </c>
      <c r="C2103" s="54">
        <v>46109</v>
      </c>
      <c r="D2103" s="69"/>
      <c r="E2103" s="56" t="s">
        <v>183</v>
      </c>
      <c r="F2103" s="57"/>
    </row>
    <row r="2104" spans="1:10" ht="14.25" customHeight="1" x14ac:dyDescent="0.25">
      <c r="A2104" s="69"/>
      <c r="B2104" s="24" t="s">
        <v>112</v>
      </c>
      <c r="C2104" s="55">
        <f>IF(C2103="","",IF(AND(MONTH(C2103)&gt;=1,MONTH(C2103)&lt;=3),1,IF(AND(MONTH(C2103)&gt;=4,MONTH(C2103)&lt;=6),2,IF(AND(MONTH(C2103)&gt;=7,MONTH(C2103)&lt;=9),3,4))))</f>
        <v>1</v>
      </c>
      <c r="D2104" s="69"/>
      <c r="E2104" s="56" t="s">
        <v>865</v>
      </c>
      <c r="F2104" s="57"/>
    </row>
    <row r="2106" spans="1:10" ht="14.25" customHeight="1" x14ac:dyDescent="0.25">
      <c r="A2106" s="29" t="s">
        <v>1017</v>
      </c>
      <c r="B2106" s="29" t="s">
        <v>1042</v>
      </c>
      <c r="C2106" s="29" t="s">
        <v>1011</v>
      </c>
      <c r="D2106" s="29" t="s">
        <v>985</v>
      </c>
      <c r="E2106" s="29" t="s">
        <v>449</v>
      </c>
      <c r="F2106" s="29" t="s">
        <v>989</v>
      </c>
    </row>
    <row r="2107" spans="1:10" ht="14.25" customHeight="1" x14ac:dyDescent="0.25">
      <c r="A2107" s="25" t="s">
        <v>955</v>
      </c>
      <c r="B2107" s="26" t="str">
        <f ca="1">IFERROR(INDEX(UNSPSCDes,MATCH(INDIRECT(ADDRESS(ROW(),COLUMN()-1,4)),UNSPSCCode,0)),IF(INDIRECT(ADDRESS(ROW(),COLUMN()-1,4))="30222112","Centro cívico",""))</f>
        <v>Centro cívico</v>
      </c>
      <c r="C2107" s="58" t="str">
        <f>IFERROR(VLOOKUP("UD",'Informacion '!P:Q,2,FALSE),"")</f>
        <v>Unidad</v>
      </c>
      <c r="D2107" s="25">
        <v>1</v>
      </c>
      <c r="E2107" s="28">
        <v>100000000</v>
      </c>
      <c r="F2107" s="27">
        <f ca="1">INDIRECT(ADDRESS(ROW(),COLUMN()-2,4))*INDIRECT(ADDRESS(ROW(),COLUMN()-1,4))</f>
        <v>100000000</v>
      </c>
    </row>
    <row r="2108" spans="1:10" ht="14.25" customHeight="1" x14ac:dyDescent="0.25">
      <c r="E2108" s="30" t="s">
        <v>816</v>
      </c>
      <c r="F2108" s="31">
        <f ca="1">SUM(Table109[MONTO TOTAL ESTIMADO])</f>
        <v>100000000</v>
      </c>
      <c r="H2108" s="21" t="str">
        <f>C2100</f>
        <v>Obras</v>
      </c>
      <c r="I2108" s="21" t="str">
        <f>E2100</f>
        <v>No</v>
      </c>
      <c r="J2108" s="21" t="str">
        <f>D2100</f>
        <v>Licitacion Publica</v>
      </c>
    </row>
    <row r="2110" spans="1:10" ht="33.950000000000003" customHeight="1" x14ac:dyDescent="0.25">
      <c r="A2110" s="22" t="s">
        <v>1051</v>
      </c>
      <c r="B2110" s="22" t="s">
        <v>11</v>
      </c>
      <c r="C2110" s="22" t="s">
        <v>751</v>
      </c>
      <c r="D2110" s="22" t="s">
        <v>930</v>
      </c>
      <c r="E2110" s="22" t="s">
        <v>699</v>
      </c>
      <c r="F2110" s="22" t="s">
        <v>710</v>
      </c>
    </row>
    <row r="2111" spans="1:10" ht="14.25" customHeight="1" x14ac:dyDescent="0.25">
      <c r="A2111" s="23" t="s">
        <v>944</v>
      </c>
      <c r="B2111" s="23" t="s">
        <v>944</v>
      </c>
      <c r="C2111" s="23" t="s">
        <v>604</v>
      </c>
      <c r="D2111" s="23" t="s">
        <v>146</v>
      </c>
      <c r="E2111" s="23" t="s">
        <v>1156</v>
      </c>
      <c r="F2111" s="23" t="s">
        <v>436</v>
      </c>
    </row>
    <row r="2112" spans="1:10" ht="14.25" customHeight="1" x14ac:dyDescent="0.25">
      <c r="A2112" s="68" t="s">
        <v>965</v>
      </c>
      <c r="B2112" s="24" t="s">
        <v>543</v>
      </c>
      <c r="C2112" s="54">
        <v>46051</v>
      </c>
      <c r="D2112" s="68" t="s">
        <v>598</v>
      </c>
      <c r="E2112" s="56" t="s">
        <v>858</v>
      </c>
      <c r="F2112" s="57" t="s">
        <v>184</v>
      </c>
    </row>
    <row r="2113" spans="1:10" ht="14.25" customHeight="1" x14ac:dyDescent="0.25">
      <c r="A2113" s="69"/>
      <c r="B2113" s="24" t="s">
        <v>112</v>
      </c>
      <c r="C2113" s="55">
        <f>IF(C2112="","",IF(AND(MONTH(C2112)&gt;=1,MONTH(C2112)&lt;=3),1,IF(AND(MONTH(C2112)&gt;=4,MONTH(C2112)&lt;=6),2,IF(AND(MONTH(C2112)&gt;=7,MONTH(C2112)&lt;=9),3,4))))</f>
        <v>1</v>
      </c>
      <c r="D2113" s="69"/>
      <c r="E2113" s="56" t="s">
        <v>143</v>
      </c>
      <c r="F2113" s="57"/>
    </row>
    <row r="2114" spans="1:10" ht="14.25" customHeight="1" x14ac:dyDescent="0.25">
      <c r="A2114" s="69"/>
      <c r="B2114" s="24" t="s">
        <v>844</v>
      </c>
      <c r="C2114" s="54">
        <v>46088</v>
      </c>
      <c r="D2114" s="69"/>
      <c r="E2114" s="56" t="s">
        <v>183</v>
      </c>
      <c r="F2114" s="57"/>
    </row>
    <row r="2115" spans="1:10" ht="14.25" customHeight="1" x14ac:dyDescent="0.25">
      <c r="A2115" s="69"/>
      <c r="B2115" s="24" t="s">
        <v>112</v>
      </c>
      <c r="C2115" s="55">
        <f>IF(C2114="","",IF(AND(MONTH(C2114)&gt;=1,MONTH(C2114)&lt;=3),1,IF(AND(MONTH(C2114)&gt;=4,MONTH(C2114)&lt;=6),2,IF(AND(MONTH(C2114)&gt;=7,MONTH(C2114)&lt;=9),3,4))))</f>
        <v>1</v>
      </c>
      <c r="D2115" s="69"/>
      <c r="E2115" s="56" t="s">
        <v>865</v>
      </c>
      <c r="F2115" s="57"/>
    </row>
    <row r="2117" spans="1:10" ht="14.25" customHeight="1" x14ac:dyDescent="0.25">
      <c r="A2117" s="29" t="s">
        <v>1017</v>
      </c>
      <c r="B2117" s="29" t="s">
        <v>1042</v>
      </c>
      <c r="C2117" s="29" t="s">
        <v>1011</v>
      </c>
      <c r="D2117" s="29" t="s">
        <v>985</v>
      </c>
      <c r="E2117" s="29" t="s">
        <v>449</v>
      </c>
      <c r="F2117" s="29" t="s">
        <v>989</v>
      </c>
    </row>
    <row r="2118" spans="1:10" ht="14.25" customHeight="1" x14ac:dyDescent="0.25">
      <c r="A2118" s="25" t="s">
        <v>696</v>
      </c>
      <c r="B2118" s="26" t="str">
        <f ca="1">IFERROR(INDEX(UNSPSCDes,MATCH(INDIRECT(ADDRESS(ROW(),COLUMN()-1,4)),UNSPSCCode,0)),IF(INDIRECT(ADDRESS(ROW(),COLUMN()-1,4))="30222305","Biblioteca",""))</f>
        <v>Biblioteca</v>
      </c>
      <c r="C2118" s="58" t="str">
        <f>IFERROR(VLOOKUP("UD",'Informacion '!P:Q,2,FALSE),"")</f>
        <v>Unidad</v>
      </c>
      <c r="D2118" s="25">
        <v>1</v>
      </c>
      <c r="E2118" s="28">
        <v>87000000</v>
      </c>
      <c r="F2118" s="27">
        <f ca="1">INDIRECT(ADDRESS(ROW(),COLUMN()-2,4))*INDIRECT(ADDRESS(ROW(),COLUMN()-1,4))</f>
        <v>87000000</v>
      </c>
    </row>
    <row r="2119" spans="1:10" ht="14.25" customHeight="1" x14ac:dyDescent="0.25">
      <c r="E2119" s="30" t="s">
        <v>816</v>
      </c>
      <c r="F2119" s="31">
        <f ca="1">SUM(Table110[MONTO TOTAL ESTIMADO])</f>
        <v>87000000</v>
      </c>
      <c r="H2119" s="21" t="str">
        <f>C2111</f>
        <v>Obras</v>
      </c>
      <c r="I2119" s="21" t="str">
        <f>E2111</f>
        <v>No</v>
      </c>
      <c r="J2119" s="21" t="str">
        <f>D2111</f>
        <v>Licitacion Publica</v>
      </c>
    </row>
    <row r="2121" spans="1:10" ht="33.950000000000003" customHeight="1" x14ac:dyDescent="0.25">
      <c r="A2121" s="22" t="s">
        <v>1051</v>
      </c>
      <c r="B2121" s="22" t="s">
        <v>11</v>
      </c>
      <c r="C2121" s="22" t="s">
        <v>751</v>
      </c>
      <c r="D2121" s="22" t="s">
        <v>930</v>
      </c>
      <c r="E2121" s="22" t="s">
        <v>699</v>
      </c>
      <c r="F2121" s="22" t="s">
        <v>710</v>
      </c>
    </row>
    <row r="2122" spans="1:10" ht="14.25" customHeight="1" x14ac:dyDescent="0.25">
      <c r="A2122" s="23" t="s">
        <v>638</v>
      </c>
      <c r="B2122" s="23" t="s">
        <v>638</v>
      </c>
      <c r="C2122" s="23" t="s">
        <v>1155</v>
      </c>
      <c r="D2122" s="23" t="s">
        <v>1128</v>
      </c>
      <c r="E2122" s="23" t="s">
        <v>385</v>
      </c>
      <c r="F2122" s="23" t="s">
        <v>436</v>
      </c>
    </row>
    <row r="2123" spans="1:10" ht="14.25" customHeight="1" x14ac:dyDescent="0.25">
      <c r="A2123" s="68" t="s">
        <v>965</v>
      </c>
      <c r="B2123" s="24" t="s">
        <v>543</v>
      </c>
      <c r="C2123" s="54">
        <v>46141</v>
      </c>
      <c r="D2123" s="68" t="s">
        <v>598</v>
      </c>
      <c r="E2123" s="56" t="s">
        <v>858</v>
      </c>
      <c r="F2123" s="57"/>
    </row>
    <row r="2124" spans="1:10" ht="14.25" customHeight="1" x14ac:dyDescent="0.25">
      <c r="A2124" s="69"/>
      <c r="B2124" s="24" t="s">
        <v>112</v>
      </c>
      <c r="C2124" s="55">
        <f>IF(C2123="","",IF(AND(MONTH(C2123)&gt;=1,MONTH(C2123)&lt;=3),1,IF(AND(MONTH(C2123)&gt;=4,MONTH(C2123)&lt;=6),2,IF(AND(MONTH(C2123)&gt;=7,MONTH(C2123)&lt;=9),3,4))))</f>
        <v>2</v>
      </c>
      <c r="D2124" s="69"/>
      <c r="E2124" s="56" t="s">
        <v>143</v>
      </c>
      <c r="F2124" s="57"/>
    </row>
    <row r="2125" spans="1:10" ht="14.25" customHeight="1" x14ac:dyDescent="0.25">
      <c r="A2125" s="69"/>
      <c r="B2125" s="24" t="s">
        <v>844</v>
      </c>
      <c r="C2125" s="54">
        <v>46201</v>
      </c>
      <c r="D2125" s="69"/>
      <c r="E2125" s="56" t="s">
        <v>183</v>
      </c>
      <c r="F2125" s="57"/>
    </row>
    <row r="2126" spans="1:10" ht="14.25" customHeight="1" x14ac:dyDescent="0.25">
      <c r="A2126" s="69"/>
      <c r="B2126" s="24" t="s">
        <v>112</v>
      </c>
      <c r="C2126" s="55">
        <f>IF(C2125="","",IF(AND(MONTH(C2125)&gt;=1,MONTH(C2125)&lt;=3),1,IF(AND(MONTH(C2125)&gt;=4,MONTH(C2125)&lt;=6),2,IF(AND(MONTH(C2125)&gt;=7,MONTH(C2125)&lt;=9),3,4))))</f>
        <v>2</v>
      </c>
      <c r="D2126" s="69"/>
      <c r="E2126" s="56" t="s">
        <v>865</v>
      </c>
      <c r="F2126" s="57"/>
    </row>
    <row r="2128" spans="1:10" ht="14.25" customHeight="1" x14ac:dyDescent="0.25">
      <c r="A2128" s="29" t="s">
        <v>1017</v>
      </c>
      <c r="B2128" s="29" t="s">
        <v>1042</v>
      </c>
      <c r="C2128" s="29" t="s">
        <v>1011</v>
      </c>
      <c r="D2128" s="29" t="s">
        <v>985</v>
      </c>
      <c r="E2128" s="29" t="s">
        <v>449</v>
      </c>
      <c r="F2128" s="29" t="s">
        <v>989</v>
      </c>
    </row>
    <row r="2129" spans="1:10" ht="14.25" customHeight="1" x14ac:dyDescent="0.25">
      <c r="A2129" s="25" t="s">
        <v>1107</v>
      </c>
      <c r="B2129" s="26" t="str">
        <f ca="1">IFERROR(INDEX(UNSPSCDes,MATCH(INDIRECT(ADDRESS(ROW(),COLUMN()-1,4)),UNSPSCCode,0)),IF(INDIRECT(ADDRESS(ROW(),COLUMN()-1,4))="30221009","Mercado",""))</f>
        <v>Mercado</v>
      </c>
      <c r="C2129" s="58" t="str">
        <f>IFERROR(VLOOKUP("UD",'Informacion '!P:Q,2,FALSE),"")</f>
        <v>Unidad</v>
      </c>
      <c r="D2129" s="25">
        <v>1</v>
      </c>
      <c r="E2129" s="28">
        <v>850000000</v>
      </c>
      <c r="F2129" s="27">
        <f ca="1">INDIRECT(ADDRESS(ROW(),COLUMN()-2,4))*INDIRECT(ADDRESS(ROW(),COLUMN()-1,4))</f>
        <v>850000000</v>
      </c>
    </row>
    <row r="2130" spans="1:10" ht="14.25" customHeight="1" x14ac:dyDescent="0.25">
      <c r="E2130" s="30" t="s">
        <v>816</v>
      </c>
      <c r="F2130" s="31">
        <f ca="1">SUM(Table111[MONTO TOTAL ESTIMADO])</f>
        <v>850000000</v>
      </c>
      <c r="H2130" s="21" t="str">
        <f>C2122</f>
        <v>Bienes</v>
      </c>
      <c r="I2130" s="21" t="str">
        <f>E2122</f>
        <v>MIPYME Mujeres</v>
      </c>
      <c r="J2130" s="21" t="str">
        <f>D2122</f>
        <v>Compras Menores</v>
      </c>
    </row>
    <row r="2132" spans="1:10" ht="33.950000000000003" customHeight="1" x14ac:dyDescent="0.25">
      <c r="A2132" s="22" t="s">
        <v>1051</v>
      </c>
      <c r="B2132" s="22" t="s">
        <v>11</v>
      </c>
      <c r="C2132" s="22" t="s">
        <v>751</v>
      </c>
      <c r="D2132" s="22" t="s">
        <v>930</v>
      </c>
      <c r="E2132" s="22" t="s">
        <v>699</v>
      </c>
      <c r="F2132" s="22" t="s">
        <v>710</v>
      </c>
    </row>
    <row r="2133" spans="1:10" ht="14.25" customHeight="1" x14ac:dyDescent="0.25">
      <c r="A2133" s="23" t="s">
        <v>529</v>
      </c>
      <c r="B2133" s="23" t="s">
        <v>529</v>
      </c>
      <c r="C2133" s="23" t="s">
        <v>438</v>
      </c>
      <c r="D2133" s="23" t="s">
        <v>116</v>
      </c>
      <c r="E2133" s="23" t="s">
        <v>1156</v>
      </c>
      <c r="F2133" s="23" t="s">
        <v>436</v>
      </c>
    </row>
    <row r="2134" spans="1:10" ht="14.25" customHeight="1" x14ac:dyDescent="0.25">
      <c r="A2134" s="68" t="s">
        <v>965</v>
      </c>
      <c r="B2134" s="24" t="s">
        <v>543</v>
      </c>
      <c r="C2134" s="54">
        <v>46073</v>
      </c>
      <c r="D2134" s="68" t="s">
        <v>598</v>
      </c>
      <c r="E2134" s="56" t="s">
        <v>858</v>
      </c>
      <c r="F2134" s="57"/>
    </row>
    <row r="2135" spans="1:10" ht="14.25" customHeight="1" x14ac:dyDescent="0.25">
      <c r="A2135" s="69"/>
      <c r="B2135" s="24" t="s">
        <v>112</v>
      </c>
      <c r="C2135" s="55">
        <f>IF(C2134="","",IF(AND(MONTH(C2134)&gt;=1,MONTH(C2134)&lt;=3),1,IF(AND(MONTH(C2134)&gt;=4,MONTH(C2134)&lt;=6),2,IF(AND(MONTH(C2134)&gt;=7,MONTH(C2134)&lt;=9),3,4))))</f>
        <v>1</v>
      </c>
      <c r="D2135" s="69"/>
      <c r="E2135" s="56" t="s">
        <v>143</v>
      </c>
      <c r="F2135" s="57"/>
    </row>
    <row r="2136" spans="1:10" ht="14.25" customHeight="1" x14ac:dyDescent="0.25">
      <c r="A2136" s="69"/>
      <c r="B2136" s="24" t="s">
        <v>844</v>
      </c>
      <c r="C2136" s="54">
        <v>46092</v>
      </c>
      <c r="D2136" s="69"/>
      <c r="E2136" s="56" t="s">
        <v>183</v>
      </c>
      <c r="F2136" s="57"/>
    </row>
    <row r="2137" spans="1:10" ht="14.25" customHeight="1" x14ac:dyDescent="0.25">
      <c r="A2137" s="69"/>
      <c r="B2137" s="24" t="s">
        <v>112</v>
      </c>
      <c r="C2137" s="55">
        <f>IF(C2136="","",IF(AND(MONTH(C2136)&gt;=1,MONTH(C2136)&lt;=3),1,IF(AND(MONTH(C2136)&gt;=4,MONTH(C2136)&lt;=6),2,IF(AND(MONTH(C2136)&gt;=7,MONTH(C2136)&lt;=9),3,4))))</f>
        <v>1</v>
      </c>
      <c r="D2137" s="69"/>
      <c r="E2137" s="56" t="s">
        <v>865</v>
      </c>
      <c r="F2137" s="57"/>
    </row>
    <row r="2139" spans="1:10" ht="14.25" customHeight="1" x14ac:dyDescent="0.25">
      <c r="A2139" s="29" t="s">
        <v>1017</v>
      </c>
      <c r="B2139" s="29" t="s">
        <v>1042</v>
      </c>
      <c r="C2139" s="29" t="s">
        <v>1011</v>
      </c>
      <c r="D2139" s="29" t="s">
        <v>985</v>
      </c>
      <c r="E2139" s="29" t="s">
        <v>449</v>
      </c>
      <c r="F2139" s="29" t="s">
        <v>989</v>
      </c>
    </row>
    <row r="2140" spans="1:10" ht="14.25" customHeight="1" x14ac:dyDescent="0.25">
      <c r="A2140" s="25" t="s">
        <v>398</v>
      </c>
      <c r="B2140" s="26" t="str">
        <f ca="1">IFERROR(INDEX(UNSPSCDes,MATCH(INDIRECT(ADDRESS(ROW(),COLUMN()-1,4)),UNSPSCCode,0)),IF(INDIRECT(ADDRESS(ROW(),COLUMN()-1,4))="80161507","Servicios audiovisuales",""))</f>
        <v>Servicios audiovisuales</v>
      </c>
      <c r="C2140" s="58" t="str">
        <f>IFERROR(VLOOKUP("UD",'Informacion '!P:Q,2,FALSE),"")</f>
        <v>Unidad</v>
      </c>
      <c r="D2140" s="25">
        <v>5</v>
      </c>
      <c r="E2140" s="28">
        <v>1000000</v>
      </c>
      <c r="F2140" s="27">
        <f ca="1">INDIRECT(ADDRESS(ROW(),COLUMN()-2,4))*INDIRECT(ADDRESS(ROW(),COLUMN()-1,4))</f>
        <v>5000000</v>
      </c>
    </row>
    <row r="2141" spans="1:10" ht="14.25" customHeight="1" x14ac:dyDescent="0.25">
      <c r="E2141" s="30" t="s">
        <v>816</v>
      </c>
      <c r="F2141" s="31">
        <f ca="1">SUM(Table112[MONTO TOTAL ESTIMADO])</f>
        <v>5000000</v>
      </c>
      <c r="H2141" s="21" t="str">
        <f>C2133</f>
        <v>Servicios</v>
      </c>
      <c r="I2141" s="21" t="str">
        <f>E2133</f>
        <v>No</v>
      </c>
      <c r="J2141" s="21" t="str">
        <f>D2133</f>
        <v>Comparacion de Precios</v>
      </c>
    </row>
    <row r="2143" spans="1:10" ht="33.950000000000003" customHeight="1" x14ac:dyDescent="0.25">
      <c r="A2143" s="22" t="s">
        <v>1051</v>
      </c>
      <c r="B2143" s="22" t="s">
        <v>11</v>
      </c>
      <c r="C2143" s="22" t="s">
        <v>751</v>
      </c>
      <c r="D2143" s="22" t="s">
        <v>930</v>
      </c>
      <c r="E2143" s="22" t="s">
        <v>699</v>
      </c>
      <c r="F2143" s="22" t="s">
        <v>710</v>
      </c>
    </row>
    <row r="2144" spans="1:10" ht="14.25" customHeight="1" x14ac:dyDescent="0.25">
      <c r="A2144" s="23" t="s">
        <v>879</v>
      </c>
      <c r="B2144" s="23" t="s">
        <v>879</v>
      </c>
      <c r="C2144" s="23" t="s">
        <v>438</v>
      </c>
      <c r="D2144" s="23" t="s">
        <v>146</v>
      </c>
      <c r="E2144" s="23" t="s">
        <v>1156</v>
      </c>
      <c r="F2144" s="23" t="s">
        <v>436</v>
      </c>
    </row>
    <row r="2145" spans="1:6" ht="14.25" customHeight="1" x14ac:dyDescent="0.25">
      <c r="A2145" s="68" t="s">
        <v>965</v>
      </c>
      <c r="B2145" s="24" t="s">
        <v>543</v>
      </c>
      <c r="C2145" s="54">
        <v>46026</v>
      </c>
      <c r="D2145" s="68" t="s">
        <v>598</v>
      </c>
      <c r="E2145" s="56" t="s">
        <v>858</v>
      </c>
      <c r="F2145" s="57" t="s">
        <v>184</v>
      </c>
    </row>
    <row r="2146" spans="1:6" ht="14.25" customHeight="1" x14ac:dyDescent="0.25">
      <c r="A2146" s="69"/>
      <c r="B2146" s="24" t="s">
        <v>112</v>
      </c>
      <c r="C2146" s="55">
        <f>IF(C2145="","",IF(AND(MONTH(C2145)&gt;=1,MONTH(C2145)&lt;=3),1,IF(AND(MONTH(C2145)&gt;=4,MONTH(C2145)&lt;=6),2,IF(AND(MONTH(C2145)&gt;=7,MONTH(C2145)&lt;=9),3,4))))</f>
        <v>1</v>
      </c>
      <c r="D2146" s="69"/>
      <c r="E2146" s="56" t="s">
        <v>143</v>
      </c>
      <c r="F2146" s="57"/>
    </row>
    <row r="2147" spans="1:6" ht="14.25" customHeight="1" x14ac:dyDescent="0.25">
      <c r="A2147" s="69"/>
      <c r="B2147" s="24" t="s">
        <v>844</v>
      </c>
      <c r="C2147" s="54">
        <v>46108</v>
      </c>
      <c r="D2147" s="69"/>
      <c r="E2147" s="56" t="s">
        <v>183</v>
      </c>
      <c r="F2147" s="57"/>
    </row>
    <row r="2148" spans="1:6" ht="14.25" customHeight="1" x14ac:dyDescent="0.25">
      <c r="A2148" s="69"/>
      <c r="B2148" s="24" t="s">
        <v>112</v>
      </c>
      <c r="C2148" s="55">
        <f>IF(C2147="","",IF(AND(MONTH(C2147)&gt;=1,MONTH(C2147)&lt;=3),1,IF(AND(MONTH(C2147)&gt;=4,MONTH(C2147)&lt;=6),2,IF(AND(MONTH(C2147)&gt;=7,MONTH(C2147)&lt;=9),3,4))))</f>
        <v>1</v>
      </c>
      <c r="D2148" s="69"/>
      <c r="E2148" s="56" t="s">
        <v>865</v>
      </c>
      <c r="F2148" s="57"/>
    </row>
    <row r="2150" spans="1:6" ht="14.25" customHeight="1" x14ac:dyDescent="0.25">
      <c r="A2150" s="29" t="s">
        <v>1017</v>
      </c>
      <c r="B2150" s="29" t="s">
        <v>1042</v>
      </c>
      <c r="C2150" s="29" t="s">
        <v>1011</v>
      </c>
      <c r="D2150" s="29" t="s">
        <v>985</v>
      </c>
      <c r="E2150" s="29" t="s">
        <v>449</v>
      </c>
      <c r="F2150" s="29" t="s">
        <v>989</v>
      </c>
    </row>
    <row r="2151" spans="1:6" ht="14.25" customHeight="1" x14ac:dyDescent="0.25">
      <c r="A2151" s="25" t="s">
        <v>766</v>
      </c>
      <c r="B2151" s="26" t="str">
        <f t="shared" ref="B2151:B2156" ca="1" si="70">IFERROR(INDEX(UNSPSCDes,MATCH(INDIRECT(ADDRESS(ROW(),COLUMN()-1,4)),UNSPSCCode,0)),IF(INDIRECT(ADDRESS(ROW(),COLUMN()-1,4))="81112501","Servicio de licencias de programas informáticos",""))</f>
        <v>Servicio de licencias de programas informáticos</v>
      </c>
      <c r="C2151" s="58" t="str">
        <f>IFERROR(VLOOKUP("UD",'Informacion '!P:Q,2,FALSE),"")</f>
        <v>Unidad</v>
      </c>
      <c r="D2151" s="25">
        <v>820</v>
      </c>
      <c r="E2151" s="28">
        <v>26000</v>
      </c>
      <c r="F2151" s="27">
        <f t="shared" ref="F2151:F2191" ca="1" si="71">INDIRECT(ADDRESS(ROW(),COLUMN()-2,4))*INDIRECT(ADDRESS(ROW(),COLUMN()-1,4))</f>
        <v>21320000</v>
      </c>
    </row>
    <row r="2152" spans="1:6" ht="14.25" customHeight="1" x14ac:dyDescent="0.25">
      <c r="A2152" s="25" t="s">
        <v>766</v>
      </c>
      <c r="B2152" s="26" t="str">
        <f t="shared" ca="1" si="70"/>
        <v>Servicio de licencias de programas informáticos</v>
      </c>
      <c r="C2152" s="58" t="str">
        <f>IFERROR(VLOOKUP("UD",'Informacion '!P:Q,2,FALSE),"")</f>
        <v>Unidad</v>
      </c>
      <c r="D2152" s="25">
        <v>1</v>
      </c>
      <c r="E2152" s="28">
        <v>13000000</v>
      </c>
      <c r="F2152" s="27">
        <f t="shared" ca="1" si="71"/>
        <v>13000000</v>
      </c>
    </row>
    <row r="2153" spans="1:6" ht="14.25" customHeight="1" x14ac:dyDescent="0.25">
      <c r="A2153" s="25" t="s">
        <v>766</v>
      </c>
      <c r="B2153" s="26" t="str">
        <f t="shared" ca="1" si="70"/>
        <v>Servicio de licencias de programas informáticos</v>
      </c>
      <c r="C2153" s="58" t="str">
        <f>IFERROR(VLOOKUP("UD",'Informacion '!P:Q,2,FALSE),"")</f>
        <v>Unidad</v>
      </c>
      <c r="D2153" s="25">
        <v>46</v>
      </c>
      <c r="E2153" s="28">
        <v>200000</v>
      </c>
      <c r="F2153" s="27">
        <f t="shared" ca="1" si="71"/>
        <v>9200000</v>
      </c>
    </row>
    <row r="2154" spans="1:6" ht="14.25" customHeight="1" x14ac:dyDescent="0.25">
      <c r="A2154" s="25" t="s">
        <v>766</v>
      </c>
      <c r="B2154" s="26" t="str">
        <f t="shared" ca="1" si="70"/>
        <v>Servicio de licencias de programas informáticos</v>
      </c>
      <c r="C2154" s="58" t="str">
        <f>IFERROR(VLOOKUP("UD",'Informacion '!P:Q,2,FALSE),"")</f>
        <v>Unidad</v>
      </c>
      <c r="D2154" s="25">
        <v>820</v>
      </c>
      <c r="E2154" s="28">
        <v>10000</v>
      </c>
      <c r="F2154" s="27">
        <f t="shared" ca="1" si="71"/>
        <v>8200000</v>
      </c>
    </row>
    <row r="2155" spans="1:6" ht="14.25" customHeight="1" x14ac:dyDescent="0.25">
      <c r="A2155" s="25" t="s">
        <v>766</v>
      </c>
      <c r="B2155" s="26" t="str">
        <f t="shared" ca="1" si="70"/>
        <v>Servicio de licencias de programas informáticos</v>
      </c>
      <c r="C2155" s="58" t="str">
        <f>IFERROR(VLOOKUP("UD",'Informacion '!P:Q,2,FALSE),"")</f>
        <v>Unidad</v>
      </c>
      <c r="D2155" s="25">
        <v>300</v>
      </c>
      <c r="E2155" s="28">
        <v>15000</v>
      </c>
      <c r="F2155" s="27">
        <f t="shared" ca="1" si="71"/>
        <v>4500000</v>
      </c>
    </row>
    <row r="2156" spans="1:6" ht="14.25" customHeight="1" x14ac:dyDescent="0.25">
      <c r="A2156" s="25" t="s">
        <v>766</v>
      </c>
      <c r="B2156" s="26" t="str">
        <f t="shared" ca="1" si="70"/>
        <v>Servicio de licencias de programas informáticos</v>
      </c>
      <c r="C2156" s="58" t="str">
        <f>IFERROR(VLOOKUP("UD",'Informacion '!P:Q,2,FALSE),"")</f>
        <v>Unidad</v>
      </c>
      <c r="D2156" s="25">
        <v>100</v>
      </c>
      <c r="E2156" s="28">
        <v>37500</v>
      </c>
      <c r="F2156" s="27">
        <f t="shared" ca="1" si="71"/>
        <v>3750000</v>
      </c>
    </row>
    <row r="2157" spans="1:6" ht="14.25" customHeight="1" x14ac:dyDescent="0.25">
      <c r="A2157" s="25" t="s">
        <v>196</v>
      </c>
      <c r="B2157" s="26" t="str">
        <f ca="1">IFERROR(INDEX(UNSPSCDes,MATCH(INDIRECT(ADDRESS(ROW(),COLUMN()-1,4)),UNSPSCCode,0)),IF(INDIRECT(ADDRESS(ROW(),COLUMN()-1,4))="43231512","Software de manejo de licencias",""))</f>
        <v>Software de manejo de licencias</v>
      </c>
      <c r="C2157" s="58" t="str">
        <f>IFERROR(VLOOKUP("UD",'Informacion '!P:Q,2,FALSE),"")</f>
        <v>Unidad</v>
      </c>
      <c r="D2157" s="25">
        <v>1</v>
      </c>
      <c r="E2157" s="28">
        <v>2500000</v>
      </c>
      <c r="F2157" s="27">
        <f t="shared" ca="1" si="71"/>
        <v>2500000</v>
      </c>
    </row>
    <row r="2158" spans="1:6" ht="14.25" customHeight="1" x14ac:dyDescent="0.25">
      <c r="A2158" s="25" t="s">
        <v>766</v>
      </c>
      <c r="B2158" s="26" t="str">
        <f t="shared" ref="B2158:B2191" ca="1" si="72">IFERROR(INDEX(UNSPSCDes,MATCH(INDIRECT(ADDRESS(ROW(),COLUMN()-1,4)),UNSPSCCode,0)),IF(INDIRECT(ADDRESS(ROW(),COLUMN()-1,4))="81112501","Servicio de licencias de programas informáticos",""))</f>
        <v>Servicio de licencias de programas informáticos</v>
      </c>
      <c r="C2158" s="58" t="str">
        <f>IFERROR(VLOOKUP("UD",'Informacion '!P:Q,2,FALSE),"")</f>
        <v>Unidad</v>
      </c>
      <c r="D2158" s="25">
        <v>50</v>
      </c>
      <c r="E2158" s="28">
        <v>26000</v>
      </c>
      <c r="F2158" s="27">
        <f t="shared" ca="1" si="71"/>
        <v>1300000</v>
      </c>
    </row>
    <row r="2159" spans="1:6" ht="14.25" customHeight="1" x14ac:dyDescent="0.25">
      <c r="A2159" s="25" t="s">
        <v>766</v>
      </c>
      <c r="B2159" s="26" t="str">
        <f t="shared" ca="1" si="72"/>
        <v>Servicio de licencias de programas informáticos</v>
      </c>
      <c r="C2159" s="58" t="str">
        <f>IFERROR(VLOOKUP("UD",'Informacion '!P:Q,2,FALSE),"")</f>
        <v>Unidad</v>
      </c>
      <c r="D2159" s="25">
        <v>45</v>
      </c>
      <c r="E2159" s="28">
        <v>20000</v>
      </c>
      <c r="F2159" s="27">
        <f t="shared" ca="1" si="71"/>
        <v>900000</v>
      </c>
    </row>
    <row r="2160" spans="1:6" ht="14.25" customHeight="1" x14ac:dyDescent="0.25">
      <c r="A2160" s="25" t="s">
        <v>766</v>
      </c>
      <c r="B2160" s="26" t="str">
        <f t="shared" ca="1" si="72"/>
        <v>Servicio de licencias de programas informáticos</v>
      </c>
      <c r="C2160" s="58" t="str">
        <f>IFERROR(VLOOKUP("UD",'Informacion '!P:Q,2,FALSE),"")</f>
        <v>Unidad</v>
      </c>
      <c r="D2160" s="25">
        <v>4</v>
      </c>
      <c r="E2160" s="28">
        <v>200000</v>
      </c>
      <c r="F2160" s="27">
        <f t="shared" ca="1" si="71"/>
        <v>800000</v>
      </c>
    </row>
    <row r="2161" spans="1:6" ht="14.25" customHeight="1" x14ac:dyDescent="0.25">
      <c r="A2161" s="25" t="s">
        <v>766</v>
      </c>
      <c r="B2161" s="26" t="str">
        <f t="shared" ca="1" si="72"/>
        <v>Servicio de licencias de programas informáticos</v>
      </c>
      <c r="C2161" s="58" t="str">
        <f>IFERROR(VLOOKUP("UD",'Informacion '!P:Q,2,FALSE),"")</f>
        <v>Unidad</v>
      </c>
      <c r="D2161" s="25">
        <v>33</v>
      </c>
      <c r="E2161" s="28">
        <v>22000</v>
      </c>
      <c r="F2161" s="27">
        <f t="shared" ca="1" si="71"/>
        <v>726000</v>
      </c>
    </row>
    <row r="2162" spans="1:6" ht="14.25" customHeight="1" x14ac:dyDescent="0.25">
      <c r="A2162" s="25" t="s">
        <v>766</v>
      </c>
      <c r="B2162" s="26" t="str">
        <f t="shared" ca="1" si="72"/>
        <v>Servicio de licencias de programas informáticos</v>
      </c>
      <c r="C2162" s="58" t="str">
        <f>IFERROR(VLOOKUP("UD",'Informacion '!P:Q,2,FALSE),"")</f>
        <v>Unidad</v>
      </c>
      <c r="D2162" s="25">
        <v>5</v>
      </c>
      <c r="E2162" s="28">
        <v>130000</v>
      </c>
      <c r="F2162" s="27">
        <f t="shared" ca="1" si="71"/>
        <v>650000</v>
      </c>
    </row>
    <row r="2163" spans="1:6" ht="14.25" customHeight="1" x14ac:dyDescent="0.25">
      <c r="A2163" s="25" t="s">
        <v>766</v>
      </c>
      <c r="B2163" s="26" t="str">
        <f t="shared" ca="1" si="72"/>
        <v>Servicio de licencias de programas informáticos</v>
      </c>
      <c r="C2163" s="58" t="str">
        <f>IFERROR(VLOOKUP("UD",'Informacion '!P:Q,2,FALSE),"")</f>
        <v>Unidad</v>
      </c>
      <c r="D2163" s="25">
        <v>5</v>
      </c>
      <c r="E2163" s="28">
        <v>130000</v>
      </c>
      <c r="F2163" s="27">
        <f t="shared" ca="1" si="71"/>
        <v>650000</v>
      </c>
    </row>
    <row r="2164" spans="1:6" ht="14.25" customHeight="1" x14ac:dyDescent="0.25">
      <c r="A2164" s="25" t="s">
        <v>766</v>
      </c>
      <c r="B2164" s="26" t="str">
        <f t="shared" ca="1" si="72"/>
        <v>Servicio de licencias de programas informáticos</v>
      </c>
      <c r="C2164" s="58" t="str">
        <f>IFERROR(VLOOKUP("UD",'Informacion '!P:Q,2,FALSE),"")</f>
        <v>Unidad</v>
      </c>
      <c r="D2164" s="25">
        <v>1</v>
      </c>
      <c r="E2164" s="28">
        <v>625000</v>
      </c>
      <c r="F2164" s="27">
        <f t="shared" ca="1" si="71"/>
        <v>625000</v>
      </c>
    </row>
    <row r="2165" spans="1:6" ht="14.25" customHeight="1" x14ac:dyDescent="0.25">
      <c r="A2165" s="25" t="s">
        <v>766</v>
      </c>
      <c r="B2165" s="26" t="str">
        <f t="shared" ca="1" si="72"/>
        <v>Servicio de licencias de programas informáticos</v>
      </c>
      <c r="C2165" s="58" t="str">
        <f>IFERROR(VLOOKUP("UD",'Informacion '!P:Q,2,FALSE),"")</f>
        <v>Unidad</v>
      </c>
      <c r="D2165" s="25">
        <v>50</v>
      </c>
      <c r="E2165" s="28">
        <v>10000</v>
      </c>
      <c r="F2165" s="27">
        <f t="shared" ca="1" si="71"/>
        <v>500000</v>
      </c>
    </row>
    <row r="2166" spans="1:6" ht="14.25" customHeight="1" x14ac:dyDescent="0.25">
      <c r="A2166" s="25" t="s">
        <v>766</v>
      </c>
      <c r="B2166" s="26" t="str">
        <f t="shared" ca="1" si="72"/>
        <v>Servicio de licencias de programas informáticos</v>
      </c>
      <c r="C2166" s="58" t="str">
        <f>IFERROR(VLOOKUP("UD",'Informacion '!P:Q,2,FALSE),"")</f>
        <v>Unidad</v>
      </c>
      <c r="D2166" s="25">
        <v>17</v>
      </c>
      <c r="E2166" s="28">
        <v>20000</v>
      </c>
      <c r="F2166" s="27">
        <f t="shared" ca="1" si="71"/>
        <v>340000</v>
      </c>
    </row>
    <row r="2167" spans="1:6" ht="14.25" customHeight="1" x14ac:dyDescent="0.25">
      <c r="A2167" s="25" t="s">
        <v>766</v>
      </c>
      <c r="B2167" s="26" t="str">
        <f t="shared" ca="1" si="72"/>
        <v>Servicio de licencias de programas informáticos</v>
      </c>
      <c r="C2167" s="58" t="str">
        <f>IFERROR(VLOOKUP("UD",'Informacion '!P:Q,2,FALSE),"")</f>
        <v>Unidad</v>
      </c>
      <c r="D2167" s="25">
        <v>10</v>
      </c>
      <c r="E2167" s="28">
        <v>32000</v>
      </c>
      <c r="F2167" s="27">
        <f t="shared" ca="1" si="71"/>
        <v>320000</v>
      </c>
    </row>
    <row r="2168" spans="1:6" ht="14.25" customHeight="1" x14ac:dyDescent="0.25">
      <c r="A2168" s="25" t="s">
        <v>766</v>
      </c>
      <c r="B2168" s="26" t="str">
        <f t="shared" ca="1" si="72"/>
        <v>Servicio de licencias de programas informáticos</v>
      </c>
      <c r="C2168" s="58" t="str">
        <f>IFERROR(VLOOKUP("UD",'Informacion '!P:Q,2,FALSE),"")</f>
        <v>Unidad</v>
      </c>
      <c r="D2168" s="25">
        <v>10</v>
      </c>
      <c r="E2168" s="28">
        <v>32000</v>
      </c>
      <c r="F2168" s="27">
        <f t="shared" ca="1" si="71"/>
        <v>320000</v>
      </c>
    </row>
    <row r="2169" spans="1:6" ht="14.25" customHeight="1" x14ac:dyDescent="0.25">
      <c r="A2169" s="25" t="s">
        <v>766</v>
      </c>
      <c r="B2169" s="26" t="str">
        <f t="shared" ca="1" si="72"/>
        <v>Servicio de licencias de programas informáticos</v>
      </c>
      <c r="C2169" s="58" t="str">
        <f>IFERROR(VLOOKUP("UD",'Informacion '!P:Q,2,FALSE),"")</f>
        <v>Unidad</v>
      </c>
      <c r="D2169" s="25">
        <v>16</v>
      </c>
      <c r="E2169" s="28">
        <v>20000</v>
      </c>
      <c r="F2169" s="27">
        <f t="shared" ca="1" si="71"/>
        <v>320000</v>
      </c>
    </row>
    <row r="2170" spans="1:6" ht="14.25" customHeight="1" x14ac:dyDescent="0.25">
      <c r="A2170" s="25" t="s">
        <v>766</v>
      </c>
      <c r="B2170" s="26" t="str">
        <f t="shared" ca="1" si="72"/>
        <v>Servicio de licencias de programas informáticos</v>
      </c>
      <c r="C2170" s="58" t="str">
        <f>IFERROR(VLOOKUP("UD",'Informacion '!P:Q,2,FALSE),"")</f>
        <v>Unidad</v>
      </c>
      <c r="D2170" s="25">
        <v>9</v>
      </c>
      <c r="E2170" s="28">
        <v>30000</v>
      </c>
      <c r="F2170" s="27">
        <f t="shared" ca="1" si="71"/>
        <v>270000</v>
      </c>
    </row>
    <row r="2171" spans="1:6" ht="14.25" customHeight="1" x14ac:dyDescent="0.25">
      <c r="A2171" s="25" t="s">
        <v>766</v>
      </c>
      <c r="B2171" s="26" t="str">
        <f t="shared" ca="1" si="72"/>
        <v>Servicio de licencias de programas informáticos</v>
      </c>
      <c r="C2171" s="58" t="str">
        <f>IFERROR(VLOOKUP("UD",'Informacion '!P:Q,2,FALSE),"")</f>
        <v>Unidad</v>
      </c>
      <c r="D2171" s="25">
        <v>9</v>
      </c>
      <c r="E2171" s="28">
        <v>28000</v>
      </c>
      <c r="F2171" s="27">
        <f t="shared" ca="1" si="71"/>
        <v>252000</v>
      </c>
    </row>
    <row r="2172" spans="1:6" ht="14.25" customHeight="1" x14ac:dyDescent="0.25">
      <c r="A2172" s="25" t="s">
        <v>766</v>
      </c>
      <c r="B2172" s="26" t="str">
        <f t="shared" ca="1" si="72"/>
        <v>Servicio de licencias de programas informáticos</v>
      </c>
      <c r="C2172" s="58" t="str">
        <f>IFERROR(VLOOKUP("UD",'Informacion '!P:Q,2,FALSE),"")</f>
        <v>Unidad</v>
      </c>
      <c r="D2172" s="25">
        <v>10</v>
      </c>
      <c r="E2172" s="28">
        <v>20000</v>
      </c>
      <c r="F2172" s="27">
        <f t="shared" ca="1" si="71"/>
        <v>200000</v>
      </c>
    </row>
    <row r="2173" spans="1:6" ht="14.25" customHeight="1" x14ac:dyDescent="0.25">
      <c r="A2173" s="25" t="s">
        <v>766</v>
      </c>
      <c r="B2173" s="26" t="str">
        <f t="shared" ca="1" si="72"/>
        <v>Servicio de licencias de programas informáticos</v>
      </c>
      <c r="C2173" s="58" t="str">
        <f>IFERROR(VLOOKUP("UD",'Informacion '!P:Q,2,FALSE),"")</f>
        <v>Unidad</v>
      </c>
      <c r="D2173" s="25">
        <v>17</v>
      </c>
      <c r="E2173" s="28">
        <v>10000</v>
      </c>
      <c r="F2173" s="27">
        <f t="shared" ca="1" si="71"/>
        <v>170000</v>
      </c>
    </row>
    <row r="2174" spans="1:6" ht="14.25" customHeight="1" x14ac:dyDescent="0.25">
      <c r="A2174" s="25" t="s">
        <v>766</v>
      </c>
      <c r="B2174" s="26" t="str">
        <f t="shared" ca="1" si="72"/>
        <v>Servicio de licencias de programas informáticos</v>
      </c>
      <c r="C2174" s="58" t="str">
        <f>IFERROR(VLOOKUP("UD",'Informacion '!P:Q,2,FALSE),"")</f>
        <v>Unidad</v>
      </c>
      <c r="D2174" s="25">
        <v>1</v>
      </c>
      <c r="E2174" s="28">
        <v>150000</v>
      </c>
      <c r="F2174" s="27">
        <f t="shared" ca="1" si="71"/>
        <v>150000</v>
      </c>
    </row>
    <row r="2175" spans="1:6" ht="14.25" customHeight="1" x14ac:dyDescent="0.25">
      <c r="A2175" s="25" t="s">
        <v>766</v>
      </c>
      <c r="B2175" s="26" t="str">
        <f t="shared" ca="1" si="72"/>
        <v>Servicio de licencias de programas informáticos</v>
      </c>
      <c r="C2175" s="58" t="str">
        <f>IFERROR(VLOOKUP("UD",'Informacion '!P:Q,2,FALSE),"")</f>
        <v>Unidad</v>
      </c>
      <c r="D2175" s="25">
        <v>7</v>
      </c>
      <c r="E2175" s="28">
        <v>15000</v>
      </c>
      <c r="F2175" s="27">
        <f t="shared" ca="1" si="71"/>
        <v>105000</v>
      </c>
    </row>
    <row r="2176" spans="1:6" ht="14.25" customHeight="1" x14ac:dyDescent="0.25">
      <c r="A2176" s="25" t="s">
        <v>766</v>
      </c>
      <c r="B2176" s="26" t="str">
        <f t="shared" ca="1" si="72"/>
        <v>Servicio de licencias de programas informáticos</v>
      </c>
      <c r="C2176" s="58" t="str">
        <f>IFERROR(VLOOKUP("UD",'Informacion '!P:Q,2,FALSE),"")</f>
        <v>Unidad</v>
      </c>
      <c r="D2176" s="25">
        <v>5</v>
      </c>
      <c r="E2176" s="28">
        <v>20000</v>
      </c>
      <c r="F2176" s="27">
        <f t="shared" ca="1" si="71"/>
        <v>100000</v>
      </c>
    </row>
    <row r="2177" spans="1:10" ht="14.25" customHeight="1" x14ac:dyDescent="0.25">
      <c r="A2177" s="25" t="s">
        <v>766</v>
      </c>
      <c r="B2177" s="26" t="str">
        <f t="shared" ca="1" si="72"/>
        <v>Servicio de licencias de programas informáticos</v>
      </c>
      <c r="C2177" s="58" t="str">
        <f>IFERROR(VLOOKUP("UD",'Informacion '!P:Q,2,FALSE),"")</f>
        <v>Unidad</v>
      </c>
      <c r="D2177" s="25">
        <v>2</v>
      </c>
      <c r="E2177" s="28">
        <v>32000</v>
      </c>
      <c r="F2177" s="27">
        <f t="shared" ca="1" si="71"/>
        <v>64000</v>
      </c>
    </row>
    <row r="2178" spans="1:10" ht="14.25" customHeight="1" x14ac:dyDescent="0.25">
      <c r="A2178" s="25" t="s">
        <v>766</v>
      </c>
      <c r="B2178" s="26" t="str">
        <f t="shared" ca="1" si="72"/>
        <v>Servicio de licencias de programas informáticos</v>
      </c>
      <c r="C2178" s="58" t="str">
        <f>IFERROR(VLOOKUP("UD",'Informacion '!P:Q,2,FALSE),"")</f>
        <v>Unidad</v>
      </c>
      <c r="D2178" s="25">
        <v>2</v>
      </c>
      <c r="E2178" s="28">
        <v>28000</v>
      </c>
      <c r="F2178" s="27">
        <f t="shared" ca="1" si="71"/>
        <v>56000</v>
      </c>
    </row>
    <row r="2179" spans="1:10" ht="14.25" customHeight="1" x14ac:dyDescent="0.25">
      <c r="A2179" s="25" t="s">
        <v>766</v>
      </c>
      <c r="B2179" s="26" t="str">
        <f t="shared" ca="1" si="72"/>
        <v>Servicio de licencias de programas informáticos</v>
      </c>
      <c r="C2179" s="58" t="str">
        <f>IFERROR(VLOOKUP("UD",'Informacion '!P:Q,2,FALSE),"")</f>
        <v>Unidad</v>
      </c>
      <c r="D2179" s="25">
        <v>3</v>
      </c>
      <c r="E2179" s="28">
        <v>15000</v>
      </c>
      <c r="F2179" s="27">
        <f t="shared" ca="1" si="71"/>
        <v>45000</v>
      </c>
    </row>
    <row r="2180" spans="1:10" ht="14.25" customHeight="1" x14ac:dyDescent="0.25">
      <c r="A2180" s="25" t="s">
        <v>766</v>
      </c>
      <c r="B2180" s="26" t="str">
        <f t="shared" ca="1" si="72"/>
        <v>Servicio de licencias de programas informáticos</v>
      </c>
      <c r="C2180" s="58" t="str">
        <f>IFERROR(VLOOKUP("UD",'Informacion '!P:Q,2,FALSE),"")</f>
        <v>Unidad</v>
      </c>
      <c r="D2180" s="25">
        <v>2</v>
      </c>
      <c r="E2180" s="28">
        <v>20000</v>
      </c>
      <c r="F2180" s="27">
        <f t="shared" ca="1" si="71"/>
        <v>40000</v>
      </c>
    </row>
    <row r="2181" spans="1:10" ht="14.25" customHeight="1" x14ac:dyDescent="0.25">
      <c r="A2181" s="25" t="s">
        <v>766</v>
      </c>
      <c r="B2181" s="26" t="str">
        <f t="shared" ca="1" si="72"/>
        <v>Servicio de licencias de programas informáticos</v>
      </c>
      <c r="C2181" s="58" t="str">
        <f>IFERROR(VLOOKUP("UD",'Informacion '!P:Q,2,FALSE),"")</f>
        <v>Unidad</v>
      </c>
      <c r="D2181" s="25">
        <v>2</v>
      </c>
      <c r="E2181" s="28">
        <v>20000</v>
      </c>
      <c r="F2181" s="27">
        <f t="shared" ca="1" si="71"/>
        <v>40000</v>
      </c>
    </row>
    <row r="2182" spans="1:10" ht="14.25" customHeight="1" x14ac:dyDescent="0.25">
      <c r="A2182" s="25" t="s">
        <v>766</v>
      </c>
      <c r="B2182" s="26" t="str">
        <f t="shared" ca="1" si="72"/>
        <v>Servicio de licencias de programas informáticos</v>
      </c>
      <c r="C2182" s="58" t="str">
        <f>IFERROR(VLOOKUP("UD",'Informacion '!P:Q,2,FALSE),"")</f>
        <v>Unidad</v>
      </c>
      <c r="D2182" s="25">
        <v>2</v>
      </c>
      <c r="E2182" s="28">
        <v>20000</v>
      </c>
      <c r="F2182" s="27">
        <f t="shared" ca="1" si="71"/>
        <v>40000</v>
      </c>
    </row>
    <row r="2183" spans="1:10" ht="14.25" customHeight="1" x14ac:dyDescent="0.25">
      <c r="A2183" s="25" t="s">
        <v>766</v>
      </c>
      <c r="B2183" s="26" t="str">
        <f t="shared" ca="1" si="72"/>
        <v>Servicio de licencias de programas informáticos</v>
      </c>
      <c r="C2183" s="58" t="str">
        <f>IFERROR(VLOOKUP("UD",'Informacion '!P:Q,2,FALSE),"")</f>
        <v>Unidad</v>
      </c>
      <c r="D2183" s="25">
        <v>2</v>
      </c>
      <c r="E2183" s="28">
        <v>15000</v>
      </c>
      <c r="F2183" s="27">
        <f t="shared" ca="1" si="71"/>
        <v>30000</v>
      </c>
    </row>
    <row r="2184" spans="1:10" ht="14.25" customHeight="1" x14ac:dyDescent="0.25">
      <c r="A2184" s="25" t="s">
        <v>766</v>
      </c>
      <c r="B2184" s="26" t="str">
        <f t="shared" ca="1" si="72"/>
        <v>Servicio de licencias de programas informáticos</v>
      </c>
      <c r="C2184" s="58" t="str">
        <f>IFERROR(VLOOKUP("UD",'Informacion '!P:Q,2,FALSE),"")</f>
        <v>Unidad</v>
      </c>
      <c r="D2184" s="25">
        <v>2</v>
      </c>
      <c r="E2184" s="28">
        <v>15000</v>
      </c>
      <c r="F2184" s="27">
        <f t="shared" ca="1" si="71"/>
        <v>30000</v>
      </c>
    </row>
    <row r="2185" spans="1:10" ht="14.25" customHeight="1" x14ac:dyDescent="0.25">
      <c r="A2185" s="25" t="s">
        <v>766</v>
      </c>
      <c r="B2185" s="26" t="str">
        <f t="shared" ca="1" si="72"/>
        <v>Servicio de licencias de programas informáticos</v>
      </c>
      <c r="C2185" s="58" t="str">
        <f>IFERROR(VLOOKUP("UD",'Informacion '!P:Q,2,FALSE),"")</f>
        <v>Unidad</v>
      </c>
      <c r="D2185" s="25">
        <v>2</v>
      </c>
      <c r="E2185" s="28">
        <v>15000</v>
      </c>
      <c r="F2185" s="27">
        <f t="shared" ca="1" si="71"/>
        <v>30000</v>
      </c>
    </row>
    <row r="2186" spans="1:10" ht="14.25" customHeight="1" x14ac:dyDescent="0.25">
      <c r="A2186" s="25" t="s">
        <v>766</v>
      </c>
      <c r="B2186" s="26" t="str">
        <f t="shared" ca="1" si="72"/>
        <v>Servicio de licencias de programas informáticos</v>
      </c>
      <c r="C2186" s="58" t="str">
        <f>IFERROR(VLOOKUP("UD",'Informacion '!P:Q,2,FALSE),"")</f>
        <v>Unidad</v>
      </c>
      <c r="D2186" s="25">
        <v>1</v>
      </c>
      <c r="E2186" s="28">
        <v>20000</v>
      </c>
      <c r="F2186" s="27">
        <f t="shared" ca="1" si="71"/>
        <v>20000</v>
      </c>
    </row>
    <row r="2187" spans="1:10" ht="14.25" customHeight="1" x14ac:dyDescent="0.25">
      <c r="A2187" s="25" t="s">
        <v>766</v>
      </c>
      <c r="B2187" s="26" t="str">
        <f t="shared" ca="1" si="72"/>
        <v>Servicio de licencias de programas informáticos</v>
      </c>
      <c r="C2187" s="58" t="str">
        <f>IFERROR(VLOOKUP("UD",'Informacion '!P:Q,2,FALSE),"")</f>
        <v>Unidad</v>
      </c>
      <c r="D2187" s="25">
        <v>1</v>
      </c>
      <c r="E2187" s="28">
        <v>20000</v>
      </c>
      <c r="F2187" s="27">
        <f t="shared" ca="1" si="71"/>
        <v>20000</v>
      </c>
    </row>
    <row r="2188" spans="1:10" ht="14.25" customHeight="1" x14ac:dyDescent="0.25">
      <c r="A2188" s="25" t="s">
        <v>766</v>
      </c>
      <c r="B2188" s="26" t="str">
        <f t="shared" ca="1" si="72"/>
        <v>Servicio de licencias de programas informáticos</v>
      </c>
      <c r="C2188" s="58" t="str">
        <f>IFERROR(VLOOKUP("UD",'Informacion '!P:Q,2,FALSE),"")</f>
        <v>Unidad</v>
      </c>
      <c r="D2188" s="25">
        <v>1</v>
      </c>
      <c r="E2188" s="28">
        <v>15000</v>
      </c>
      <c r="F2188" s="27">
        <f t="shared" ca="1" si="71"/>
        <v>15000</v>
      </c>
    </row>
    <row r="2189" spans="1:10" ht="14.25" customHeight="1" x14ac:dyDescent="0.25">
      <c r="A2189" s="25" t="s">
        <v>766</v>
      </c>
      <c r="B2189" s="26" t="str">
        <f t="shared" ca="1" si="72"/>
        <v>Servicio de licencias de programas informáticos</v>
      </c>
      <c r="C2189" s="58" t="str">
        <f>IFERROR(VLOOKUP("UD",'Informacion '!P:Q,2,FALSE),"")</f>
        <v>Unidad</v>
      </c>
      <c r="D2189" s="25">
        <v>1</v>
      </c>
      <c r="E2189" s="28">
        <v>15000</v>
      </c>
      <c r="F2189" s="27">
        <f t="shared" ca="1" si="71"/>
        <v>15000</v>
      </c>
    </row>
    <row r="2190" spans="1:10" ht="14.25" customHeight="1" x14ac:dyDescent="0.25">
      <c r="A2190" s="25" t="s">
        <v>766</v>
      </c>
      <c r="B2190" s="26" t="str">
        <f t="shared" ca="1" si="72"/>
        <v>Servicio de licencias de programas informáticos</v>
      </c>
      <c r="C2190" s="58" t="str">
        <f>IFERROR(VLOOKUP("UD",'Informacion '!P:Q,2,FALSE),"")</f>
        <v>Unidad</v>
      </c>
      <c r="D2190" s="25">
        <v>1</v>
      </c>
      <c r="E2190" s="28">
        <v>15000</v>
      </c>
      <c r="F2190" s="27">
        <f t="shared" ca="1" si="71"/>
        <v>15000</v>
      </c>
    </row>
    <row r="2191" spans="1:10" ht="14.25" customHeight="1" x14ac:dyDescent="0.25">
      <c r="A2191" s="25" t="s">
        <v>766</v>
      </c>
      <c r="B2191" s="26" t="str">
        <f t="shared" ca="1" si="72"/>
        <v>Servicio de licencias de programas informáticos</v>
      </c>
      <c r="C2191" s="58" t="str">
        <f>IFERROR(VLOOKUP("UD",'Informacion '!P:Q,2,FALSE),"")</f>
        <v>Unidad</v>
      </c>
      <c r="D2191" s="25">
        <v>1</v>
      </c>
      <c r="E2191" s="28">
        <v>15000</v>
      </c>
      <c r="F2191" s="27">
        <f t="shared" ca="1" si="71"/>
        <v>15000</v>
      </c>
    </row>
    <row r="2192" spans="1:10" ht="14.25" customHeight="1" x14ac:dyDescent="0.25">
      <c r="E2192" s="30" t="s">
        <v>816</v>
      </c>
      <c r="F2192" s="31">
        <f ca="1">SUM(Table113[MONTO TOTAL ESTIMADO])</f>
        <v>71643000</v>
      </c>
      <c r="H2192" s="21" t="str">
        <f>C2144</f>
        <v>Servicios</v>
      </c>
      <c r="I2192" s="21" t="str">
        <f>E2144</f>
        <v>No</v>
      </c>
      <c r="J2192" s="21" t="str">
        <f>D2144</f>
        <v>Licitacion Publica</v>
      </c>
    </row>
    <row r="2194" spans="1:10" ht="33.950000000000003" customHeight="1" x14ac:dyDescent="0.25">
      <c r="A2194" s="22" t="s">
        <v>1051</v>
      </c>
      <c r="B2194" s="22" t="s">
        <v>11</v>
      </c>
      <c r="C2194" s="22" t="s">
        <v>751</v>
      </c>
      <c r="D2194" s="22" t="s">
        <v>930</v>
      </c>
      <c r="E2194" s="22" t="s">
        <v>699</v>
      </c>
      <c r="F2194" s="22" t="s">
        <v>710</v>
      </c>
    </row>
    <row r="2195" spans="1:10" ht="14.25" customHeight="1" x14ac:dyDescent="0.25">
      <c r="A2195" s="23" t="s">
        <v>1086</v>
      </c>
      <c r="B2195" s="23" t="s">
        <v>864</v>
      </c>
      <c r="C2195" s="23" t="s">
        <v>438</v>
      </c>
      <c r="D2195" s="23" t="s">
        <v>270</v>
      </c>
      <c r="E2195" s="23" t="s">
        <v>1156</v>
      </c>
      <c r="F2195" s="23" t="s">
        <v>436</v>
      </c>
    </row>
    <row r="2196" spans="1:10" ht="14.25" customHeight="1" x14ac:dyDescent="0.25">
      <c r="A2196" s="68" t="s">
        <v>965</v>
      </c>
      <c r="B2196" s="24" t="s">
        <v>543</v>
      </c>
      <c r="C2196" s="54">
        <v>46113</v>
      </c>
      <c r="D2196" s="68" t="s">
        <v>598</v>
      </c>
      <c r="E2196" s="56" t="s">
        <v>858</v>
      </c>
      <c r="F2196" s="57"/>
    </row>
    <row r="2197" spans="1:10" ht="14.25" customHeight="1" x14ac:dyDescent="0.25">
      <c r="A2197" s="69"/>
      <c r="B2197" s="24" t="s">
        <v>112</v>
      </c>
      <c r="C2197" s="55">
        <f>IF(C2196="","",IF(AND(MONTH(C2196)&gt;=1,MONTH(C2196)&lt;=3),1,IF(AND(MONTH(C2196)&gt;=4,MONTH(C2196)&lt;=6),2,IF(AND(MONTH(C2196)&gt;=7,MONTH(C2196)&lt;=9),3,4))))</f>
        <v>2</v>
      </c>
      <c r="D2197" s="69"/>
      <c r="E2197" s="56" t="s">
        <v>143</v>
      </c>
      <c r="F2197" s="57"/>
    </row>
    <row r="2198" spans="1:10" ht="14.25" customHeight="1" x14ac:dyDescent="0.25">
      <c r="A2198" s="69"/>
      <c r="B2198" s="24" t="s">
        <v>844</v>
      </c>
      <c r="C2198" s="54">
        <v>46143</v>
      </c>
      <c r="D2198" s="69"/>
      <c r="E2198" s="56" t="s">
        <v>183</v>
      </c>
      <c r="F2198" s="57"/>
    </row>
    <row r="2199" spans="1:10" ht="14.25" customHeight="1" x14ac:dyDescent="0.25">
      <c r="A2199" s="69"/>
      <c r="B2199" s="24" t="s">
        <v>112</v>
      </c>
      <c r="C2199" s="55">
        <f>IF(C2198="","",IF(AND(MONTH(C2198)&gt;=1,MONTH(C2198)&lt;=3),1,IF(AND(MONTH(C2198)&gt;=4,MONTH(C2198)&lt;=6),2,IF(AND(MONTH(C2198)&gt;=7,MONTH(C2198)&lt;=9),3,4))))</f>
        <v>2</v>
      </c>
      <c r="D2199" s="69"/>
      <c r="E2199" s="56" t="s">
        <v>865</v>
      </c>
      <c r="F2199" s="57"/>
    </row>
    <row r="2201" spans="1:10" ht="14.25" customHeight="1" x14ac:dyDescent="0.25">
      <c r="A2201" s="29" t="s">
        <v>1017</v>
      </c>
      <c r="B2201" s="29" t="s">
        <v>1042</v>
      </c>
      <c r="C2201" s="29" t="s">
        <v>1011</v>
      </c>
      <c r="D2201" s="29" t="s">
        <v>985</v>
      </c>
      <c r="E2201" s="29" t="s">
        <v>449</v>
      </c>
      <c r="F2201" s="29" t="s">
        <v>989</v>
      </c>
    </row>
    <row r="2202" spans="1:10" ht="14.25" customHeight="1" x14ac:dyDescent="0.25">
      <c r="A2202" s="25" t="s">
        <v>384</v>
      </c>
      <c r="B2202" s="26" t="str">
        <f ca="1">IFERROR(INDEX(UNSPSCDes,MATCH(INDIRECT(ADDRESS(ROW(),COLUMN()-1,4)),UNSPSCCode,0)),IF(INDIRECT(ADDRESS(ROW(),COLUMN()-1,4))="82101504","Publicidad en periódicos",""))</f>
        <v>Publicidad en periódicos</v>
      </c>
      <c r="C2202" s="58" t="str">
        <f>IFERROR(VLOOKUP("UD",'Informacion '!P:Q,2,FALSE),"")</f>
        <v>Unidad</v>
      </c>
      <c r="D2202" s="25">
        <v>2</v>
      </c>
      <c r="E2202" s="28">
        <v>1000000</v>
      </c>
      <c r="F2202" s="27">
        <f ca="1">INDIRECT(ADDRESS(ROW(),COLUMN()-2,4))*INDIRECT(ADDRESS(ROW(),COLUMN()-1,4))</f>
        <v>2000000</v>
      </c>
    </row>
    <row r="2203" spans="1:10" ht="14.25" customHeight="1" x14ac:dyDescent="0.25">
      <c r="E2203" s="30" t="s">
        <v>816</v>
      </c>
      <c r="F2203" s="31">
        <f ca="1">SUM(Table114[MONTO TOTAL ESTIMADO])</f>
        <v>2000000</v>
      </c>
      <c r="H2203" s="21" t="str">
        <f>C2195</f>
        <v>Servicios</v>
      </c>
      <c r="I2203" s="21" t="str">
        <f>E2195</f>
        <v>No</v>
      </c>
      <c r="J2203" s="21" t="str">
        <f>D2195</f>
        <v>Excepción - Contratación de publicidad a través de medios de comunicación social</v>
      </c>
    </row>
    <row r="2205" spans="1:10" ht="33.950000000000003" customHeight="1" x14ac:dyDescent="0.25">
      <c r="A2205" s="22" t="s">
        <v>1051</v>
      </c>
      <c r="B2205" s="22" t="s">
        <v>11</v>
      </c>
      <c r="C2205" s="22" t="s">
        <v>751</v>
      </c>
      <c r="D2205" s="22" t="s">
        <v>930</v>
      </c>
      <c r="E2205" s="22" t="s">
        <v>699</v>
      </c>
      <c r="F2205" s="22" t="s">
        <v>710</v>
      </c>
    </row>
    <row r="2206" spans="1:10" ht="14.25" customHeight="1" x14ac:dyDescent="0.25">
      <c r="A2206" s="23" t="s">
        <v>524</v>
      </c>
      <c r="B2206" s="23" t="s">
        <v>524</v>
      </c>
      <c r="C2206" s="23" t="s">
        <v>438</v>
      </c>
      <c r="D2206" s="23" t="s">
        <v>270</v>
      </c>
      <c r="E2206" s="23" t="s">
        <v>1156</v>
      </c>
      <c r="F2206" s="23" t="s">
        <v>436</v>
      </c>
    </row>
    <row r="2207" spans="1:10" ht="14.25" customHeight="1" x14ac:dyDescent="0.25">
      <c r="A2207" s="68" t="s">
        <v>965</v>
      </c>
      <c r="B2207" s="24" t="s">
        <v>543</v>
      </c>
      <c r="C2207" s="54">
        <v>46113</v>
      </c>
      <c r="D2207" s="68" t="s">
        <v>598</v>
      </c>
      <c r="E2207" s="56" t="s">
        <v>858</v>
      </c>
      <c r="F2207" s="57"/>
    </row>
    <row r="2208" spans="1:10" ht="14.25" customHeight="1" x14ac:dyDescent="0.25">
      <c r="A2208" s="69"/>
      <c r="B2208" s="24" t="s">
        <v>112</v>
      </c>
      <c r="C2208" s="55">
        <f>IF(C2207="","",IF(AND(MONTH(C2207)&gt;=1,MONTH(C2207)&lt;=3),1,IF(AND(MONTH(C2207)&gt;=4,MONTH(C2207)&lt;=6),2,IF(AND(MONTH(C2207)&gt;=7,MONTH(C2207)&lt;=9),3,4))))</f>
        <v>2</v>
      </c>
      <c r="D2208" s="69"/>
      <c r="E2208" s="56" t="s">
        <v>143</v>
      </c>
      <c r="F2208" s="57"/>
    </row>
    <row r="2209" spans="1:10" ht="14.25" customHeight="1" x14ac:dyDescent="0.25">
      <c r="A2209" s="69"/>
      <c r="B2209" s="24" t="s">
        <v>844</v>
      </c>
      <c r="C2209" s="54">
        <v>46143</v>
      </c>
      <c r="D2209" s="69"/>
      <c r="E2209" s="56" t="s">
        <v>183</v>
      </c>
      <c r="F2209" s="57"/>
    </row>
    <row r="2210" spans="1:10" ht="14.25" customHeight="1" x14ac:dyDescent="0.25">
      <c r="A2210" s="69"/>
      <c r="B2210" s="24" t="s">
        <v>112</v>
      </c>
      <c r="C2210" s="55">
        <f>IF(C2209="","",IF(AND(MONTH(C2209)&gt;=1,MONTH(C2209)&lt;=3),1,IF(AND(MONTH(C2209)&gt;=4,MONTH(C2209)&lt;=6),2,IF(AND(MONTH(C2209)&gt;=7,MONTH(C2209)&lt;=9),3,4))))</f>
        <v>2</v>
      </c>
      <c r="D2210" s="69"/>
      <c r="E2210" s="56" t="s">
        <v>865</v>
      </c>
      <c r="F2210" s="57"/>
    </row>
    <row r="2212" spans="1:10" ht="14.25" customHeight="1" x14ac:dyDescent="0.25">
      <c r="A2212" s="29" t="s">
        <v>1017</v>
      </c>
      <c r="B2212" s="29" t="s">
        <v>1042</v>
      </c>
      <c r="C2212" s="29" t="s">
        <v>1011</v>
      </c>
      <c r="D2212" s="29" t="s">
        <v>985</v>
      </c>
      <c r="E2212" s="29" t="s">
        <v>449</v>
      </c>
      <c r="F2212" s="29" t="s">
        <v>989</v>
      </c>
    </row>
    <row r="2213" spans="1:10" ht="14.25" customHeight="1" x14ac:dyDescent="0.25">
      <c r="A2213" s="25" t="s">
        <v>494</v>
      </c>
      <c r="B2213" s="26" t="str">
        <f ca="1">IFERROR(INDEX(UNSPSCDes,MATCH(INDIRECT(ADDRESS(ROW(),COLUMN()-1,4)),UNSPSCCode,0)),IF(INDIRECT(ADDRESS(ROW(),COLUMN()-1,4))="82101503","Publicidad en revistas",""))</f>
        <v>Publicidad en revistas</v>
      </c>
      <c r="C2213" s="58" t="str">
        <f>IFERROR(VLOOKUP("UD",'Informacion '!P:Q,2,FALSE),"")</f>
        <v>Unidad</v>
      </c>
      <c r="D2213" s="25">
        <v>1</v>
      </c>
      <c r="E2213" s="28">
        <v>1000000</v>
      </c>
      <c r="F2213" s="27">
        <f ca="1">INDIRECT(ADDRESS(ROW(),COLUMN()-2,4))*INDIRECT(ADDRESS(ROW(),COLUMN()-1,4))</f>
        <v>1000000</v>
      </c>
    </row>
    <row r="2214" spans="1:10" ht="14.25" customHeight="1" x14ac:dyDescent="0.25">
      <c r="E2214" s="30" t="s">
        <v>816</v>
      </c>
      <c r="F2214" s="31">
        <f ca="1">SUM(Table115[MONTO TOTAL ESTIMADO])</f>
        <v>1000000</v>
      </c>
      <c r="H2214" s="21" t="str">
        <f>C2206</f>
        <v>Servicios</v>
      </c>
      <c r="I2214" s="21" t="str">
        <f>E2206</f>
        <v>No</v>
      </c>
      <c r="J2214" s="21" t="str">
        <f>D2206</f>
        <v>Excepción - Contratación de publicidad a través de medios de comunicación social</v>
      </c>
    </row>
    <row r="2216" spans="1:10" ht="33.950000000000003" customHeight="1" x14ac:dyDescent="0.25">
      <c r="A2216" s="22" t="s">
        <v>1051</v>
      </c>
      <c r="B2216" s="22" t="s">
        <v>11</v>
      </c>
      <c r="C2216" s="22" t="s">
        <v>751</v>
      </c>
      <c r="D2216" s="22" t="s">
        <v>930</v>
      </c>
      <c r="E2216" s="22" t="s">
        <v>699</v>
      </c>
      <c r="F2216" s="22" t="s">
        <v>710</v>
      </c>
    </row>
    <row r="2217" spans="1:10" ht="14.25" customHeight="1" x14ac:dyDescent="0.25">
      <c r="A2217" s="23" t="s">
        <v>833</v>
      </c>
      <c r="B2217" s="23" t="s">
        <v>833</v>
      </c>
      <c r="C2217" s="23" t="s">
        <v>438</v>
      </c>
      <c r="D2217" s="23" t="s">
        <v>270</v>
      </c>
      <c r="E2217" s="23" t="s">
        <v>1156</v>
      </c>
      <c r="F2217" s="23" t="s">
        <v>436</v>
      </c>
    </row>
    <row r="2218" spans="1:10" ht="14.25" customHeight="1" x14ac:dyDescent="0.25">
      <c r="A2218" s="68" t="s">
        <v>965</v>
      </c>
      <c r="B2218" s="24" t="s">
        <v>543</v>
      </c>
      <c r="C2218" s="54">
        <v>46143</v>
      </c>
      <c r="D2218" s="68" t="s">
        <v>598</v>
      </c>
      <c r="E2218" s="56" t="s">
        <v>858</v>
      </c>
      <c r="F2218" s="57"/>
    </row>
    <row r="2219" spans="1:10" ht="14.25" customHeight="1" x14ac:dyDescent="0.25">
      <c r="A2219" s="69"/>
      <c r="B2219" s="24" t="s">
        <v>112</v>
      </c>
      <c r="C2219" s="55">
        <f>IF(C2218="","",IF(AND(MONTH(C2218)&gt;=1,MONTH(C2218)&lt;=3),1,IF(AND(MONTH(C2218)&gt;=4,MONTH(C2218)&lt;=6),2,IF(AND(MONTH(C2218)&gt;=7,MONTH(C2218)&lt;=9),3,4))))</f>
        <v>2</v>
      </c>
      <c r="D2219" s="69"/>
      <c r="E2219" s="56" t="s">
        <v>143</v>
      </c>
      <c r="F2219" s="57"/>
    </row>
    <row r="2220" spans="1:10" ht="14.25" customHeight="1" x14ac:dyDescent="0.25">
      <c r="A2220" s="69"/>
      <c r="B2220" s="24" t="s">
        <v>844</v>
      </c>
      <c r="C2220" s="54">
        <v>46174</v>
      </c>
      <c r="D2220" s="69"/>
      <c r="E2220" s="56" t="s">
        <v>183</v>
      </c>
      <c r="F2220" s="57"/>
    </row>
    <row r="2221" spans="1:10" ht="14.25" customHeight="1" x14ac:dyDescent="0.25">
      <c r="A2221" s="69"/>
      <c r="B2221" s="24" t="s">
        <v>112</v>
      </c>
      <c r="C2221" s="55">
        <f>IF(C2220="","",IF(AND(MONTH(C2220)&gt;=1,MONTH(C2220)&lt;=3),1,IF(AND(MONTH(C2220)&gt;=4,MONTH(C2220)&lt;=6),2,IF(AND(MONTH(C2220)&gt;=7,MONTH(C2220)&lt;=9),3,4))))</f>
        <v>2</v>
      </c>
      <c r="D2221" s="69"/>
      <c r="E2221" s="56" t="s">
        <v>865</v>
      </c>
      <c r="F2221" s="57"/>
    </row>
    <row r="2223" spans="1:10" ht="14.25" customHeight="1" x14ac:dyDescent="0.25">
      <c r="A2223" s="29" t="s">
        <v>1017</v>
      </c>
      <c r="B2223" s="29" t="s">
        <v>1042</v>
      </c>
      <c r="C2223" s="29" t="s">
        <v>1011</v>
      </c>
      <c r="D2223" s="29" t="s">
        <v>985</v>
      </c>
      <c r="E2223" s="29" t="s">
        <v>449</v>
      </c>
      <c r="F2223" s="29" t="s">
        <v>989</v>
      </c>
    </row>
    <row r="2224" spans="1:10" ht="14.25" customHeight="1" x14ac:dyDescent="0.25">
      <c r="A2224" s="25" t="s">
        <v>503</v>
      </c>
      <c r="B2224" s="26" t="str">
        <f ca="1">IFERROR(INDEX(UNSPSCDes,MATCH(INDIRECT(ADDRESS(ROW(),COLUMN()-1,4)),UNSPSCCode,0)),IF(INDIRECT(ADDRESS(ROW(),COLUMN()-1,4))="82101501","Publicidad en vallas",""))</f>
        <v>Publicidad en vallas</v>
      </c>
      <c r="C2224" s="58" t="str">
        <f>IFERROR(VLOOKUP("UD",'Informacion '!P:Q,2,FALSE),"")</f>
        <v>Unidad</v>
      </c>
      <c r="D2224" s="25">
        <v>1</v>
      </c>
      <c r="E2224" s="28">
        <v>10000000</v>
      </c>
      <c r="F2224" s="27">
        <f ca="1">INDIRECT(ADDRESS(ROW(),COLUMN()-2,4))*INDIRECT(ADDRESS(ROW(),COLUMN()-1,4))</f>
        <v>10000000</v>
      </c>
    </row>
    <row r="2225" spans="1:10" ht="14.25" customHeight="1" x14ac:dyDescent="0.25">
      <c r="E2225" s="30" t="s">
        <v>816</v>
      </c>
      <c r="F2225" s="31">
        <f ca="1">SUM(Table116[MONTO TOTAL ESTIMADO])</f>
        <v>10000000</v>
      </c>
      <c r="H2225" s="21" t="str">
        <f>C2217</f>
        <v>Servicios</v>
      </c>
      <c r="I2225" s="21" t="str">
        <f>E2217</f>
        <v>No</v>
      </c>
      <c r="J2225" s="21" t="str">
        <f>D2217</f>
        <v>Excepción - Contratación de publicidad a través de medios de comunicación social</v>
      </c>
    </row>
    <row r="2227" spans="1:10" ht="33.950000000000003" customHeight="1" x14ac:dyDescent="0.25">
      <c r="A2227" s="22" t="s">
        <v>1051</v>
      </c>
      <c r="B2227" s="22" t="s">
        <v>11</v>
      </c>
      <c r="C2227" s="22" t="s">
        <v>751</v>
      </c>
      <c r="D2227" s="22" t="s">
        <v>930</v>
      </c>
      <c r="E2227" s="22" t="s">
        <v>699</v>
      </c>
      <c r="F2227" s="22" t="s">
        <v>710</v>
      </c>
    </row>
    <row r="2228" spans="1:10" ht="14.25" customHeight="1" x14ac:dyDescent="0.25">
      <c r="A2228" s="23" t="s">
        <v>271</v>
      </c>
      <c r="B2228" s="23" t="s">
        <v>271</v>
      </c>
      <c r="C2228" s="23" t="s">
        <v>1155</v>
      </c>
      <c r="D2228" s="23" t="s">
        <v>1128</v>
      </c>
      <c r="E2228" s="23" t="s">
        <v>385</v>
      </c>
      <c r="F2228" s="23" t="s">
        <v>436</v>
      </c>
    </row>
    <row r="2229" spans="1:10" ht="14.25" customHeight="1" x14ac:dyDescent="0.25">
      <c r="A2229" s="68" t="s">
        <v>965</v>
      </c>
      <c r="B2229" s="24" t="s">
        <v>543</v>
      </c>
      <c r="C2229" s="54">
        <v>46027</v>
      </c>
      <c r="D2229" s="68" t="s">
        <v>598</v>
      </c>
      <c r="E2229" s="56" t="s">
        <v>858</v>
      </c>
      <c r="F2229" s="57"/>
    </row>
    <row r="2230" spans="1:10" ht="14.25" customHeight="1" x14ac:dyDescent="0.25">
      <c r="A2230" s="69"/>
      <c r="B2230" s="24" t="s">
        <v>112</v>
      </c>
      <c r="C2230" s="55">
        <f>IF(C2229="","",IF(AND(MONTH(C2229)&gt;=1,MONTH(C2229)&lt;=3),1,IF(AND(MONTH(C2229)&gt;=4,MONTH(C2229)&lt;=6),2,IF(AND(MONTH(C2229)&gt;=7,MONTH(C2229)&lt;=9),3,4))))</f>
        <v>1</v>
      </c>
      <c r="D2230" s="69"/>
      <c r="E2230" s="56" t="s">
        <v>143</v>
      </c>
      <c r="F2230" s="57"/>
    </row>
    <row r="2231" spans="1:10" ht="14.25" customHeight="1" x14ac:dyDescent="0.25">
      <c r="A2231" s="69"/>
      <c r="B2231" s="24" t="s">
        <v>844</v>
      </c>
      <c r="C2231" s="54">
        <v>46058</v>
      </c>
      <c r="D2231" s="69"/>
      <c r="E2231" s="56" t="s">
        <v>183</v>
      </c>
      <c r="F2231" s="57"/>
    </row>
    <row r="2232" spans="1:10" ht="14.25" customHeight="1" x14ac:dyDescent="0.25">
      <c r="A2232" s="69"/>
      <c r="B2232" s="24" t="s">
        <v>112</v>
      </c>
      <c r="C2232" s="55">
        <f>IF(C2231="","",IF(AND(MONTH(C2231)&gt;=1,MONTH(C2231)&lt;=3),1,IF(AND(MONTH(C2231)&gt;=4,MONTH(C2231)&lt;=6),2,IF(AND(MONTH(C2231)&gt;=7,MONTH(C2231)&lt;=9),3,4))))</f>
        <v>1</v>
      </c>
      <c r="D2232" s="69"/>
      <c r="E2232" s="56" t="s">
        <v>865</v>
      </c>
      <c r="F2232" s="57"/>
    </row>
    <row r="2234" spans="1:10" ht="14.25" customHeight="1" x14ac:dyDescent="0.25">
      <c r="A2234" s="29" t="s">
        <v>1017</v>
      </c>
      <c r="B2234" s="29" t="s">
        <v>1042</v>
      </c>
      <c r="C2234" s="29" t="s">
        <v>1011</v>
      </c>
      <c r="D2234" s="29" t="s">
        <v>985</v>
      </c>
      <c r="E2234" s="29" t="s">
        <v>449</v>
      </c>
      <c r="F2234" s="29" t="s">
        <v>989</v>
      </c>
    </row>
    <row r="2235" spans="1:10" ht="14.25" customHeight="1" x14ac:dyDescent="0.25">
      <c r="A2235" s="25" t="s">
        <v>938</v>
      </c>
      <c r="B2235" s="26" t="str">
        <f ca="1">IFERROR(INDEX(UNSPSCDes,MATCH(INDIRECT(ADDRESS(ROW(),COLUMN()-1,4)),UNSPSCCode,0)),IF(INDIRECT(ADDRESS(ROW(),COLUMN()-1,4))="52151504","Tazas o vasos o tapas desechables para uso doméstico",""))</f>
        <v>Tazas o vasos o tapas desechables para uso doméstico</v>
      </c>
      <c r="C2235" s="58" t="str">
        <f>IFERROR(VLOOKUP("PAQ",'Informacion '!P:Q,2,FALSE),"")</f>
        <v>Paquete</v>
      </c>
      <c r="D2235" s="25">
        <v>2000</v>
      </c>
      <c r="E2235" s="28">
        <v>300</v>
      </c>
      <c r="F2235" s="27">
        <f ca="1">INDIRECT(ADDRESS(ROW(),COLUMN()-2,4))*INDIRECT(ADDRESS(ROW(),COLUMN()-1,4))</f>
        <v>600000</v>
      </c>
    </row>
    <row r="2236" spans="1:10" ht="14.25" customHeight="1" x14ac:dyDescent="0.25">
      <c r="A2236" s="25" t="s">
        <v>938</v>
      </c>
      <c r="B2236" s="26" t="str">
        <f ca="1">IFERROR(INDEX(UNSPSCDes,MATCH(INDIRECT(ADDRESS(ROW(),COLUMN()-1,4)),UNSPSCCode,0)),IF(INDIRECT(ADDRESS(ROW(),COLUMN()-1,4))="52151504","Tazas o vasos o tapas desechables para uso doméstico",""))</f>
        <v>Tazas o vasos o tapas desechables para uso doméstico</v>
      </c>
      <c r="C2236" s="58" t="str">
        <f>IFERROR(VLOOKUP("PAQ",'Informacion '!P:Q,2,FALSE),"")</f>
        <v>Paquete</v>
      </c>
      <c r="D2236" s="25">
        <v>2000</v>
      </c>
      <c r="E2236" s="28">
        <v>300</v>
      </c>
      <c r="F2236" s="27">
        <f ca="1">INDIRECT(ADDRESS(ROW(),COLUMN()-2,4))*INDIRECT(ADDRESS(ROW(),COLUMN()-1,4))</f>
        <v>600000</v>
      </c>
    </row>
    <row r="2237" spans="1:10" ht="14.25" customHeight="1" x14ac:dyDescent="0.25">
      <c r="E2237" s="30" t="s">
        <v>816</v>
      </c>
      <c r="F2237" s="31">
        <f ca="1">SUM(Table117[MONTO TOTAL ESTIMADO])</f>
        <v>1200000</v>
      </c>
      <c r="H2237" s="21" t="str">
        <f>C2228</f>
        <v>Bienes</v>
      </c>
      <c r="I2237" s="21" t="str">
        <f>E2228</f>
        <v>MIPYME Mujeres</v>
      </c>
      <c r="J2237" s="21" t="str">
        <f>D2228</f>
        <v>Compras Menores</v>
      </c>
    </row>
    <row r="2239" spans="1:10" ht="33.950000000000003" customHeight="1" x14ac:dyDescent="0.25">
      <c r="A2239" s="22" t="s">
        <v>1051</v>
      </c>
      <c r="B2239" s="22" t="s">
        <v>11</v>
      </c>
      <c r="C2239" s="22" t="s">
        <v>751</v>
      </c>
      <c r="D2239" s="22" t="s">
        <v>930</v>
      </c>
      <c r="E2239" s="22" t="s">
        <v>699</v>
      </c>
      <c r="F2239" s="22" t="s">
        <v>710</v>
      </c>
    </row>
    <row r="2240" spans="1:10" ht="14.25" customHeight="1" x14ac:dyDescent="0.25">
      <c r="A2240" s="23" t="s">
        <v>925</v>
      </c>
      <c r="B2240" s="23" t="s">
        <v>925</v>
      </c>
      <c r="C2240" s="23" t="s">
        <v>438</v>
      </c>
      <c r="D2240" s="23" t="s">
        <v>116</v>
      </c>
      <c r="E2240" s="23" t="s">
        <v>1156</v>
      </c>
      <c r="F2240" s="23" t="s">
        <v>436</v>
      </c>
    </row>
    <row r="2241" spans="1:10" ht="14.25" customHeight="1" x14ac:dyDescent="0.25">
      <c r="A2241" s="68" t="s">
        <v>965</v>
      </c>
      <c r="B2241" s="24" t="s">
        <v>543</v>
      </c>
      <c r="C2241" s="54">
        <v>46143</v>
      </c>
      <c r="D2241" s="68" t="s">
        <v>598</v>
      </c>
      <c r="E2241" s="56" t="s">
        <v>858</v>
      </c>
      <c r="F2241" s="57"/>
    </row>
    <row r="2242" spans="1:10" ht="14.25" customHeight="1" x14ac:dyDescent="0.25">
      <c r="A2242" s="69"/>
      <c r="B2242" s="24" t="s">
        <v>112</v>
      </c>
      <c r="C2242" s="55">
        <f>IF(C2241="","",IF(AND(MONTH(C2241)&gt;=1,MONTH(C2241)&lt;=3),1,IF(AND(MONTH(C2241)&gt;=4,MONTH(C2241)&lt;=6),2,IF(AND(MONTH(C2241)&gt;=7,MONTH(C2241)&lt;=9),3,4))))</f>
        <v>2</v>
      </c>
      <c r="D2242" s="69"/>
      <c r="E2242" s="56" t="s">
        <v>143</v>
      </c>
      <c r="F2242" s="57"/>
    </row>
    <row r="2243" spans="1:10" ht="14.25" customHeight="1" x14ac:dyDescent="0.25">
      <c r="A2243" s="69"/>
      <c r="B2243" s="24" t="s">
        <v>844</v>
      </c>
      <c r="C2243" s="54">
        <v>46204</v>
      </c>
      <c r="D2243" s="69"/>
      <c r="E2243" s="56" t="s">
        <v>183</v>
      </c>
      <c r="F2243" s="57"/>
    </row>
    <row r="2244" spans="1:10" ht="14.25" customHeight="1" x14ac:dyDescent="0.25">
      <c r="A2244" s="69"/>
      <c r="B2244" s="24" t="s">
        <v>112</v>
      </c>
      <c r="C2244" s="55">
        <f>IF(C2243="","",IF(AND(MONTH(C2243)&gt;=1,MONTH(C2243)&lt;=3),1,IF(AND(MONTH(C2243)&gt;=4,MONTH(C2243)&lt;=6),2,IF(AND(MONTH(C2243)&gt;=7,MONTH(C2243)&lt;=9),3,4))))</f>
        <v>3</v>
      </c>
      <c r="D2244" s="69"/>
      <c r="E2244" s="56" t="s">
        <v>865</v>
      </c>
      <c r="F2244" s="57"/>
    </row>
    <row r="2246" spans="1:10" ht="14.25" customHeight="1" x14ac:dyDescent="0.25">
      <c r="A2246" s="29" t="s">
        <v>1017</v>
      </c>
      <c r="B2246" s="29" t="s">
        <v>1042</v>
      </c>
      <c r="C2246" s="29" t="s">
        <v>1011</v>
      </c>
      <c r="D2246" s="29" t="s">
        <v>985</v>
      </c>
      <c r="E2246" s="29" t="s">
        <v>449</v>
      </c>
      <c r="F2246" s="29" t="s">
        <v>989</v>
      </c>
    </row>
    <row r="2247" spans="1:10" ht="14.25" customHeight="1" x14ac:dyDescent="0.25">
      <c r="A2247" s="25" t="s">
        <v>101</v>
      </c>
      <c r="B2247" s="26" t="str">
        <f ca="1">IFERROR(INDEX(UNSPSCDes,MATCH(INDIRECT(ADDRESS(ROW(),COLUMN()-1,4)),UNSPSCCode,0)),IF(INDIRECT(ADDRESS(ROW(),COLUMN()-1,4))="90101603","Servicios de cáterin",""))</f>
        <v>Servicios de cáterin</v>
      </c>
      <c r="C2247" s="58" t="str">
        <f>IFERROR(VLOOKUP("UD",'Informacion '!P:Q,2,FALSE),"")</f>
        <v>Unidad</v>
      </c>
      <c r="D2247" s="25">
        <v>5</v>
      </c>
      <c r="E2247" s="28">
        <v>800000</v>
      </c>
      <c r="F2247" s="27">
        <f ca="1">INDIRECT(ADDRESS(ROW(),COLUMN()-2,4))*INDIRECT(ADDRESS(ROW(),COLUMN()-1,4))</f>
        <v>4000000</v>
      </c>
    </row>
    <row r="2248" spans="1:10" ht="14.25" customHeight="1" x14ac:dyDescent="0.25">
      <c r="E2248" s="30" t="s">
        <v>816</v>
      </c>
      <c r="F2248" s="31">
        <f ca="1">SUM(Table118[MONTO TOTAL ESTIMADO])</f>
        <v>4000000</v>
      </c>
      <c r="H2248" s="21" t="str">
        <f>C2240</f>
        <v>Servicios</v>
      </c>
      <c r="I2248" s="21" t="str">
        <f>E2240</f>
        <v>No</v>
      </c>
      <c r="J2248" s="21" t="str">
        <f>D2240</f>
        <v>Comparacion de Precios</v>
      </c>
    </row>
    <row r="2250" spans="1:10" ht="33.950000000000003" customHeight="1" x14ac:dyDescent="0.25">
      <c r="A2250" s="22" t="s">
        <v>1051</v>
      </c>
      <c r="B2250" s="22" t="s">
        <v>11</v>
      </c>
      <c r="C2250" s="22" t="s">
        <v>751</v>
      </c>
      <c r="D2250" s="22" t="s">
        <v>930</v>
      </c>
      <c r="E2250" s="22" t="s">
        <v>699</v>
      </c>
      <c r="F2250" s="22" t="s">
        <v>710</v>
      </c>
    </row>
    <row r="2251" spans="1:10" ht="14.25" customHeight="1" x14ac:dyDescent="0.25">
      <c r="A2251" s="23" t="s">
        <v>925</v>
      </c>
      <c r="B2251" s="23" t="s">
        <v>925</v>
      </c>
      <c r="C2251" s="23" t="s">
        <v>438</v>
      </c>
      <c r="D2251" s="23" t="s">
        <v>116</v>
      </c>
      <c r="E2251" s="23" t="s">
        <v>1156</v>
      </c>
      <c r="F2251" s="23" t="s">
        <v>436</v>
      </c>
    </row>
    <row r="2252" spans="1:10" ht="14.25" customHeight="1" x14ac:dyDescent="0.25">
      <c r="A2252" s="68" t="s">
        <v>965</v>
      </c>
      <c r="B2252" s="24" t="s">
        <v>543</v>
      </c>
      <c r="C2252" s="54">
        <v>46027</v>
      </c>
      <c r="D2252" s="68" t="s">
        <v>598</v>
      </c>
      <c r="E2252" s="56" t="s">
        <v>858</v>
      </c>
      <c r="F2252" s="57"/>
    </row>
    <row r="2253" spans="1:10" ht="14.25" customHeight="1" x14ac:dyDescent="0.25">
      <c r="A2253" s="69"/>
      <c r="B2253" s="24" t="s">
        <v>112</v>
      </c>
      <c r="C2253" s="55">
        <f>IF(C2252="","",IF(AND(MONTH(C2252)&gt;=1,MONTH(C2252)&lt;=3),1,IF(AND(MONTH(C2252)&gt;=4,MONTH(C2252)&lt;=6),2,IF(AND(MONTH(C2252)&gt;=7,MONTH(C2252)&lt;=9),3,4))))</f>
        <v>1</v>
      </c>
      <c r="D2253" s="69"/>
      <c r="E2253" s="56" t="s">
        <v>143</v>
      </c>
      <c r="F2253" s="57"/>
    </row>
    <row r="2254" spans="1:10" ht="14.25" customHeight="1" x14ac:dyDescent="0.25">
      <c r="A2254" s="69"/>
      <c r="B2254" s="24" t="s">
        <v>844</v>
      </c>
      <c r="C2254" s="54">
        <v>46086</v>
      </c>
      <c r="D2254" s="69"/>
      <c r="E2254" s="56" t="s">
        <v>183</v>
      </c>
      <c r="F2254" s="57"/>
    </row>
    <row r="2255" spans="1:10" ht="14.25" customHeight="1" x14ac:dyDescent="0.25">
      <c r="A2255" s="69"/>
      <c r="B2255" s="24" t="s">
        <v>112</v>
      </c>
      <c r="C2255" s="55">
        <f>IF(C2254="","",IF(AND(MONTH(C2254)&gt;=1,MONTH(C2254)&lt;=3),1,IF(AND(MONTH(C2254)&gt;=4,MONTH(C2254)&lt;=6),2,IF(AND(MONTH(C2254)&gt;=7,MONTH(C2254)&lt;=9),3,4))))</f>
        <v>1</v>
      </c>
      <c r="D2255" s="69"/>
      <c r="E2255" s="56" t="s">
        <v>865</v>
      </c>
      <c r="F2255" s="57"/>
    </row>
    <row r="2257" spans="1:10" ht="14.25" customHeight="1" x14ac:dyDescent="0.25">
      <c r="A2257" s="29" t="s">
        <v>1017</v>
      </c>
      <c r="B2257" s="29" t="s">
        <v>1042</v>
      </c>
      <c r="C2257" s="29" t="s">
        <v>1011</v>
      </c>
      <c r="D2257" s="29" t="s">
        <v>985</v>
      </c>
      <c r="E2257" s="29" t="s">
        <v>449</v>
      </c>
      <c r="F2257" s="29" t="s">
        <v>989</v>
      </c>
    </row>
    <row r="2258" spans="1:10" ht="14.25" customHeight="1" x14ac:dyDescent="0.25">
      <c r="A2258" s="25" t="s">
        <v>101</v>
      </c>
      <c r="B2258" s="26" t="str">
        <f ca="1">IFERROR(INDEX(UNSPSCDes,MATCH(INDIRECT(ADDRESS(ROW(),COLUMN()-1,4)),UNSPSCCode,0)),IF(INDIRECT(ADDRESS(ROW(),COLUMN()-1,4))="90101603","Servicios de cáterin",""))</f>
        <v>Servicios de cáterin</v>
      </c>
      <c r="C2258" s="58" t="str">
        <f>IFERROR(VLOOKUP("UD",'Informacion '!P:Q,2,FALSE),"")</f>
        <v>Unidad</v>
      </c>
      <c r="D2258" s="25">
        <v>5</v>
      </c>
      <c r="E2258" s="28">
        <v>800000</v>
      </c>
      <c r="F2258" s="27">
        <f ca="1">INDIRECT(ADDRESS(ROW(),COLUMN()-2,4))*INDIRECT(ADDRESS(ROW(),COLUMN()-1,4))</f>
        <v>4000000</v>
      </c>
    </row>
    <row r="2259" spans="1:10" ht="14.25" customHeight="1" x14ac:dyDescent="0.25">
      <c r="E2259" s="30" t="s">
        <v>816</v>
      </c>
      <c r="F2259" s="31">
        <f ca="1">SUM(Table119[MONTO TOTAL ESTIMADO])</f>
        <v>4000000</v>
      </c>
      <c r="H2259" s="21" t="str">
        <f>C2251</f>
        <v>Servicios</v>
      </c>
      <c r="I2259" s="21" t="str">
        <f>E2251</f>
        <v>No</v>
      </c>
      <c r="J2259" s="21" t="str">
        <f>D2251</f>
        <v>Comparacion de Precios</v>
      </c>
    </row>
    <row r="2261" spans="1:10" ht="33.950000000000003" customHeight="1" x14ac:dyDescent="0.25">
      <c r="A2261" s="22" t="s">
        <v>1051</v>
      </c>
      <c r="B2261" s="22" t="s">
        <v>11</v>
      </c>
      <c r="C2261" s="22" t="s">
        <v>751</v>
      </c>
      <c r="D2261" s="22" t="s">
        <v>930</v>
      </c>
      <c r="E2261" s="22" t="s">
        <v>699</v>
      </c>
      <c r="F2261" s="22" t="s">
        <v>710</v>
      </c>
    </row>
    <row r="2262" spans="1:10" ht="14.25" customHeight="1" x14ac:dyDescent="0.25">
      <c r="A2262" s="23" t="s">
        <v>528</v>
      </c>
      <c r="B2262" s="23" t="s">
        <v>528</v>
      </c>
      <c r="C2262" s="23" t="s">
        <v>438</v>
      </c>
      <c r="D2262" s="23" t="s">
        <v>146</v>
      </c>
      <c r="E2262" s="23" t="s">
        <v>1156</v>
      </c>
      <c r="F2262" s="23" t="s">
        <v>436</v>
      </c>
    </row>
    <row r="2263" spans="1:10" ht="14.25" customHeight="1" x14ac:dyDescent="0.25">
      <c r="A2263" s="68" t="s">
        <v>965</v>
      </c>
      <c r="B2263" s="24" t="s">
        <v>543</v>
      </c>
      <c r="C2263" s="54">
        <v>46204</v>
      </c>
      <c r="D2263" s="68" t="s">
        <v>598</v>
      </c>
      <c r="E2263" s="56" t="s">
        <v>858</v>
      </c>
      <c r="F2263" s="57"/>
    </row>
    <row r="2264" spans="1:10" ht="14.25" customHeight="1" x14ac:dyDescent="0.25">
      <c r="A2264" s="69"/>
      <c r="B2264" s="24" t="s">
        <v>112</v>
      </c>
      <c r="C2264" s="55">
        <f>IF(C2263="","",IF(AND(MONTH(C2263)&gt;=1,MONTH(C2263)&lt;=3),1,IF(AND(MONTH(C2263)&gt;=4,MONTH(C2263)&lt;=6),2,IF(AND(MONTH(C2263)&gt;=7,MONTH(C2263)&lt;=9),3,4))))</f>
        <v>3</v>
      </c>
      <c r="D2264" s="69"/>
      <c r="E2264" s="56" t="s">
        <v>143</v>
      </c>
      <c r="F2264" s="57"/>
    </row>
    <row r="2265" spans="1:10" ht="14.25" customHeight="1" x14ac:dyDescent="0.25">
      <c r="A2265" s="69"/>
      <c r="B2265" s="24" t="s">
        <v>844</v>
      </c>
      <c r="C2265" s="54">
        <v>46266</v>
      </c>
      <c r="D2265" s="69"/>
      <c r="E2265" s="56" t="s">
        <v>183</v>
      </c>
      <c r="F2265" s="57"/>
    </row>
    <row r="2266" spans="1:10" ht="14.25" customHeight="1" x14ac:dyDescent="0.25">
      <c r="A2266" s="69"/>
      <c r="B2266" s="24" t="s">
        <v>112</v>
      </c>
      <c r="C2266" s="55">
        <f>IF(C2265="","",IF(AND(MONTH(C2265)&gt;=1,MONTH(C2265)&lt;=3),1,IF(AND(MONTH(C2265)&gt;=4,MONTH(C2265)&lt;=6),2,IF(AND(MONTH(C2265)&gt;=7,MONTH(C2265)&lt;=9),3,4))))</f>
        <v>3</v>
      </c>
      <c r="D2266" s="69"/>
      <c r="E2266" s="56" t="s">
        <v>865</v>
      </c>
      <c r="F2266" s="57"/>
    </row>
    <row r="2268" spans="1:10" ht="14.25" customHeight="1" x14ac:dyDescent="0.25">
      <c r="A2268" s="29" t="s">
        <v>1017</v>
      </c>
      <c r="B2268" s="29" t="s">
        <v>1042</v>
      </c>
      <c r="C2268" s="29" t="s">
        <v>1011</v>
      </c>
      <c r="D2268" s="29" t="s">
        <v>985</v>
      </c>
      <c r="E2268" s="29" t="s">
        <v>449</v>
      </c>
      <c r="F2268" s="29" t="s">
        <v>989</v>
      </c>
    </row>
    <row r="2269" spans="1:10" ht="14.25" customHeight="1" x14ac:dyDescent="0.25">
      <c r="A2269" s="25" t="s">
        <v>630</v>
      </c>
      <c r="B2269" s="26" t="str">
        <f ca="1">IFERROR(INDEX(UNSPSCDes,MATCH(INDIRECT(ADDRESS(ROW(),COLUMN()-1,4)),UNSPSCCode,0)),IF(INDIRECT(ADDRESS(ROW(),COLUMN()-1,4))="80141902","Reuniones y eventos",""))</f>
        <v>Reuniones y eventos</v>
      </c>
      <c r="C2269" s="58" t="str">
        <f>IFERROR(VLOOKUP("UD",'Informacion '!P:Q,2,FALSE),"")</f>
        <v>Unidad</v>
      </c>
      <c r="D2269" s="25">
        <v>5</v>
      </c>
      <c r="E2269" s="28">
        <v>2500000</v>
      </c>
      <c r="F2269" s="27">
        <f ca="1">INDIRECT(ADDRESS(ROW(),COLUMN()-2,4))*INDIRECT(ADDRESS(ROW(),COLUMN()-1,4))</f>
        <v>12500000</v>
      </c>
    </row>
    <row r="2270" spans="1:10" ht="14.25" customHeight="1" x14ac:dyDescent="0.25">
      <c r="E2270" s="30" t="s">
        <v>816</v>
      </c>
      <c r="F2270" s="31">
        <f ca="1">SUM(Table120[MONTO TOTAL ESTIMADO])</f>
        <v>12500000</v>
      </c>
      <c r="H2270" s="21" t="str">
        <f>C2262</f>
        <v>Servicios</v>
      </c>
      <c r="I2270" s="21" t="str">
        <f>E2262</f>
        <v>No</v>
      </c>
      <c r="J2270" s="21" t="str">
        <f>D2262</f>
        <v>Licitacion Publica</v>
      </c>
    </row>
    <row r="2272" spans="1:10" ht="33.950000000000003" customHeight="1" x14ac:dyDescent="0.25">
      <c r="A2272" s="22" t="s">
        <v>1051</v>
      </c>
      <c r="B2272" s="22" t="s">
        <v>11</v>
      </c>
      <c r="C2272" s="22" t="s">
        <v>751</v>
      </c>
      <c r="D2272" s="22" t="s">
        <v>930</v>
      </c>
      <c r="E2272" s="22" t="s">
        <v>699</v>
      </c>
      <c r="F2272" s="22" t="s">
        <v>710</v>
      </c>
    </row>
    <row r="2273" spans="1:6" ht="14.25" customHeight="1" x14ac:dyDescent="0.25">
      <c r="A2273" s="23" t="s">
        <v>432</v>
      </c>
      <c r="B2273" s="23" t="s">
        <v>432</v>
      </c>
      <c r="C2273" s="23" t="s">
        <v>1155</v>
      </c>
      <c r="D2273" s="23" t="s">
        <v>1128</v>
      </c>
      <c r="E2273" s="23" t="s">
        <v>1156</v>
      </c>
      <c r="F2273" s="23" t="s">
        <v>436</v>
      </c>
    </row>
    <row r="2274" spans="1:6" ht="14.25" customHeight="1" x14ac:dyDescent="0.25">
      <c r="A2274" s="68" t="s">
        <v>965</v>
      </c>
      <c r="B2274" s="24" t="s">
        <v>543</v>
      </c>
      <c r="C2274" s="54">
        <v>46042</v>
      </c>
      <c r="D2274" s="68" t="s">
        <v>598</v>
      </c>
      <c r="E2274" s="56" t="s">
        <v>858</v>
      </c>
      <c r="F2274" s="57" t="s">
        <v>184</v>
      </c>
    </row>
    <row r="2275" spans="1:6" ht="14.25" customHeight="1" x14ac:dyDescent="0.25">
      <c r="A2275" s="69"/>
      <c r="B2275" s="24" t="s">
        <v>112</v>
      </c>
      <c r="C2275" s="55">
        <f>IF(C2274="","",IF(AND(MONTH(C2274)&gt;=1,MONTH(C2274)&lt;=3),1,IF(AND(MONTH(C2274)&gt;=4,MONTH(C2274)&lt;=6),2,IF(AND(MONTH(C2274)&gt;=7,MONTH(C2274)&lt;=9),3,4))))</f>
        <v>1</v>
      </c>
      <c r="D2275" s="69"/>
      <c r="E2275" s="56" t="s">
        <v>143</v>
      </c>
      <c r="F2275" s="57"/>
    </row>
    <row r="2276" spans="1:6" ht="14.25" customHeight="1" x14ac:dyDescent="0.25">
      <c r="A2276" s="69"/>
      <c r="B2276" s="24" t="s">
        <v>844</v>
      </c>
      <c r="C2276" s="54">
        <v>46105</v>
      </c>
      <c r="D2276" s="69"/>
      <c r="E2276" s="56" t="s">
        <v>183</v>
      </c>
      <c r="F2276" s="57"/>
    </row>
    <row r="2277" spans="1:6" ht="14.25" customHeight="1" x14ac:dyDescent="0.25">
      <c r="A2277" s="69"/>
      <c r="B2277" s="24" t="s">
        <v>112</v>
      </c>
      <c r="C2277" s="55">
        <f>IF(C2276="","",IF(AND(MONTH(C2276)&gt;=1,MONTH(C2276)&lt;=3),1,IF(AND(MONTH(C2276)&gt;=4,MONTH(C2276)&lt;=6),2,IF(AND(MONTH(C2276)&gt;=7,MONTH(C2276)&lt;=9),3,4))))</f>
        <v>1</v>
      </c>
      <c r="D2277" s="69"/>
      <c r="E2277" s="56" t="s">
        <v>865</v>
      </c>
      <c r="F2277" s="57"/>
    </row>
    <row r="2279" spans="1:6" ht="14.25" customHeight="1" x14ac:dyDescent="0.25">
      <c r="A2279" s="29" t="s">
        <v>1017</v>
      </c>
      <c r="B2279" s="29" t="s">
        <v>1042</v>
      </c>
      <c r="C2279" s="29" t="s">
        <v>1011</v>
      </c>
      <c r="D2279" s="29" t="s">
        <v>985</v>
      </c>
      <c r="E2279" s="29" t="s">
        <v>449</v>
      </c>
      <c r="F2279" s="29" t="s">
        <v>989</v>
      </c>
    </row>
    <row r="2280" spans="1:6" ht="14.25" customHeight="1" x14ac:dyDescent="0.25">
      <c r="A2280" s="25" t="s">
        <v>168</v>
      </c>
      <c r="B2280" s="26" t="str">
        <f t="shared" ref="B2280:B2290" ca="1" si="73">IFERROR(INDEX(UNSPSCDes,MATCH(INDIRECT(ADDRESS(ROW(),COLUMN()-1,4)),UNSPSCCode,0)),IF(INDIRECT(ADDRESS(ROW(),COLUMN()-1,4))="14111806","Formularios o cuestionarios de negocios",""))</f>
        <v>Formularios o cuestionarios de negocios</v>
      </c>
      <c r="C2280" s="58" t="str">
        <f>IFERROR(VLOOKUP("UD",'Informacion '!P:Q,2,FALSE),"")</f>
        <v>Unidad</v>
      </c>
      <c r="D2280" s="25">
        <v>100</v>
      </c>
      <c r="E2280" s="28">
        <v>635</v>
      </c>
      <c r="F2280" s="27">
        <f t="shared" ref="F2280:F2294" ca="1" si="74">INDIRECT(ADDRESS(ROW(),COLUMN()-2,4))*INDIRECT(ADDRESS(ROW(),COLUMN()-1,4))</f>
        <v>63500</v>
      </c>
    </row>
    <row r="2281" spans="1:6" ht="14.25" customHeight="1" x14ac:dyDescent="0.25">
      <c r="A2281" s="25" t="s">
        <v>168</v>
      </c>
      <c r="B2281" s="26" t="str">
        <f t="shared" ca="1" si="73"/>
        <v>Formularios o cuestionarios de negocios</v>
      </c>
      <c r="C2281" s="58" t="str">
        <f>IFERROR(VLOOKUP("UD",'Informacion '!P:Q,2,FALSE),"")</f>
        <v>Unidad</v>
      </c>
      <c r="D2281" s="25">
        <v>50</v>
      </c>
      <c r="E2281" s="28">
        <v>635</v>
      </c>
      <c r="F2281" s="27">
        <f t="shared" ca="1" si="74"/>
        <v>31750</v>
      </c>
    </row>
    <row r="2282" spans="1:6" ht="14.25" customHeight="1" x14ac:dyDescent="0.25">
      <c r="A2282" s="25" t="s">
        <v>168</v>
      </c>
      <c r="B2282" s="26" t="str">
        <f t="shared" ca="1" si="73"/>
        <v>Formularios o cuestionarios de negocios</v>
      </c>
      <c r="C2282" s="58" t="str">
        <f>IFERROR(VLOOKUP("UD",'Informacion '!P:Q,2,FALSE),"")</f>
        <v>Unidad</v>
      </c>
      <c r="D2282" s="25">
        <v>50</v>
      </c>
      <c r="E2282" s="28">
        <v>635</v>
      </c>
      <c r="F2282" s="27">
        <f t="shared" ca="1" si="74"/>
        <v>31750</v>
      </c>
    </row>
    <row r="2283" spans="1:6" ht="14.25" customHeight="1" x14ac:dyDescent="0.25">
      <c r="A2283" s="25" t="s">
        <v>168</v>
      </c>
      <c r="B2283" s="26" t="str">
        <f t="shared" ca="1" si="73"/>
        <v>Formularios o cuestionarios de negocios</v>
      </c>
      <c r="C2283" s="58" t="str">
        <f>IFERROR(VLOOKUP("UD",'Informacion '!P:Q,2,FALSE),"")</f>
        <v>Unidad</v>
      </c>
      <c r="D2283" s="25">
        <v>50</v>
      </c>
      <c r="E2283" s="28">
        <v>635</v>
      </c>
      <c r="F2283" s="27">
        <f t="shared" ca="1" si="74"/>
        <v>31750</v>
      </c>
    </row>
    <row r="2284" spans="1:6" ht="14.25" customHeight="1" x14ac:dyDescent="0.25">
      <c r="A2284" s="25" t="s">
        <v>168</v>
      </c>
      <c r="B2284" s="26" t="str">
        <f t="shared" ca="1" si="73"/>
        <v>Formularios o cuestionarios de negocios</v>
      </c>
      <c r="C2284" s="58" t="str">
        <f>IFERROR(VLOOKUP("RESMA",'Informacion '!P:Q,2,FALSE),"")</f>
        <v>Resma</v>
      </c>
      <c r="D2284" s="25">
        <v>200</v>
      </c>
      <c r="E2284" s="28">
        <v>525</v>
      </c>
      <c r="F2284" s="27">
        <f t="shared" ca="1" si="74"/>
        <v>105000</v>
      </c>
    </row>
    <row r="2285" spans="1:6" ht="14.25" customHeight="1" x14ac:dyDescent="0.25">
      <c r="A2285" s="25" t="s">
        <v>168</v>
      </c>
      <c r="B2285" s="26" t="str">
        <f t="shared" ca="1" si="73"/>
        <v>Formularios o cuestionarios de negocios</v>
      </c>
      <c r="C2285" s="58" t="str">
        <f>IFERROR(VLOOKUP("RESMA",'Informacion '!P:Q,2,FALSE),"")</f>
        <v>Resma</v>
      </c>
      <c r="D2285" s="25">
        <v>150</v>
      </c>
      <c r="E2285" s="28">
        <v>615</v>
      </c>
      <c r="F2285" s="27">
        <f t="shared" ca="1" si="74"/>
        <v>92250</v>
      </c>
    </row>
    <row r="2286" spans="1:6" ht="14.25" customHeight="1" x14ac:dyDescent="0.25">
      <c r="A2286" s="25" t="s">
        <v>168</v>
      </c>
      <c r="B2286" s="26" t="str">
        <f t="shared" ca="1" si="73"/>
        <v>Formularios o cuestionarios de negocios</v>
      </c>
      <c r="C2286" s="58" t="str">
        <f>IFERROR(VLOOKUP("CAJ",'Informacion '!P:Q,2,FALSE),"")</f>
        <v>Caja</v>
      </c>
      <c r="D2286" s="25">
        <v>2</v>
      </c>
      <c r="E2286" s="28">
        <v>1350</v>
      </c>
      <c r="F2286" s="27">
        <f t="shared" ca="1" si="74"/>
        <v>2700</v>
      </c>
    </row>
    <row r="2287" spans="1:6" ht="14.25" customHeight="1" x14ac:dyDescent="0.25">
      <c r="A2287" s="25" t="s">
        <v>168</v>
      </c>
      <c r="B2287" s="26" t="str">
        <f t="shared" ca="1" si="73"/>
        <v>Formularios o cuestionarios de negocios</v>
      </c>
      <c r="C2287" s="58" t="str">
        <f>IFERROR(VLOOKUP("CAJ",'Informacion '!P:Q,2,FALSE),"")</f>
        <v>Caja</v>
      </c>
      <c r="D2287" s="25">
        <v>2</v>
      </c>
      <c r="E2287" s="28">
        <v>1850</v>
      </c>
      <c r="F2287" s="27">
        <f t="shared" ca="1" si="74"/>
        <v>3700</v>
      </c>
    </row>
    <row r="2288" spans="1:6" ht="14.25" customHeight="1" x14ac:dyDescent="0.25">
      <c r="A2288" s="25" t="s">
        <v>168</v>
      </c>
      <c r="B2288" s="26" t="str">
        <f t="shared" ca="1" si="73"/>
        <v>Formularios o cuestionarios de negocios</v>
      </c>
      <c r="C2288" s="58" t="str">
        <f>IFERROR(VLOOKUP("CAJ",'Informacion '!P:Q,2,FALSE),"")</f>
        <v>Caja</v>
      </c>
      <c r="D2288" s="25">
        <v>2</v>
      </c>
      <c r="E2288" s="28">
        <v>2100</v>
      </c>
      <c r="F2288" s="27">
        <f t="shared" ca="1" si="74"/>
        <v>4200</v>
      </c>
    </row>
    <row r="2289" spans="1:10" ht="14.25" customHeight="1" x14ac:dyDescent="0.25">
      <c r="A2289" s="25" t="s">
        <v>168</v>
      </c>
      <c r="B2289" s="26" t="str">
        <f t="shared" ca="1" si="73"/>
        <v>Formularios o cuestionarios de negocios</v>
      </c>
      <c r="C2289" s="58" t="str">
        <f>IFERROR(VLOOKUP("UD",'Informacion '!P:Q,2,FALSE),"")</f>
        <v>Unidad</v>
      </c>
      <c r="D2289" s="25">
        <v>3000</v>
      </c>
      <c r="E2289" s="28">
        <v>77.75</v>
      </c>
      <c r="F2289" s="27">
        <f t="shared" ca="1" si="74"/>
        <v>233250</v>
      </c>
    </row>
    <row r="2290" spans="1:10" ht="14.25" customHeight="1" x14ac:dyDescent="0.25">
      <c r="A2290" s="25" t="s">
        <v>168</v>
      </c>
      <c r="B2290" s="26" t="str">
        <f t="shared" ca="1" si="73"/>
        <v>Formularios o cuestionarios de negocios</v>
      </c>
      <c r="C2290" s="58" t="str">
        <f>IFERROR(VLOOKUP("UD",'Informacion '!P:Q,2,FALSE),"")</f>
        <v>Unidad</v>
      </c>
      <c r="D2290" s="25">
        <v>400</v>
      </c>
      <c r="E2290" s="28">
        <v>545</v>
      </c>
      <c r="F2290" s="27">
        <f t="shared" ca="1" si="74"/>
        <v>218000</v>
      </c>
    </row>
    <row r="2291" spans="1:10" ht="14.25" customHeight="1" x14ac:dyDescent="0.25">
      <c r="A2291" s="25" t="s">
        <v>845</v>
      </c>
      <c r="B2291" s="26" t="str">
        <f ca="1">IFERROR(INDEX(UNSPSCDes,MATCH(INDIRECT(ADDRESS(ROW(),COLUMN()-1,4)),UNSPSCCode,0)),IF(INDIRECT(ADDRESS(ROW(),COLUMN()-1,4))="14111805","Cheques o chequeras",""))</f>
        <v>Cheques o chequeras</v>
      </c>
      <c r="C2291" s="58" t="str">
        <f>IFERROR(VLOOKUP("UD",'Informacion '!P:Q,2,FALSE),"")</f>
        <v>Unidad</v>
      </c>
      <c r="D2291" s="25">
        <v>100</v>
      </c>
      <c r="E2291" s="28">
        <v>545</v>
      </c>
      <c r="F2291" s="27">
        <f t="shared" ca="1" si="74"/>
        <v>54500</v>
      </c>
    </row>
    <row r="2292" spans="1:10" ht="14.25" customHeight="1" x14ac:dyDescent="0.25">
      <c r="A2292" s="25" t="s">
        <v>845</v>
      </c>
      <c r="B2292" s="26" t="str">
        <f ca="1">IFERROR(INDEX(UNSPSCDes,MATCH(INDIRECT(ADDRESS(ROW(),COLUMN()-1,4)),UNSPSCCode,0)),IF(INDIRECT(ADDRESS(ROW(),COLUMN()-1,4))="14111805","Cheques o chequeras",""))</f>
        <v>Cheques o chequeras</v>
      </c>
      <c r="C2292" s="58" t="str">
        <f>IFERROR(VLOOKUP("UD",'Informacion '!P:Q,2,FALSE),"")</f>
        <v>Unidad</v>
      </c>
      <c r="D2292" s="25">
        <v>100</v>
      </c>
      <c r="E2292" s="28">
        <v>275</v>
      </c>
      <c r="F2292" s="27">
        <f t="shared" ca="1" si="74"/>
        <v>27500</v>
      </c>
    </row>
    <row r="2293" spans="1:10" ht="14.25" customHeight="1" x14ac:dyDescent="0.25">
      <c r="A2293" s="25" t="s">
        <v>168</v>
      </c>
      <c r="B2293" s="26" t="str">
        <f ca="1">IFERROR(INDEX(UNSPSCDes,MATCH(INDIRECT(ADDRESS(ROW(),COLUMN()-1,4)),UNSPSCCode,0)),IF(INDIRECT(ADDRESS(ROW(),COLUMN()-1,4))="14111806","Formularios o cuestionarios de negocios",""))</f>
        <v>Formularios o cuestionarios de negocios</v>
      </c>
      <c r="C2293" s="58" t="str">
        <f>IFERROR(VLOOKUP("UD",'Informacion '!P:Q,2,FALSE),"")</f>
        <v>Unidad</v>
      </c>
      <c r="D2293" s="25">
        <v>1000</v>
      </c>
      <c r="E2293" s="28">
        <v>50</v>
      </c>
      <c r="F2293" s="27">
        <f t="shared" ca="1" si="74"/>
        <v>50000</v>
      </c>
    </row>
    <row r="2294" spans="1:10" ht="14.25" customHeight="1" x14ac:dyDescent="0.25">
      <c r="A2294" s="25" t="s">
        <v>168</v>
      </c>
      <c r="B2294" s="26" t="str">
        <f ca="1">IFERROR(INDEX(UNSPSCDes,MATCH(INDIRECT(ADDRESS(ROW(),COLUMN()-1,4)),UNSPSCCode,0)),IF(INDIRECT(ADDRESS(ROW(),COLUMN()-1,4))="14111806","Formularios o cuestionarios de negocios",""))</f>
        <v>Formularios o cuestionarios de negocios</v>
      </c>
      <c r="C2294" s="58" t="str">
        <f>IFERROR(VLOOKUP("UD",'Informacion '!P:Q,2,FALSE),"")</f>
        <v>Unidad</v>
      </c>
      <c r="D2294" s="25">
        <v>4000</v>
      </c>
      <c r="E2294" s="28">
        <v>30</v>
      </c>
      <c r="F2294" s="27">
        <f t="shared" ca="1" si="74"/>
        <v>120000</v>
      </c>
    </row>
    <row r="2295" spans="1:10" ht="14.25" customHeight="1" x14ac:dyDescent="0.25">
      <c r="E2295" s="30" t="s">
        <v>816</v>
      </c>
      <c r="F2295" s="31">
        <f ca="1">SUM(Table121[MONTO TOTAL ESTIMADO])</f>
        <v>1069850</v>
      </c>
      <c r="H2295" s="21" t="str">
        <f>C2273</f>
        <v>Bienes</v>
      </c>
      <c r="I2295" s="21" t="str">
        <f>E2273</f>
        <v>No</v>
      </c>
      <c r="J2295" s="21" t="str">
        <f>D2273</f>
        <v>Compras Menores</v>
      </c>
    </row>
    <row r="2297" spans="1:10" ht="33.950000000000003" customHeight="1" x14ac:dyDescent="0.25">
      <c r="A2297" s="22" t="s">
        <v>1051</v>
      </c>
      <c r="B2297" s="22" t="s">
        <v>11</v>
      </c>
      <c r="C2297" s="22" t="s">
        <v>751</v>
      </c>
      <c r="D2297" s="22" t="s">
        <v>930</v>
      </c>
      <c r="E2297" s="22" t="s">
        <v>699</v>
      </c>
      <c r="F2297" s="22" t="s">
        <v>710</v>
      </c>
    </row>
    <row r="2298" spans="1:10" ht="14.25" customHeight="1" x14ac:dyDescent="0.25">
      <c r="A2298" s="23" t="s">
        <v>326</v>
      </c>
      <c r="B2298" s="23" t="s">
        <v>326</v>
      </c>
      <c r="C2298" s="23" t="s">
        <v>1155</v>
      </c>
      <c r="D2298" s="23" t="s">
        <v>1128</v>
      </c>
      <c r="E2298" s="23" t="s">
        <v>1156</v>
      </c>
      <c r="F2298" s="23" t="s">
        <v>436</v>
      </c>
    </row>
    <row r="2299" spans="1:10" ht="14.25" customHeight="1" x14ac:dyDescent="0.25">
      <c r="A2299" s="68" t="s">
        <v>965</v>
      </c>
      <c r="B2299" s="24" t="s">
        <v>543</v>
      </c>
      <c r="C2299" s="54">
        <v>46169</v>
      </c>
      <c r="D2299" s="68" t="s">
        <v>598</v>
      </c>
      <c r="E2299" s="56" t="s">
        <v>858</v>
      </c>
      <c r="F2299" s="57" t="s">
        <v>184</v>
      </c>
    </row>
    <row r="2300" spans="1:10" ht="14.25" customHeight="1" x14ac:dyDescent="0.25">
      <c r="A2300" s="69"/>
      <c r="B2300" s="24" t="s">
        <v>112</v>
      </c>
      <c r="C2300" s="55">
        <f>IF(C2299="","",IF(AND(MONTH(C2299)&gt;=1,MONTH(C2299)&lt;=3),1,IF(AND(MONTH(C2299)&gt;=4,MONTH(C2299)&lt;=6),2,IF(AND(MONTH(C2299)&gt;=7,MONTH(C2299)&lt;=9),3,4))))</f>
        <v>2</v>
      </c>
      <c r="D2300" s="69"/>
      <c r="E2300" s="56" t="s">
        <v>143</v>
      </c>
      <c r="F2300" s="57"/>
    </row>
    <row r="2301" spans="1:10" ht="14.25" customHeight="1" x14ac:dyDescent="0.25">
      <c r="A2301" s="69"/>
      <c r="B2301" s="24" t="s">
        <v>844</v>
      </c>
      <c r="C2301" s="54">
        <v>46197</v>
      </c>
      <c r="D2301" s="69"/>
      <c r="E2301" s="56" t="s">
        <v>183</v>
      </c>
      <c r="F2301" s="57"/>
    </row>
    <row r="2302" spans="1:10" ht="14.25" customHeight="1" x14ac:dyDescent="0.25">
      <c r="A2302" s="69"/>
      <c r="B2302" s="24" t="s">
        <v>112</v>
      </c>
      <c r="C2302" s="55">
        <f>IF(C2301="","",IF(AND(MONTH(C2301)&gt;=1,MONTH(C2301)&lt;=3),1,IF(AND(MONTH(C2301)&gt;=4,MONTH(C2301)&lt;=6),2,IF(AND(MONTH(C2301)&gt;=7,MONTH(C2301)&lt;=9),3,4))))</f>
        <v>2</v>
      </c>
      <c r="D2302" s="69"/>
      <c r="E2302" s="56" t="s">
        <v>865</v>
      </c>
      <c r="F2302" s="57"/>
    </row>
    <row r="2304" spans="1:10" ht="14.25" customHeight="1" x14ac:dyDescent="0.25">
      <c r="A2304" s="29" t="s">
        <v>1017</v>
      </c>
      <c r="B2304" s="29" t="s">
        <v>1042</v>
      </c>
      <c r="C2304" s="29" t="s">
        <v>1011</v>
      </c>
      <c r="D2304" s="29" t="s">
        <v>985</v>
      </c>
      <c r="E2304" s="29" t="s">
        <v>449</v>
      </c>
      <c r="F2304" s="29" t="s">
        <v>989</v>
      </c>
    </row>
    <row r="2305" spans="1:10" ht="14.25" customHeight="1" x14ac:dyDescent="0.25">
      <c r="A2305" s="25" t="s">
        <v>536</v>
      </c>
      <c r="B2305" s="26" t="str">
        <f ca="1">IFERROR(INDEX(UNSPSCDes,MATCH(INDIRECT(ADDRESS(ROW(),COLUMN()-1,4)),UNSPSCCode,0)),IF(INDIRECT(ADDRESS(ROW(),COLUMN()-1,4))="53101602","Camisas para hombre",""))</f>
        <v>Camisas para hombre</v>
      </c>
      <c r="C2305" s="58" t="str">
        <f>IFERROR(VLOOKUP("UD",'Informacion '!P:Q,2,FALSE),"")</f>
        <v>Unidad</v>
      </c>
      <c r="D2305" s="25">
        <v>80</v>
      </c>
      <c r="E2305" s="28">
        <v>1239</v>
      </c>
      <c r="F2305" s="27">
        <f t="shared" ref="F2305:F2315" ca="1" si="75">INDIRECT(ADDRESS(ROW(),COLUMN()-2,4))*INDIRECT(ADDRESS(ROW(),COLUMN()-1,4))</f>
        <v>99120</v>
      </c>
    </row>
    <row r="2306" spans="1:10" ht="14.25" customHeight="1" x14ac:dyDescent="0.25">
      <c r="A2306" s="25" t="s">
        <v>536</v>
      </c>
      <c r="B2306" s="26" t="str">
        <f ca="1">IFERROR(INDEX(UNSPSCDes,MATCH(INDIRECT(ADDRESS(ROW(),COLUMN()-1,4)),UNSPSCCode,0)),IF(INDIRECT(ADDRESS(ROW(),COLUMN()-1,4))="53101602","Camisas para hombre",""))</f>
        <v>Camisas para hombre</v>
      </c>
      <c r="C2306" s="58" t="str">
        <f>IFERROR(VLOOKUP("UD",'Informacion '!P:Q,2,FALSE),"")</f>
        <v>Unidad</v>
      </c>
      <c r="D2306" s="25">
        <v>100</v>
      </c>
      <c r="E2306" s="28">
        <v>1239</v>
      </c>
      <c r="F2306" s="27">
        <f t="shared" ca="1" si="75"/>
        <v>123900</v>
      </c>
    </row>
    <row r="2307" spans="1:10" ht="14.25" customHeight="1" x14ac:dyDescent="0.25">
      <c r="A2307" s="25" t="s">
        <v>536</v>
      </c>
      <c r="B2307" s="26" t="str">
        <f ca="1">IFERROR(INDEX(UNSPSCDes,MATCH(INDIRECT(ADDRESS(ROW(),COLUMN()-1,4)),UNSPSCCode,0)),IF(INDIRECT(ADDRESS(ROW(),COLUMN()-1,4))="53101602","Camisas para hombre",""))</f>
        <v>Camisas para hombre</v>
      </c>
      <c r="C2307" s="58" t="str">
        <f>IFERROR(VLOOKUP("UD",'Informacion '!P:Q,2,FALSE),"")</f>
        <v>Unidad</v>
      </c>
      <c r="D2307" s="25">
        <v>100</v>
      </c>
      <c r="E2307" s="28">
        <v>1239</v>
      </c>
      <c r="F2307" s="27">
        <f t="shared" ca="1" si="75"/>
        <v>123900</v>
      </c>
    </row>
    <row r="2308" spans="1:10" ht="14.25" customHeight="1" x14ac:dyDescent="0.25">
      <c r="A2308" s="25" t="s">
        <v>536</v>
      </c>
      <c r="B2308" s="26" t="str">
        <f ca="1">IFERROR(INDEX(UNSPSCDes,MATCH(INDIRECT(ADDRESS(ROW(),COLUMN()-1,4)),UNSPSCCode,0)),IF(INDIRECT(ADDRESS(ROW(),COLUMN()-1,4))="53101602","Camisas para hombre",""))</f>
        <v>Camisas para hombre</v>
      </c>
      <c r="C2308" s="58" t="str">
        <f>IFERROR(VLOOKUP("UD",'Informacion '!P:Q,2,FALSE),"")</f>
        <v>Unidad</v>
      </c>
      <c r="D2308" s="25">
        <v>100</v>
      </c>
      <c r="E2308" s="28">
        <v>1239</v>
      </c>
      <c r="F2308" s="27">
        <f t="shared" ca="1" si="75"/>
        <v>123900</v>
      </c>
    </row>
    <row r="2309" spans="1:10" ht="14.25" customHeight="1" x14ac:dyDescent="0.25">
      <c r="A2309" s="25" t="s">
        <v>536</v>
      </c>
      <c r="B2309" s="26" t="str">
        <f ca="1">IFERROR(INDEX(UNSPSCDes,MATCH(INDIRECT(ADDRESS(ROW(),COLUMN()-1,4)),UNSPSCCode,0)),IF(INDIRECT(ADDRESS(ROW(),COLUMN()-1,4))="53101602","Camisas para hombre",""))</f>
        <v>Camisas para hombre</v>
      </c>
      <c r="C2309" s="58" t="str">
        <f>IFERROR(VLOOKUP("UD",'Informacion '!P:Q,2,FALSE),"")</f>
        <v>Unidad</v>
      </c>
      <c r="D2309" s="25">
        <v>30</v>
      </c>
      <c r="E2309" s="28">
        <v>1239</v>
      </c>
      <c r="F2309" s="27">
        <f t="shared" ca="1" si="75"/>
        <v>37170</v>
      </c>
    </row>
    <row r="2310" spans="1:10" ht="14.25" customHeight="1" x14ac:dyDescent="0.25">
      <c r="A2310" s="25" t="s">
        <v>958</v>
      </c>
      <c r="B2310" s="26" t="str">
        <f t="shared" ref="B2310:B2315" ca="1" si="76">IFERROR(INDEX(UNSPSCDes,MATCH(INDIRECT(ADDRESS(ROW(),COLUMN()-1,4)),UNSPSCCode,0)),IF(INDIRECT(ADDRESS(ROW(),COLUMN()-1,4))="53101604","Camisas o blusas para mujer",""))</f>
        <v>Camisas o blusas para mujer</v>
      </c>
      <c r="C2310" s="58" t="str">
        <f>IFERROR(VLOOKUP("UD",'Informacion '!P:Q,2,FALSE),"")</f>
        <v>Unidad</v>
      </c>
      <c r="D2310" s="25">
        <v>50</v>
      </c>
      <c r="E2310" s="28">
        <v>1239</v>
      </c>
      <c r="F2310" s="27">
        <f t="shared" ca="1" si="75"/>
        <v>61950</v>
      </c>
    </row>
    <row r="2311" spans="1:10" ht="14.25" customHeight="1" x14ac:dyDescent="0.25">
      <c r="A2311" s="25" t="s">
        <v>958</v>
      </c>
      <c r="B2311" s="26" t="str">
        <f t="shared" ca="1" si="76"/>
        <v>Camisas o blusas para mujer</v>
      </c>
      <c r="C2311" s="58" t="str">
        <f>IFERROR(VLOOKUP("UD",'Informacion '!P:Q,2,FALSE),"")</f>
        <v>Unidad</v>
      </c>
      <c r="D2311" s="25">
        <v>100</v>
      </c>
      <c r="E2311" s="28">
        <v>1239</v>
      </c>
      <c r="F2311" s="27">
        <f t="shared" ca="1" si="75"/>
        <v>123900</v>
      </c>
    </row>
    <row r="2312" spans="1:10" ht="14.25" customHeight="1" x14ac:dyDescent="0.25">
      <c r="A2312" s="25" t="s">
        <v>958</v>
      </c>
      <c r="B2312" s="26" t="str">
        <f t="shared" ca="1" si="76"/>
        <v>Camisas o blusas para mujer</v>
      </c>
      <c r="C2312" s="58" t="str">
        <f>IFERROR(VLOOKUP("UD",'Informacion '!P:Q,2,FALSE),"")</f>
        <v>Unidad</v>
      </c>
      <c r="D2312" s="25">
        <v>100</v>
      </c>
      <c r="E2312" s="28">
        <v>1239</v>
      </c>
      <c r="F2312" s="27">
        <f t="shared" ca="1" si="75"/>
        <v>123900</v>
      </c>
    </row>
    <row r="2313" spans="1:10" ht="14.25" customHeight="1" x14ac:dyDescent="0.25">
      <c r="A2313" s="25" t="s">
        <v>958</v>
      </c>
      <c r="B2313" s="26" t="str">
        <f t="shared" ca="1" si="76"/>
        <v>Camisas o blusas para mujer</v>
      </c>
      <c r="C2313" s="58" t="str">
        <f>IFERROR(VLOOKUP("UD",'Informacion '!P:Q,2,FALSE),"")</f>
        <v>Unidad</v>
      </c>
      <c r="D2313" s="25">
        <v>100</v>
      </c>
      <c r="E2313" s="28">
        <v>1239</v>
      </c>
      <c r="F2313" s="27">
        <f t="shared" ca="1" si="75"/>
        <v>123900</v>
      </c>
    </row>
    <row r="2314" spans="1:10" ht="14.25" customHeight="1" x14ac:dyDescent="0.25">
      <c r="A2314" s="25" t="s">
        <v>958</v>
      </c>
      <c r="B2314" s="26" t="str">
        <f t="shared" ca="1" si="76"/>
        <v>Camisas o blusas para mujer</v>
      </c>
      <c r="C2314" s="58" t="str">
        <f>IFERROR(VLOOKUP("UD",'Informacion '!P:Q,2,FALSE),"")</f>
        <v>Unidad</v>
      </c>
      <c r="D2314" s="25">
        <v>80</v>
      </c>
      <c r="E2314" s="28">
        <v>1239</v>
      </c>
      <c r="F2314" s="27">
        <f t="shared" ca="1" si="75"/>
        <v>99120</v>
      </c>
    </row>
    <row r="2315" spans="1:10" ht="14.25" customHeight="1" x14ac:dyDescent="0.25">
      <c r="A2315" s="25" t="s">
        <v>958</v>
      </c>
      <c r="B2315" s="26" t="str">
        <f t="shared" ca="1" si="76"/>
        <v>Camisas o blusas para mujer</v>
      </c>
      <c r="C2315" s="58" t="str">
        <f>IFERROR(VLOOKUP("UD",'Informacion '!P:Q,2,FALSE),"")</f>
        <v>Unidad</v>
      </c>
      <c r="D2315" s="25">
        <v>20</v>
      </c>
      <c r="E2315" s="28">
        <v>1239</v>
      </c>
      <c r="F2315" s="27">
        <f t="shared" ca="1" si="75"/>
        <v>24780</v>
      </c>
    </row>
    <row r="2316" spans="1:10" ht="14.25" customHeight="1" x14ac:dyDescent="0.25">
      <c r="E2316" s="30" t="s">
        <v>816</v>
      </c>
      <c r="F2316" s="31">
        <f ca="1">SUM(Table122[MONTO TOTAL ESTIMADO])</f>
        <v>1065540</v>
      </c>
      <c r="H2316" s="21" t="str">
        <f>C2298</f>
        <v>Bienes</v>
      </c>
      <c r="I2316" s="21" t="str">
        <f>E2298</f>
        <v>No</v>
      </c>
      <c r="J2316" s="21" t="str">
        <f>D2298</f>
        <v>Compras Menores</v>
      </c>
    </row>
    <row r="2318" spans="1:10" ht="33.950000000000003" customHeight="1" x14ac:dyDescent="0.25">
      <c r="A2318" s="22" t="s">
        <v>1051</v>
      </c>
      <c r="B2318" s="22" t="s">
        <v>11</v>
      </c>
      <c r="C2318" s="22" t="s">
        <v>751</v>
      </c>
      <c r="D2318" s="22" t="s">
        <v>930</v>
      </c>
      <c r="E2318" s="22" t="s">
        <v>699</v>
      </c>
      <c r="F2318" s="22" t="s">
        <v>710</v>
      </c>
    </row>
    <row r="2319" spans="1:10" ht="14.25" customHeight="1" x14ac:dyDescent="0.25">
      <c r="A2319" s="23" t="s">
        <v>380</v>
      </c>
      <c r="B2319" s="23" t="s">
        <v>380</v>
      </c>
      <c r="C2319" s="23" t="s">
        <v>1155</v>
      </c>
      <c r="D2319" s="23" t="s">
        <v>1128</v>
      </c>
      <c r="E2319" s="23" t="s">
        <v>1156</v>
      </c>
      <c r="F2319" s="23" t="s">
        <v>436</v>
      </c>
    </row>
    <row r="2320" spans="1:10" ht="14.25" customHeight="1" x14ac:dyDescent="0.25">
      <c r="A2320" s="68" t="s">
        <v>965</v>
      </c>
      <c r="B2320" s="24" t="s">
        <v>543</v>
      </c>
      <c r="C2320" s="54">
        <v>46115</v>
      </c>
      <c r="D2320" s="68" t="s">
        <v>598</v>
      </c>
      <c r="E2320" s="56" t="s">
        <v>858</v>
      </c>
      <c r="F2320" s="57" t="s">
        <v>184</v>
      </c>
    </row>
    <row r="2321" spans="1:10" ht="14.25" customHeight="1" x14ac:dyDescent="0.25">
      <c r="A2321" s="69"/>
      <c r="B2321" s="24" t="s">
        <v>112</v>
      </c>
      <c r="C2321" s="55">
        <f>IF(C2320="","",IF(AND(MONTH(C2320)&gt;=1,MONTH(C2320)&lt;=3),1,IF(AND(MONTH(C2320)&gt;=4,MONTH(C2320)&lt;=6),2,IF(AND(MONTH(C2320)&gt;=7,MONTH(C2320)&lt;=9),3,4))))</f>
        <v>2</v>
      </c>
      <c r="D2321" s="69"/>
      <c r="E2321" s="56" t="s">
        <v>143</v>
      </c>
      <c r="F2321" s="57"/>
    </row>
    <row r="2322" spans="1:10" ht="14.25" customHeight="1" x14ac:dyDescent="0.25">
      <c r="A2322" s="69"/>
      <c r="B2322" s="24" t="s">
        <v>844</v>
      </c>
      <c r="C2322" s="54">
        <v>46173</v>
      </c>
      <c r="D2322" s="69"/>
      <c r="E2322" s="56" t="s">
        <v>183</v>
      </c>
      <c r="F2322" s="57"/>
    </row>
    <row r="2323" spans="1:10" ht="14.25" customHeight="1" x14ac:dyDescent="0.25">
      <c r="A2323" s="69"/>
      <c r="B2323" s="24" t="s">
        <v>112</v>
      </c>
      <c r="C2323" s="55">
        <f>IF(C2322="","",IF(AND(MONTH(C2322)&gt;=1,MONTH(C2322)&lt;=3),1,IF(AND(MONTH(C2322)&gt;=4,MONTH(C2322)&lt;=6),2,IF(AND(MONTH(C2322)&gt;=7,MONTH(C2322)&lt;=9),3,4))))</f>
        <v>2</v>
      </c>
      <c r="D2323" s="69"/>
      <c r="E2323" s="56" t="s">
        <v>865</v>
      </c>
      <c r="F2323" s="57"/>
    </row>
    <row r="2325" spans="1:10" ht="14.25" customHeight="1" x14ac:dyDescent="0.25">
      <c r="A2325" s="29" t="s">
        <v>1017</v>
      </c>
      <c r="B2325" s="29" t="s">
        <v>1042</v>
      </c>
      <c r="C2325" s="29" t="s">
        <v>1011</v>
      </c>
      <c r="D2325" s="29" t="s">
        <v>985</v>
      </c>
      <c r="E2325" s="29" t="s">
        <v>449</v>
      </c>
      <c r="F2325" s="29" t="s">
        <v>989</v>
      </c>
    </row>
    <row r="2326" spans="1:10" ht="14.25" customHeight="1" x14ac:dyDescent="0.25">
      <c r="A2326" s="25" t="s">
        <v>887</v>
      </c>
      <c r="B2326" s="26" t="str">
        <f ca="1">IFERROR(INDEX(UNSPSCDes,MATCH(INDIRECT(ADDRESS(ROW(),COLUMN()-1,4)),UNSPSCCode,0)),IF(INDIRECT(ADDRESS(ROW(),COLUMN()-1,4))="53103001","Camisetas (t-shirts)",""))</f>
        <v>Camisetas (t-shirts)</v>
      </c>
      <c r="C2326" s="58" t="str">
        <f>IFERROR(VLOOKUP("UD",'Informacion '!P:Q,2,FALSE),"")</f>
        <v>Unidad</v>
      </c>
      <c r="D2326" s="25">
        <v>200</v>
      </c>
      <c r="E2326" s="28">
        <v>800</v>
      </c>
      <c r="F2326" s="27">
        <f ca="1">INDIRECT(ADDRESS(ROW(),COLUMN()-2,4))*INDIRECT(ADDRESS(ROW(),COLUMN()-1,4))</f>
        <v>160000</v>
      </c>
    </row>
    <row r="2327" spans="1:10" ht="14.25" customHeight="1" x14ac:dyDescent="0.25">
      <c r="A2327" s="25" t="s">
        <v>1144</v>
      </c>
      <c r="B2327" s="26" t="str">
        <f ca="1">IFERROR(INDEX(UNSPSCDes,MATCH(INDIRECT(ADDRESS(ROW(),COLUMN()-1,4)),UNSPSCCode,0)),IF(INDIRECT(ADDRESS(ROW(),COLUMN()-1,4))="53102516","Gorras",""))</f>
        <v>Gorras</v>
      </c>
      <c r="C2327" s="58" t="str">
        <f>IFERROR(VLOOKUP("UD",'Informacion '!P:Q,2,FALSE),"")</f>
        <v>Unidad</v>
      </c>
      <c r="D2327" s="25">
        <v>250</v>
      </c>
      <c r="E2327" s="28">
        <v>350</v>
      </c>
      <c r="F2327" s="27">
        <f ca="1">INDIRECT(ADDRESS(ROW(),COLUMN()-2,4))*INDIRECT(ADDRESS(ROW(),COLUMN()-1,4))</f>
        <v>87500</v>
      </c>
    </row>
    <row r="2328" spans="1:10" ht="14.25" customHeight="1" x14ac:dyDescent="0.25">
      <c r="E2328" s="30" t="s">
        <v>816</v>
      </c>
      <c r="F2328" s="31">
        <f ca="1">SUM(Table123[MONTO TOTAL ESTIMADO])</f>
        <v>247500</v>
      </c>
      <c r="H2328" s="21" t="str">
        <f>C2319</f>
        <v>Bienes</v>
      </c>
      <c r="I2328" s="21" t="str">
        <f>E2319</f>
        <v>No</v>
      </c>
      <c r="J2328" s="21" t="str">
        <f>D2319</f>
        <v>Compras Menores</v>
      </c>
    </row>
    <row r="2330" spans="1:10" ht="33.950000000000003" customHeight="1" x14ac:dyDescent="0.25">
      <c r="A2330" s="22" t="s">
        <v>1051</v>
      </c>
      <c r="B2330" s="22" t="s">
        <v>11</v>
      </c>
      <c r="C2330" s="22" t="s">
        <v>751</v>
      </c>
      <c r="D2330" s="22" t="s">
        <v>930</v>
      </c>
      <c r="E2330" s="22" t="s">
        <v>699</v>
      </c>
      <c r="F2330" s="22" t="s">
        <v>710</v>
      </c>
    </row>
    <row r="2331" spans="1:10" ht="14.25" customHeight="1" x14ac:dyDescent="0.25">
      <c r="A2331" s="23" t="s">
        <v>1004</v>
      </c>
      <c r="B2331" s="23" t="s">
        <v>1004</v>
      </c>
      <c r="C2331" s="23" t="s">
        <v>438</v>
      </c>
      <c r="D2331" s="23" t="s">
        <v>116</v>
      </c>
      <c r="E2331" s="23" t="s">
        <v>1156</v>
      </c>
      <c r="F2331" s="23" t="s">
        <v>436</v>
      </c>
    </row>
    <row r="2332" spans="1:10" ht="14.25" customHeight="1" x14ac:dyDescent="0.25">
      <c r="A2332" s="68" t="s">
        <v>965</v>
      </c>
      <c r="B2332" s="24" t="s">
        <v>543</v>
      </c>
      <c r="C2332" s="54">
        <v>46028</v>
      </c>
      <c r="D2332" s="68" t="s">
        <v>598</v>
      </c>
      <c r="E2332" s="56" t="s">
        <v>858</v>
      </c>
      <c r="F2332" s="57" t="s">
        <v>757</v>
      </c>
    </row>
    <row r="2333" spans="1:10" ht="14.25" customHeight="1" x14ac:dyDescent="0.25">
      <c r="A2333" s="69"/>
      <c r="B2333" s="24" t="s">
        <v>112</v>
      </c>
      <c r="C2333" s="55">
        <f>IF(C2332="","",IF(AND(MONTH(C2332)&gt;=1,MONTH(C2332)&lt;=3),1,IF(AND(MONTH(C2332)&gt;=4,MONTH(C2332)&lt;=6),2,IF(AND(MONTH(C2332)&gt;=7,MONTH(C2332)&lt;=9),3,4))))</f>
        <v>1</v>
      </c>
      <c r="D2333" s="69"/>
      <c r="E2333" s="56" t="s">
        <v>143</v>
      </c>
      <c r="F2333" s="57" t="s">
        <v>1208</v>
      </c>
    </row>
    <row r="2334" spans="1:10" ht="14.25" customHeight="1" x14ac:dyDescent="0.25">
      <c r="A2334" s="69"/>
      <c r="B2334" s="24" t="s">
        <v>844</v>
      </c>
      <c r="C2334" s="54">
        <v>46105</v>
      </c>
      <c r="D2334" s="69"/>
      <c r="E2334" s="56" t="s">
        <v>183</v>
      </c>
      <c r="F2334" s="57"/>
    </row>
    <row r="2335" spans="1:10" ht="14.25" customHeight="1" x14ac:dyDescent="0.25">
      <c r="A2335" s="69"/>
      <c r="B2335" s="24" t="s">
        <v>112</v>
      </c>
      <c r="C2335" s="55">
        <f>IF(C2334="","",IF(AND(MONTH(C2334)&gt;=1,MONTH(C2334)&lt;=3),1,IF(AND(MONTH(C2334)&gt;=4,MONTH(C2334)&lt;=6),2,IF(AND(MONTH(C2334)&gt;=7,MONTH(C2334)&lt;=9),3,4))))</f>
        <v>1</v>
      </c>
      <c r="D2335" s="69"/>
      <c r="E2335" s="56" t="s">
        <v>865</v>
      </c>
      <c r="F2335" s="57"/>
    </row>
    <row r="2337" spans="1:10" ht="14.25" customHeight="1" x14ac:dyDescent="0.25">
      <c r="A2337" s="29" t="s">
        <v>1017</v>
      </c>
      <c r="B2337" s="29" t="s">
        <v>1042</v>
      </c>
      <c r="C2337" s="29" t="s">
        <v>1011</v>
      </c>
      <c r="D2337" s="29" t="s">
        <v>985</v>
      </c>
      <c r="E2337" s="29" t="s">
        <v>449</v>
      </c>
      <c r="F2337" s="29" t="s">
        <v>989</v>
      </c>
    </row>
    <row r="2338" spans="1:10" ht="14.25" customHeight="1" x14ac:dyDescent="0.25">
      <c r="A2338" s="25" t="s">
        <v>527</v>
      </c>
      <c r="B2338" s="26" t="str">
        <f ca="1">IFERROR(INDEX(UNSPSCDes,MATCH(INDIRECT(ADDRESS(ROW(),COLUMN()-1,4)),UNSPSCCode,0)),IF(INDIRECT(ADDRESS(ROW(),COLUMN()-1,4))="78111802","Servicios de buses con horarios programados",""))</f>
        <v>Servicios de buses con horarios programados</v>
      </c>
      <c r="C2338" s="58" t="str">
        <f>IFERROR(VLOOKUP("UD",'Informacion '!P:Q,2,FALSE),"")</f>
        <v>Unidad</v>
      </c>
      <c r="D2338" s="25">
        <v>1</v>
      </c>
      <c r="E2338" s="28">
        <v>3000000</v>
      </c>
      <c r="F2338" s="27">
        <f ca="1">INDIRECT(ADDRESS(ROW(),COLUMN()-2,4))*INDIRECT(ADDRESS(ROW(),COLUMN()-1,4))</f>
        <v>3000000</v>
      </c>
    </row>
    <row r="2339" spans="1:10" ht="14.25" customHeight="1" x14ac:dyDescent="0.25">
      <c r="E2339" s="30" t="s">
        <v>816</v>
      </c>
      <c r="F2339" s="31">
        <f ca="1">SUM(Table124[MONTO TOTAL ESTIMADO])</f>
        <v>3000000</v>
      </c>
      <c r="H2339" s="21" t="str">
        <f>C2331</f>
        <v>Servicios</v>
      </c>
      <c r="I2339" s="21" t="str">
        <f>E2331</f>
        <v>No</v>
      </c>
      <c r="J2339" s="21" t="str">
        <f>D2331</f>
        <v>Comparacion de Precios</v>
      </c>
    </row>
    <row r="2341" spans="1:10" ht="33.950000000000003" customHeight="1" x14ac:dyDescent="0.25">
      <c r="A2341" s="22" t="s">
        <v>1051</v>
      </c>
      <c r="B2341" s="22" t="s">
        <v>11</v>
      </c>
      <c r="C2341" s="22" t="s">
        <v>751</v>
      </c>
      <c r="D2341" s="22" t="s">
        <v>930</v>
      </c>
      <c r="E2341" s="22" t="s">
        <v>699</v>
      </c>
      <c r="F2341" s="22" t="s">
        <v>710</v>
      </c>
    </row>
    <row r="2342" spans="1:10" ht="14.25" customHeight="1" x14ac:dyDescent="0.25">
      <c r="A2342" s="23" t="s">
        <v>9</v>
      </c>
      <c r="B2342" s="23" t="s">
        <v>9</v>
      </c>
      <c r="C2342" s="23" t="s">
        <v>438</v>
      </c>
      <c r="D2342" s="23" t="s">
        <v>146</v>
      </c>
      <c r="E2342" s="23" t="s">
        <v>1156</v>
      </c>
      <c r="F2342" s="23" t="s">
        <v>436</v>
      </c>
    </row>
    <row r="2343" spans="1:10" ht="14.25" customHeight="1" x14ac:dyDescent="0.25">
      <c r="A2343" s="68" t="s">
        <v>965</v>
      </c>
      <c r="B2343" s="24" t="s">
        <v>543</v>
      </c>
      <c r="C2343" s="54">
        <v>46125</v>
      </c>
      <c r="D2343" s="68" t="s">
        <v>598</v>
      </c>
      <c r="E2343" s="56" t="s">
        <v>858</v>
      </c>
      <c r="F2343" s="57"/>
    </row>
    <row r="2344" spans="1:10" ht="14.25" customHeight="1" x14ac:dyDescent="0.25">
      <c r="A2344" s="69"/>
      <c r="B2344" s="24" t="s">
        <v>112</v>
      </c>
      <c r="C2344" s="55">
        <f>IF(C2343="","",IF(AND(MONTH(C2343)&gt;=1,MONTH(C2343)&lt;=3),1,IF(AND(MONTH(C2343)&gt;=4,MONTH(C2343)&lt;=6),2,IF(AND(MONTH(C2343)&gt;=7,MONTH(C2343)&lt;=9),3,4))))</f>
        <v>2</v>
      </c>
      <c r="D2344" s="69"/>
      <c r="E2344" s="56" t="s">
        <v>143</v>
      </c>
      <c r="F2344" s="57"/>
    </row>
    <row r="2345" spans="1:10" ht="14.25" customHeight="1" x14ac:dyDescent="0.25">
      <c r="A2345" s="69"/>
      <c r="B2345" s="24" t="s">
        <v>844</v>
      </c>
      <c r="C2345" s="54">
        <v>46234</v>
      </c>
      <c r="D2345" s="69"/>
      <c r="E2345" s="56" t="s">
        <v>183</v>
      </c>
      <c r="F2345" s="57"/>
    </row>
    <row r="2346" spans="1:10" ht="14.25" customHeight="1" x14ac:dyDescent="0.25">
      <c r="A2346" s="69"/>
      <c r="B2346" s="24" t="s">
        <v>112</v>
      </c>
      <c r="C2346" s="55">
        <f>IF(C2345="","",IF(AND(MONTH(C2345)&gt;=1,MONTH(C2345)&lt;=3),1,IF(AND(MONTH(C2345)&gt;=4,MONTH(C2345)&lt;=6),2,IF(AND(MONTH(C2345)&gt;=7,MONTH(C2345)&lt;=9),3,4))))</f>
        <v>3</v>
      </c>
      <c r="D2346" s="69"/>
      <c r="E2346" s="56" t="s">
        <v>865</v>
      </c>
      <c r="F2346" s="57"/>
    </row>
    <row r="2348" spans="1:10" ht="14.25" customHeight="1" x14ac:dyDescent="0.25">
      <c r="A2348" s="29" t="s">
        <v>1017</v>
      </c>
      <c r="B2348" s="29" t="s">
        <v>1042</v>
      </c>
      <c r="C2348" s="29" t="s">
        <v>1011</v>
      </c>
      <c r="D2348" s="29" t="s">
        <v>985</v>
      </c>
      <c r="E2348" s="29" t="s">
        <v>449</v>
      </c>
      <c r="F2348" s="29" t="s">
        <v>989</v>
      </c>
    </row>
    <row r="2349" spans="1:10" ht="14.25" customHeight="1" x14ac:dyDescent="0.25">
      <c r="A2349" s="25" t="s">
        <v>744</v>
      </c>
      <c r="B2349" s="26" t="str">
        <f ca="1">IFERROR(INDEX(UNSPSCDes,MATCH(INDIRECT(ADDRESS(ROW(),COLUMN()-1,4)),UNSPSCCode,0)),IF(INDIRECT(ADDRESS(ROW(),COLUMN()-1,4))="78101604","Vehículos de servicios de transporte",""))</f>
        <v>Vehículos de servicios de transporte</v>
      </c>
      <c r="C2349" s="58" t="str">
        <f>IFERROR(VLOOKUP("UD",'Informacion '!P:Q,2,FALSE),"")</f>
        <v>Unidad</v>
      </c>
      <c r="D2349" s="25">
        <v>1</v>
      </c>
      <c r="E2349" s="28">
        <v>30000000</v>
      </c>
      <c r="F2349" s="27">
        <f ca="1">INDIRECT(ADDRESS(ROW(),COLUMN()-2,4))*INDIRECT(ADDRESS(ROW(),COLUMN()-1,4))</f>
        <v>30000000</v>
      </c>
    </row>
    <row r="2350" spans="1:10" ht="14.25" customHeight="1" x14ac:dyDescent="0.25">
      <c r="E2350" s="30" t="s">
        <v>816</v>
      </c>
      <c r="F2350" s="31">
        <f ca="1">SUM(Table125[MONTO TOTAL ESTIMADO])</f>
        <v>30000000</v>
      </c>
      <c r="H2350" s="21" t="str">
        <f>C2342</f>
        <v>Servicios</v>
      </c>
      <c r="I2350" s="21" t="str">
        <f>E2342</f>
        <v>No</v>
      </c>
      <c r="J2350" s="21" t="str">
        <f>D2342</f>
        <v>Licitacion Publica</v>
      </c>
    </row>
    <row r="2352" spans="1:10" ht="33.950000000000003" customHeight="1" x14ac:dyDescent="0.25">
      <c r="A2352" s="22" t="s">
        <v>1051</v>
      </c>
      <c r="B2352" s="22" t="s">
        <v>11</v>
      </c>
      <c r="C2352" s="22" t="s">
        <v>751</v>
      </c>
      <c r="D2352" s="22" t="s">
        <v>930</v>
      </c>
      <c r="E2352" s="22" t="s">
        <v>699</v>
      </c>
      <c r="F2352" s="22" t="s">
        <v>710</v>
      </c>
    </row>
    <row r="2353" spans="1:6" ht="14.25" customHeight="1" x14ac:dyDescent="0.25">
      <c r="A2353" s="23" t="s">
        <v>1054</v>
      </c>
      <c r="B2353" s="23" t="s">
        <v>1054</v>
      </c>
      <c r="C2353" s="23" t="s">
        <v>1155</v>
      </c>
      <c r="D2353" s="23" t="s">
        <v>116</v>
      </c>
      <c r="E2353" s="23" t="s">
        <v>1156</v>
      </c>
      <c r="F2353" s="23" t="s">
        <v>436</v>
      </c>
    </row>
    <row r="2354" spans="1:6" ht="14.25" customHeight="1" x14ac:dyDescent="0.25">
      <c r="A2354" s="68" t="s">
        <v>965</v>
      </c>
      <c r="B2354" s="24" t="s">
        <v>543</v>
      </c>
      <c r="C2354" s="54">
        <v>46125</v>
      </c>
      <c r="D2354" s="68" t="s">
        <v>598</v>
      </c>
      <c r="E2354" s="56" t="s">
        <v>858</v>
      </c>
      <c r="F2354" s="57" t="s">
        <v>184</v>
      </c>
    </row>
    <row r="2355" spans="1:6" ht="14.25" customHeight="1" x14ac:dyDescent="0.25">
      <c r="A2355" s="69"/>
      <c r="B2355" s="24" t="s">
        <v>112</v>
      </c>
      <c r="C2355" s="55">
        <f>IF(C2354="","",IF(AND(MONTH(C2354)&gt;=1,MONTH(C2354)&lt;=3),1,IF(AND(MONTH(C2354)&gt;=4,MONTH(C2354)&lt;=6),2,IF(AND(MONTH(C2354)&gt;=7,MONTH(C2354)&lt;=9),3,4))))</f>
        <v>2</v>
      </c>
      <c r="D2355" s="69"/>
      <c r="E2355" s="56" t="s">
        <v>143</v>
      </c>
      <c r="F2355" s="57"/>
    </row>
    <row r="2356" spans="1:6" ht="14.25" customHeight="1" x14ac:dyDescent="0.25">
      <c r="A2356" s="69"/>
      <c r="B2356" s="24" t="s">
        <v>844</v>
      </c>
      <c r="C2356" s="54">
        <v>46173</v>
      </c>
      <c r="D2356" s="69"/>
      <c r="E2356" s="56" t="s">
        <v>183</v>
      </c>
      <c r="F2356" s="57"/>
    </row>
    <row r="2357" spans="1:6" ht="14.25" customHeight="1" x14ac:dyDescent="0.25">
      <c r="A2357" s="69"/>
      <c r="B2357" s="24" t="s">
        <v>112</v>
      </c>
      <c r="C2357" s="55">
        <f>IF(C2356="","",IF(AND(MONTH(C2356)&gt;=1,MONTH(C2356)&lt;=3),1,IF(AND(MONTH(C2356)&gt;=4,MONTH(C2356)&lt;=6),2,IF(AND(MONTH(C2356)&gt;=7,MONTH(C2356)&lt;=9),3,4))))</f>
        <v>2</v>
      </c>
      <c r="D2357" s="69"/>
      <c r="E2357" s="56" t="s">
        <v>865</v>
      </c>
      <c r="F2357" s="57"/>
    </row>
    <row r="2359" spans="1:6" ht="14.25" customHeight="1" x14ac:dyDescent="0.25">
      <c r="A2359" s="29" t="s">
        <v>1017</v>
      </c>
      <c r="B2359" s="29" t="s">
        <v>1042</v>
      </c>
      <c r="C2359" s="29" t="s">
        <v>1011</v>
      </c>
      <c r="D2359" s="29" t="s">
        <v>985</v>
      </c>
      <c r="E2359" s="29" t="s">
        <v>449</v>
      </c>
      <c r="F2359" s="29" t="s">
        <v>989</v>
      </c>
    </row>
    <row r="2360" spans="1:6" ht="14.25" customHeight="1" x14ac:dyDescent="0.25">
      <c r="A2360" s="25" t="s">
        <v>1201</v>
      </c>
      <c r="B2360" s="26" t="str">
        <f t="shared" ref="B2360:B2368" ca="1" si="77">IFERROR(INDEX(UNSPSCDes,MATCH(INDIRECT(ADDRESS(ROW(),COLUMN()-1,4)),UNSPSCCode,0)),IF(INDIRECT(ADDRESS(ROW(),COLUMN()-1,4))="76111801","Limpieza de carros o barcos",""))</f>
        <v>Limpieza de carros o barcos</v>
      </c>
      <c r="C2360" s="58" t="str">
        <f>IFERROR(VLOOKUP("UD",'Informacion '!P:Q,2,FALSE),"")</f>
        <v>Unidad</v>
      </c>
      <c r="D2360" s="25">
        <v>300</v>
      </c>
      <c r="E2360" s="28">
        <v>1500</v>
      </c>
      <c r="F2360" s="27">
        <f t="shared" ref="F2360:F2368" ca="1" si="78">INDIRECT(ADDRESS(ROW(),COLUMN()-2,4))*INDIRECT(ADDRESS(ROW(),COLUMN()-1,4))</f>
        <v>450000</v>
      </c>
    </row>
    <row r="2361" spans="1:6" ht="14.25" customHeight="1" x14ac:dyDescent="0.25">
      <c r="A2361" s="25" t="s">
        <v>1201</v>
      </c>
      <c r="B2361" s="26" t="str">
        <f t="shared" ca="1" si="77"/>
        <v>Limpieza de carros o barcos</v>
      </c>
      <c r="C2361" s="58" t="str">
        <f>IFERROR(VLOOKUP("UD",'Informacion '!P:Q,2,FALSE),"")</f>
        <v>Unidad</v>
      </c>
      <c r="D2361" s="25">
        <v>150</v>
      </c>
      <c r="E2361" s="28">
        <v>8000</v>
      </c>
      <c r="F2361" s="27">
        <f t="shared" ca="1" si="78"/>
        <v>1200000</v>
      </c>
    </row>
    <row r="2362" spans="1:6" ht="14.25" customHeight="1" x14ac:dyDescent="0.25">
      <c r="A2362" s="25" t="s">
        <v>1201</v>
      </c>
      <c r="B2362" s="26" t="str">
        <f t="shared" ca="1" si="77"/>
        <v>Limpieza de carros o barcos</v>
      </c>
      <c r="C2362" s="58" t="str">
        <f>IFERROR(VLOOKUP("UD",'Informacion '!P:Q,2,FALSE),"")</f>
        <v>Unidad</v>
      </c>
      <c r="D2362" s="25">
        <v>150</v>
      </c>
      <c r="E2362" s="28">
        <v>3000</v>
      </c>
      <c r="F2362" s="27">
        <f t="shared" ca="1" si="78"/>
        <v>450000</v>
      </c>
    </row>
    <row r="2363" spans="1:6" ht="14.25" customHeight="1" x14ac:dyDescent="0.25">
      <c r="A2363" s="25" t="s">
        <v>1201</v>
      </c>
      <c r="B2363" s="26" t="str">
        <f t="shared" ca="1" si="77"/>
        <v>Limpieza de carros o barcos</v>
      </c>
      <c r="C2363" s="58" t="str">
        <f>IFERROR(VLOOKUP("UD",'Informacion '!P:Q,2,FALSE),"")</f>
        <v>Unidad</v>
      </c>
      <c r="D2363" s="25">
        <v>70</v>
      </c>
      <c r="E2363" s="28">
        <v>9000</v>
      </c>
      <c r="F2363" s="27">
        <f t="shared" ca="1" si="78"/>
        <v>630000</v>
      </c>
    </row>
    <row r="2364" spans="1:6" ht="14.25" customHeight="1" x14ac:dyDescent="0.25">
      <c r="A2364" s="25" t="s">
        <v>1201</v>
      </c>
      <c r="B2364" s="26" t="str">
        <f t="shared" ca="1" si="77"/>
        <v>Limpieza de carros o barcos</v>
      </c>
      <c r="C2364" s="58" t="str">
        <f>IFERROR(VLOOKUP("UD",'Informacion '!P:Q,2,FALSE),"")</f>
        <v>Unidad</v>
      </c>
      <c r="D2364" s="25">
        <v>50</v>
      </c>
      <c r="E2364" s="28">
        <v>8500</v>
      </c>
      <c r="F2364" s="27">
        <f t="shared" ca="1" si="78"/>
        <v>425000</v>
      </c>
    </row>
    <row r="2365" spans="1:6" ht="14.25" customHeight="1" x14ac:dyDescent="0.25">
      <c r="A2365" s="25" t="s">
        <v>1201</v>
      </c>
      <c r="B2365" s="26" t="str">
        <f t="shared" ca="1" si="77"/>
        <v>Limpieza de carros o barcos</v>
      </c>
      <c r="C2365" s="58" t="str">
        <f>IFERROR(VLOOKUP("UD",'Informacion '!P:Q,2,FALSE),"")</f>
        <v>Unidad</v>
      </c>
      <c r="D2365" s="25">
        <v>50</v>
      </c>
      <c r="E2365" s="28">
        <v>12500</v>
      </c>
      <c r="F2365" s="27">
        <f t="shared" ca="1" si="78"/>
        <v>625000</v>
      </c>
    </row>
    <row r="2366" spans="1:6" ht="14.25" customHeight="1" x14ac:dyDescent="0.25">
      <c r="A2366" s="25" t="s">
        <v>1201</v>
      </c>
      <c r="B2366" s="26" t="str">
        <f t="shared" ca="1" si="77"/>
        <v>Limpieza de carros o barcos</v>
      </c>
      <c r="C2366" s="58" t="str">
        <f>IFERROR(VLOOKUP("UD",'Informacion '!P:Q,2,FALSE),"")</f>
        <v>Unidad</v>
      </c>
      <c r="D2366" s="25">
        <v>50</v>
      </c>
      <c r="E2366" s="28">
        <v>6000</v>
      </c>
      <c r="F2366" s="27">
        <f t="shared" ca="1" si="78"/>
        <v>300000</v>
      </c>
    </row>
    <row r="2367" spans="1:6" ht="14.25" customHeight="1" x14ac:dyDescent="0.25">
      <c r="A2367" s="25" t="s">
        <v>1201</v>
      </c>
      <c r="B2367" s="26" t="str">
        <f t="shared" ca="1" si="77"/>
        <v>Limpieza de carros o barcos</v>
      </c>
      <c r="C2367" s="58" t="str">
        <f>IFERROR(VLOOKUP("UD",'Informacion '!P:Q,2,FALSE),"")</f>
        <v>Unidad</v>
      </c>
      <c r="D2367" s="25">
        <v>15</v>
      </c>
      <c r="E2367" s="28">
        <v>19000</v>
      </c>
      <c r="F2367" s="27">
        <f t="shared" ca="1" si="78"/>
        <v>285000</v>
      </c>
    </row>
    <row r="2368" spans="1:6" ht="14.25" customHeight="1" x14ac:dyDescent="0.25">
      <c r="A2368" s="25" t="s">
        <v>1201</v>
      </c>
      <c r="B2368" s="26" t="str">
        <f t="shared" ca="1" si="77"/>
        <v>Limpieza de carros o barcos</v>
      </c>
      <c r="C2368" s="58" t="str">
        <f>IFERROR(VLOOKUP("UD",'Informacion '!P:Q,2,FALSE),"")</f>
        <v>Unidad</v>
      </c>
      <c r="D2368" s="25">
        <v>30</v>
      </c>
      <c r="E2368" s="28">
        <v>14000</v>
      </c>
      <c r="F2368" s="27">
        <f t="shared" ca="1" si="78"/>
        <v>420000</v>
      </c>
    </row>
    <row r="2369" spans="1:10" ht="14.25" customHeight="1" x14ac:dyDescent="0.25">
      <c r="E2369" s="30" t="s">
        <v>816</v>
      </c>
      <c r="F2369" s="31">
        <f ca="1">SUM(Table126[MONTO TOTAL ESTIMADO])</f>
        <v>4785000</v>
      </c>
      <c r="H2369" s="21" t="str">
        <f>C2353</f>
        <v>Bienes</v>
      </c>
      <c r="I2369" s="21" t="str">
        <f>E2353</f>
        <v>No</v>
      </c>
      <c r="J2369" s="21" t="str">
        <f>D2353</f>
        <v>Comparacion de Precios</v>
      </c>
    </row>
    <row r="2371" spans="1:10" ht="33.950000000000003" customHeight="1" x14ac:dyDescent="0.25">
      <c r="A2371" s="22" t="s">
        <v>1051</v>
      </c>
      <c r="B2371" s="22" t="s">
        <v>11</v>
      </c>
      <c r="C2371" s="22" t="s">
        <v>751</v>
      </c>
      <c r="D2371" s="22" t="s">
        <v>930</v>
      </c>
      <c r="E2371" s="22" t="s">
        <v>699</v>
      </c>
      <c r="F2371" s="22" t="s">
        <v>710</v>
      </c>
    </row>
    <row r="2372" spans="1:10" ht="14.25" customHeight="1" x14ac:dyDescent="0.25">
      <c r="A2372" s="23" t="s">
        <v>764</v>
      </c>
      <c r="B2372" s="23" t="s">
        <v>764</v>
      </c>
      <c r="C2372" s="23" t="s">
        <v>438</v>
      </c>
      <c r="D2372" s="23" t="s">
        <v>1128</v>
      </c>
      <c r="E2372" s="23" t="s">
        <v>1156</v>
      </c>
      <c r="F2372" s="23" t="s">
        <v>436</v>
      </c>
    </row>
    <row r="2373" spans="1:10" ht="14.25" customHeight="1" x14ac:dyDescent="0.25">
      <c r="A2373" s="68" t="s">
        <v>965</v>
      </c>
      <c r="B2373" s="24" t="s">
        <v>543</v>
      </c>
      <c r="C2373" s="54">
        <v>46035</v>
      </c>
      <c r="D2373" s="68" t="s">
        <v>598</v>
      </c>
      <c r="E2373" s="56" t="s">
        <v>858</v>
      </c>
      <c r="F2373" s="57" t="s">
        <v>184</v>
      </c>
    </row>
    <row r="2374" spans="1:10" ht="14.25" customHeight="1" x14ac:dyDescent="0.25">
      <c r="A2374" s="69"/>
      <c r="B2374" s="24" t="s">
        <v>112</v>
      </c>
      <c r="C2374" s="55">
        <f>IF(C2373="","",IF(AND(MONTH(C2373)&gt;=1,MONTH(C2373)&lt;=3),1,IF(AND(MONTH(C2373)&gt;=4,MONTH(C2373)&lt;=6),2,IF(AND(MONTH(C2373)&gt;=7,MONTH(C2373)&lt;=9),3,4))))</f>
        <v>1</v>
      </c>
      <c r="D2374" s="69"/>
      <c r="E2374" s="56" t="s">
        <v>143</v>
      </c>
      <c r="F2374" s="57"/>
    </row>
    <row r="2375" spans="1:10" ht="14.25" customHeight="1" x14ac:dyDescent="0.25">
      <c r="A2375" s="69"/>
      <c r="B2375" s="24" t="s">
        <v>844</v>
      </c>
      <c r="C2375" s="54">
        <v>46105</v>
      </c>
      <c r="D2375" s="69"/>
      <c r="E2375" s="56" t="s">
        <v>183</v>
      </c>
      <c r="F2375" s="57"/>
    </row>
    <row r="2376" spans="1:10" ht="14.25" customHeight="1" x14ac:dyDescent="0.25">
      <c r="A2376" s="69"/>
      <c r="B2376" s="24" t="s">
        <v>112</v>
      </c>
      <c r="C2376" s="55">
        <f>IF(C2375="","",IF(AND(MONTH(C2375)&gt;=1,MONTH(C2375)&lt;=3),1,IF(AND(MONTH(C2375)&gt;=4,MONTH(C2375)&lt;=6),2,IF(AND(MONTH(C2375)&gt;=7,MONTH(C2375)&lt;=9),3,4))))</f>
        <v>1</v>
      </c>
      <c r="D2376" s="69"/>
      <c r="E2376" s="56" t="s">
        <v>865</v>
      </c>
      <c r="F2376" s="57"/>
    </row>
    <row r="2378" spans="1:10" ht="14.25" customHeight="1" x14ac:dyDescent="0.25">
      <c r="A2378" s="29" t="s">
        <v>1017</v>
      </c>
      <c r="B2378" s="29" t="s">
        <v>1042</v>
      </c>
      <c r="C2378" s="29" t="s">
        <v>1011</v>
      </c>
      <c r="D2378" s="29" t="s">
        <v>985</v>
      </c>
      <c r="E2378" s="29" t="s">
        <v>449</v>
      </c>
      <c r="F2378" s="29" t="s">
        <v>989</v>
      </c>
    </row>
    <row r="2379" spans="1:10" ht="14.25" customHeight="1" x14ac:dyDescent="0.25">
      <c r="A2379" s="25" t="s">
        <v>87</v>
      </c>
      <c r="B2379" s="26" t="str">
        <f ca="1">IFERROR(INDEX(UNSPSCDes,MATCH(INDIRECT(ADDRESS(ROW(),COLUMN()-1,4)),UNSPSCCode,0)),IF(INDIRECT(ADDRESS(ROW(),COLUMN()-1,4))="91111502","Servicios de lavandería",""))</f>
        <v>Servicios de lavandería</v>
      </c>
      <c r="C2379" s="58" t="str">
        <f>IFERROR(VLOOKUP("UD",'Informacion '!P:Q,2,FALSE),"")</f>
        <v>Unidad</v>
      </c>
      <c r="D2379" s="25">
        <v>1</v>
      </c>
      <c r="E2379" s="28">
        <v>479000</v>
      </c>
      <c r="F2379" s="27">
        <f ca="1">INDIRECT(ADDRESS(ROW(),COLUMN()-2,4))*INDIRECT(ADDRESS(ROW(),COLUMN()-1,4))</f>
        <v>479000</v>
      </c>
    </row>
    <row r="2380" spans="1:10" ht="14.25" customHeight="1" x14ac:dyDescent="0.25">
      <c r="E2380" s="30" t="s">
        <v>816</v>
      </c>
      <c r="F2380" s="31">
        <f ca="1">SUM(Table127[MONTO TOTAL ESTIMADO])</f>
        <v>479000</v>
      </c>
      <c r="H2380" s="21" t="str">
        <f>C2372</f>
        <v>Servicios</v>
      </c>
      <c r="I2380" s="21" t="str">
        <f>E2372</f>
        <v>No</v>
      </c>
      <c r="J2380" s="21" t="str">
        <f>D2372</f>
        <v>Compras Menores</v>
      </c>
    </row>
    <row r="2382" spans="1:10" ht="33.950000000000003" customHeight="1" x14ac:dyDescent="0.25">
      <c r="A2382" s="22" t="s">
        <v>1051</v>
      </c>
      <c r="B2382" s="22" t="s">
        <v>11</v>
      </c>
      <c r="C2382" s="22" t="s">
        <v>751</v>
      </c>
      <c r="D2382" s="22" t="s">
        <v>930</v>
      </c>
      <c r="E2382" s="22" t="s">
        <v>699</v>
      </c>
      <c r="F2382" s="22" t="s">
        <v>710</v>
      </c>
    </row>
    <row r="2383" spans="1:10" ht="14.25" customHeight="1" x14ac:dyDescent="0.25">
      <c r="A2383" s="23" t="s">
        <v>33</v>
      </c>
      <c r="B2383" s="23" t="s">
        <v>33</v>
      </c>
      <c r="C2383" s="23" t="s">
        <v>438</v>
      </c>
      <c r="D2383" s="23" t="s">
        <v>654</v>
      </c>
      <c r="E2383" s="23" t="s">
        <v>1156</v>
      </c>
      <c r="F2383" s="23" t="s">
        <v>436</v>
      </c>
    </row>
    <row r="2384" spans="1:10" ht="14.25" customHeight="1" x14ac:dyDescent="0.25">
      <c r="A2384" s="68" t="s">
        <v>965</v>
      </c>
      <c r="B2384" s="24" t="s">
        <v>543</v>
      </c>
      <c r="C2384" s="54">
        <v>46213</v>
      </c>
      <c r="D2384" s="68" t="s">
        <v>598</v>
      </c>
      <c r="E2384" s="56" t="s">
        <v>858</v>
      </c>
      <c r="F2384" s="57" t="s">
        <v>184</v>
      </c>
    </row>
    <row r="2385" spans="1:10" ht="14.25" customHeight="1" x14ac:dyDescent="0.25">
      <c r="A2385" s="69"/>
      <c r="B2385" s="24" t="s">
        <v>112</v>
      </c>
      <c r="C2385" s="55">
        <f>IF(C2384="","",IF(AND(MONTH(C2384)&gt;=1,MONTH(C2384)&lt;=3),1,IF(AND(MONTH(C2384)&gt;=4,MONTH(C2384)&lt;=6),2,IF(AND(MONTH(C2384)&gt;=7,MONTH(C2384)&lt;=9),3,4))))</f>
        <v>3</v>
      </c>
      <c r="D2385" s="69"/>
      <c r="E2385" s="56" t="s">
        <v>143</v>
      </c>
      <c r="F2385" s="57"/>
    </row>
    <row r="2386" spans="1:10" ht="14.25" customHeight="1" x14ac:dyDescent="0.25">
      <c r="A2386" s="69"/>
      <c r="B2386" s="24" t="s">
        <v>844</v>
      </c>
      <c r="C2386" s="54">
        <v>46234</v>
      </c>
      <c r="D2386" s="69"/>
      <c r="E2386" s="56" t="s">
        <v>183</v>
      </c>
      <c r="F2386" s="57"/>
    </row>
    <row r="2387" spans="1:10" ht="14.25" customHeight="1" x14ac:dyDescent="0.25">
      <c r="A2387" s="69"/>
      <c r="B2387" s="24" t="s">
        <v>112</v>
      </c>
      <c r="C2387" s="55">
        <f>IF(C2386="","",IF(AND(MONTH(C2386)&gt;=1,MONTH(C2386)&lt;=3),1,IF(AND(MONTH(C2386)&gt;=4,MONTH(C2386)&lt;=6),2,IF(AND(MONTH(C2386)&gt;=7,MONTH(C2386)&lt;=9),3,4))))</f>
        <v>3</v>
      </c>
      <c r="D2387" s="69"/>
      <c r="E2387" s="56" t="s">
        <v>865</v>
      </c>
      <c r="F2387" s="57"/>
    </row>
    <row r="2389" spans="1:10" ht="14.25" customHeight="1" x14ac:dyDescent="0.25">
      <c r="A2389" s="29" t="s">
        <v>1017</v>
      </c>
      <c r="B2389" s="29" t="s">
        <v>1042</v>
      </c>
      <c r="C2389" s="29" t="s">
        <v>1011</v>
      </c>
      <c r="D2389" s="29" t="s">
        <v>985</v>
      </c>
      <c r="E2389" s="29" t="s">
        <v>449</v>
      </c>
      <c r="F2389" s="29" t="s">
        <v>989</v>
      </c>
    </row>
    <row r="2390" spans="1:10" ht="14.25" customHeight="1" x14ac:dyDescent="0.25">
      <c r="A2390" s="25" t="s">
        <v>583</v>
      </c>
      <c r="B2390" s="26" t="str">
        <f ca="1">IFERROR(INDEX(UNSPSCDes,MATCH(INDIRECT(ADDRESS(ROW(),COLUMN()-1,4)),UNSPSCCode,0)),IF(INDIRECT(ADDRESS(ROW(),COLUMN()-1,4))="76111501","Servicios de limpieza de edificios",""))</f>
        <v>Servicios de limpieza de edificios</v>
      </c>
      <c r="C2390" s="58" t="str">
        <f>IFERROR(VLOOKUP("UD",'Informacion '!P:Q,2,FALSE),"")</f>
        <v>Unidad</v>
      </c>
      <c r="D2390" s="25">
        <v>1</v>
      </c>
      <c r="E2390" s="28">
        <v>150000</v>
      </c>
      <c r="F2390" s="27">
        <f ca="1">INDIRECT(ADDRESS(ROW(),COLUMN()-2,4))*INDIRECT(ADDRESS(ROW(),COLUMN()-1,4))</f>
        <v>150000</v>
      </c>
    </row>
    <row r="2391" spans="1:10" ht="14.25" customHeight="1" x14ac:dyDescent="0.25">
      <c r="E2391" s="30" t="s">
        <v>816</v>
      </c>
      <c r="F2391" s="31">
        <f ca="1">SUM(Table128[MONTO TOTAL ESTIMADO])</f>
        <v>150000</v>
      </c>
      <c r="H2391" s="21" t="str">
        <f>C2383</f>
        <v>Servicios</v>
      </c>
      <c r="I2391" s="21" t="str">
        <f>E2383</f>
        <v>No</v>
      </c>
      <c r="J2391" s="21" t="str">
        <f>D2383</f>
        <v>Compras por debajo del Umbral</v>
      </c>
    </row>
    <row r="2393" spans="1:10" ht="33.950000000000003" customHeight="1" x14ac:dyDescent="0.25">
      <c r="A2393" s="22" t="s">
        <v>1051</v>
      </c>
      <c r="B2393" s="22" t="s">
        <v>11</v>
      </c>
      <c r="C2393" s="22" t="s">
        <v>751</v>
      </c>
      <c r="D2393" s="22" t="s">
        <v>930</v>
      </c>
      <c r="E2393" s="22" t="s">
        <v>699</v>
      </c>
      <c r="F2393" s="22" t="s">
        <v>710</v>
      </c>
    </row>
    <row r="2394" spans="1:10" ht="14.25" customHeight="1" x14ac:dyDescent="0.25">
      <c r="A2394" s="23" t="s">
        <v>440</v>
      </c>
      <c r="B2394" s="23" t="s">
        <v>262</v>
      </c>
      <c r="C2394" s="23" t="s">
        <v>438</v>
      </c>
      <c r="D2394" s="23" t="s">
        <v>1128</v>
      </c>
      <c r="E2394" s="23" t="s">
        <v>1156</v>
      </c>
      <c r="F2394" s="23" t="s">
        <v>436</v>
      </c>
    </row>
    <row r="2395" spans="1:10" ht="14.25" customHeight="1" x14ac:dyDescent="0.25">
      <c r="A2395" s="68" t="s">
        <v>965</v>
      </c>
      <c r="B2395" s="24" t="s">
        <v>543</v>
      </c>
      <c r="C2395" s="54">
        <v>46155</v>
      </c>
      <c r="D2395" s="68" t="s">
        <v>598</v>
      </c>
      <c r="E2395" s="56" t="s">
        <v>858</v>
      </c>
      <c r="F2395" s="57" t="s">
        <v>184</v>
      </c>
    </row>
    <row r="2396" spans="1:10" ht="14.25" customHeight="1" x14ac:dyDescent="0.25">
      <c r="A2396" s="69"/>
      <c r="B2396" s="24" t="s">
        <v>112</v>
      </c>
      <c r="C2396" s="55">
        <f>IF(C2395="","",IF(AND(MONTH(C2395)&gt;=1,MONTH(C2395)&lt;=3),1,IF(AND(MONTH(C2395)&gt;=4,MONTH(C2395)&lt;=6),2,IF(AND(MONTH(C2395)&gt;=7,MONTH(C2395)&lt;=9),3,4))))</f>
        <v>2</v>
      </c>
      <c r="D2396" s="69"/>
      <c r="E2396" s="56" t="s">
        <v>143</v>
      </c>
      <c r="F2396" s="57"/>
    </row>
    <row r="2397" spans="1:10" ht="14.25" customHeight="1" x14ac:dyDescent="0.25">
      <c r="A2397" s="69"/>
      <c r="B2397" s="24" t="s">
        <v>844</v>
      </c>
      <c r="C2397" s="54">
        <v>46173</v>
      </c>
      <c r="D2397" s="69"/>
      <c r="E2397" s="56" t="s">
        <v>183</v>
      </c>
      <c r="F2397" s="57"/>
    </row>
    <row r="2398" spans="1:10" ht="14.25" customHeight="1" x14ac:dyDescent="0.25">
      <c r="A2398" s="69"/>
      <c r="B2398" s="24" t="s">
        <v>112</v>
      </c>
      <c r="C2398" s="55">
        <f>IF(C2397="","",IF(AND(MONTH(C2397)&gt;=1,MONTH(C2397)&lt;=3),1,IF(AND(MONTH(C2397)&gt;=4,MONTH(C2397)&lt;=6),2,IF(AND(MONTH(C2397)&gt;=7,MONTH(C2397)&lt;=9),3,4))))</f>
        <v>2</v>
      </c>
      <c r="D2398" s="69"/>
      <c r="E2398" s="56" t="s">
        <v>865</v>
      </c>
      <c r="F2398" s="57"/>
    </row>
    <row r="2400" spans="1:10" ht="14.25" customHeight="1" x14ac:dyDescent="0.25">
      <c r="A2400" s="29" t="s">
        <v>1017</v>
      </c>
      <c r="B2400" s="29" t="s">
        <v>1042</v>
      </c>
      <c r="C2400" s="29" t="s">
        <v>1011</v>
      </c>
      <c r="D2400" s="29" t="s">
        <v>985</v>
      </c>
      <c r="E2400" s="29" t="s">
        <v>449</v>
      </c>
      <c r="F2400" s="29" t="s">
        <v>989</v>
      </c>
    </row>
    <row r="2401" spans="1:10" ht="14.25" customHeight="1" x14ac:dyDescent="0.25">
      <c r="A2401" s="25" t="s">
        <v>915</v>
      </c>
      <c r="B2401" s="26" t="str">
        <f ca="1">IFERROR(INDEX(UNSPSCDes,MATCH(INDIRECT(ADDRESS(ROW(),COLUMN()-1,4)),UNSPSCCode,0)),IF(INDIRECT(ADDRESS(ROW(),COLUMN()-1,4))="73151805","Servicios de laminación",""))</f>
        <v>Servicios de laminación</v>
      </c>
      <c r="C2401" s="58" t="str">
        <f>IFERROR(VLOOKUP("UD",'Informacion '!P:Q,2,FALSE),"")</f>
        <v>Unidad</v>
      </c>
      <c r="D2401" s="25">
        <v>35</v>
      </c>
      <c r="E2401" s="28">
        <v>9500</v>
      </c>
      <c r="F2401" s="27">
        <f ca="1">INDIRECT(ADDRESS(ROW(),COLUMN()-2,4))*INDIRECT(ADDRESS(ROW(),COLUMN()-1,4))</f>
        <v>332500</v>
      </c>
    </row>
    <row r="2402" spans="1:10" ht="14.25" customHeight="1" x14ac:dyDescent="0.25">
      <c r="A2402" s="25" t="s">
        <v>915</v>
      </c>
      <c r="B2402" s="26" t="str">
        <f ca="1">IFERROR(INDEX(UNSPSCDes,MATCH(INDIRECT(ADDRESS(ROW(),COLUMN()-1,4)),UNSPSCCode,0)),IF(INDIRECT(ADDRESS(ROW(),COLUMN()-1,4))="73151805","Servicios de laminación",""))</f>
        <v>Servicios de laminación</v>
      </c>
      <c r="C2402" s="58" t="str">
        <f>IFERROR(VLOOKUP("UD",'Informacion '!P:Q,2,FALSE),"")</f>
        <v>Unidad</v>
      </c>
      <c r="D2402" s="25">
        <v>4</v>
      </c>
      <c r="E2402" s="28">
        <v>7000</v>
      </c>
      <c r="F2402" s="27">
        <f ca="1">INDIRECT(ADDRESS(ROW(),COLUMN()-2,4))*INDIRECT(ADDRESS(ROW(),COLUMN()-1,4))</f>
        <v>28000</v>
      </c>
    </row>
    <row r="2403" spans="1:10" ht="14.25" customHeight="1" x14ac:dyDescent="0.25">
      <c r="A2403" s="25" t="s">
        <v>915</v>
      </c>
      <c r="B2403" s="26" t="str">
        <f ca="1">IFERROR(INDEX(UNSPSCDes,MATCH(INDIRECT(ADDRESS(ROW(),COLUMN()-1,4)),UNSPSCCode,0)),IF(INDIRECT(ADDRESS(ROW(),COLUMN()-1,4))="73151805","Servicios de laminación",""))</f>
        <v>Servicios de laminación</v>
      </c>
      <c r="C2403" s="58" t="str">
        <f>IFERROR(VLOOKUP("UD",'Informacion '!P:Q,2,FALSE),"")</f>
        <v>Unidad</v>
      </c>
      <c r="D2403" s="25">
        <v>35</v>
      </c>
      <c r="E2403" s="28">
        <v>400</v>
      </c>
      <c r="F2403" s="27">
        <f ca="1">INDIRECT(ADDRESS(ROW(),COLUMN()-2,4))*INDIRECT(ADDRESS(ROW(),COLUMN()-1,4))</f>
        <v>14000</v>
      </c>
    </row>
    <row r="2404" spans="1:10" ht="14.25" customHeight="1" x14ac:dyDescent="0.25">
      <c r="A2404" s="25" t="s">
        <v>915</v>
      </c>
      <c r="B2404" s="26" t="str">
        <f ca="1">IFERROR(INDEX(UNSPSCDes,MATCH(INDIRECT(ADDRESS(ROW(),COLUMN()-1,4)),UNSPSCCode,0)),IF(INDIRECT(ADDRESS(ROW(),COLUMN()-1,4))="73151805","Servicios de laminación",""))</f>
        <v>Servicios de laminación</v>
      </c>
      <c r="C2404" s="58" t="str">
        <f>IFERROR(VLOOKUP("UD",'Informacion '!P:Q,2,FALSE),"")</f>
        <v>Unidad</v>
      </c>
      <c r="D2404" s="25">
        <v>50</v>
      </c>
      <c r="E2404" s="28">
        <v>12000</v>
      </c>
      <c r="F2404" s="27">
        <f ca="1">INDIRECT(ADDRESS(ROW(),COLUMN()-2,4))*INDIRECT(ADDRESS(ROW(),COLUMN()-1,4))</f>
        <v>600000</v>
      </c>
    </row>
    <row r="2405" spans="1:10" ht="14.25" customHeight="1" x14ac:dyDescent="0.25">
      <c r="E2405" s="30" t="s">
        <v>816</v>
      </c>
      <c r="F2405" s="31">
        <f ca="1">SUM(Table129[MONTO TOTAL ESTIMADO])</f>
        <v>974500</v>
      </c>
      <c r="H2405" s="21" t="str">
        <f>C2394</f>
        <v>Servicios</v>
      </c>
      <c r="I2405" s="21" t="str">
        <f>E2394</f>
        <v>No</v>
      </c>
      <c r="J2405" s="21" t="str">
        <f>D2394</f>
        <v>Compras Menores</v>
      </c>
    </row>
    <row r="2407" spans="1:10" ht="33.950000000000003" customHeight="1" x14ac:dyDescent="0.25">
      <c r="A2407" s="22" t="s">
        <v>1051</v>
      </c>
      <c r="B2407" s="22" t="s">
        <v>11</v>
      </c>
      <c r="C2407" s="22" t="s">
        <v>751</v>
      </c>
      <c r="D2407" s="22" t="s">
        <v>930</v>
      </c>
      <c r="E2407" s="22" t="s">
        <v>699</v>
      </c>
      <c r="F2407" s="22" t="s">
        <v>710</v>
      </c>
    </row>
    <row r="2408" spans="1:10" ht="14.25" customHeight="1" x14ac:dyDescent="0.25">
      <c r="A2408" s="23" t="s">
        <v>970</v>
      </c>
      <c r="B2408" s="23" t="s">
        <v>970</v>
      </c>
      <c r="C2408" s="23" t="s">
        <v>1015</v>
      </c>
      <c r="D2408" s="23" t="s">
        <v>116</v>
      </c>
      <c r="E2408" s="23" t="s">
        <v>1156</v>
      </c>
      <c r="F2408" s="23" t="s">
        <v>436</v>
      </c>
    </row>
    <row r="2409" spans="1:10" ht="14.25" customHeight="1" x14ac:dyDescent="0.25">
      <c r="A2409" s="68" t="s">
        <v>965</v>
      </c>
      <c r="B2409" s="24" t="s">
        <v>543</v>
      </c>
      <c r="C2409" s="54">
        <v>46125</v>
      </c>
      <c r="D2409" s="68" t="s">
        <v>598</v>
      </c>
      <c r="E2409" s="56" t="s">
        <v>858</v>
      </c>
      <c r="F2409" s="57" t="s">
        <v>757</v>
      </c>
    </row>
    <row r="2410" spans="1:10" ht="14.25" customHeight="1" x14ac:dyDescent="0.25">
      <c r="A2410" s="69"/>
      <c r="B2410" s="24" t="s">
        <v>112</v>
      </c>
      <c r="C2410" s="55">
        <f>IF(C2409="","",IF(AND(MONTH(C2409)&gt;=1,MONTH(C2409)&lt;=3),1,IF(AND(MONTH(C2409)&gt;=4,MONTH(C2409)&lt;=6),2,IF(AND(MONTH(C2409)&gt;=7,MONTH(C2409)&lt;=9),3,4))))</f>
        <v>2</v>
      </c>
      <c r="D2410" s="69"/>
      <c r="E2410" s="56" t="s">
        <v>143</v>
      </c>
      <c r="F2410" s="57" t="s">
        <v>1208</v>
      </c>
    </row>
    <row r="2411" spans="1:10" ht="14.25" customHeight="1" x14ac:dyDescent="0.25">
      <c r="A2411" s="69"/>
      <c r="B2411" s="24" t="s">
        <v>844</v>
      </c>
      <c r="C2411" s="54">
        <v>46173</v>
      </c>
      <c r="D2411" s="69"/>
      <c r="E2411" s="56" t="s">
        <v>183</v>
      </c>
      <c r="F2411" s="57"/>
    </row>
    <row r="2412" spans="1:10" ht="14.25" customHeight="1" x14ac:dyDescent="0.25">
      <c r="A2412" s="69"/>
      <c r="B2412" s="24" t="s">
        <v>112</v>
      </c>
      <c r="C2412" s="55">
        <f>IF(C2411="","",IF(AND(MONTH(C2411)&gt;=1,MONTH(C2411)&lt;=3),1,IF(AND(MONTH(C2411)&gt;=4,MONTH(C2411)&lt;=6),2,IF(AND(MONTH(C2411)&gt;=7,MONTH(C2411)&lt;=9),3,4))))</f>
        <v>2</v>
      </c>
      <c r="D2412" s="69"/>
      <c r="E2412" s="56" t="s">
        <v>865</v>
      </c>
      <c r="F2412" s="57"/>
    </row>
    <row r="2414" spans="1:10" ht="14.25" customHeight="1" x14ac:dyDescent="0.25">
      <c r="A2414" s="29" t="s">
        <v>1017</v>
      </c>
      <c r="B2414" s="29" t="s">
        <v>1042</v>
      </c>
      <c r="C2414" s="29" t="s">
        <v>1011</v>
      </c>
      <c r="D2414" s="29" t="s">
        <v>985</v>
      </c>
      <c r="E2414" s="29" t="s">
        <v>449</v>
      </c>
      <c r="F2414" s="29" t="s">
        <v>989</v>
      </c>
    </row>
    <row r="2415" spans="1:10" ht="14.25" customHeight="1" x14ac:dyDescent="0.25">
      <c r="A2415" s="25" t="s">
        <v>460</v>
      </c>
      <c r="B2415" s="26" t="str">
        <f ca="1">IFERROR(INDEX(UNSPSCDes,MATCH(INDIRECT(ADDRESS(ROW(),COLUMN()-1,4)),UNSPSCCode,0)),IF(INDIRECT(ADDRESS(ROW(),COLUMN()-1,4))="80101507","Servicios de asesoramiento sobre tecnologías de la información",""))</f>
        <v>Servicios de asesoramiento sobre tecnologías de la información</v>
      </c>
      <c r="C2415" s="58" t="str">
        <f>IFERROR(VLOOKUP("UD",'Informacion '!P:Q,2,FALSE),"")</f>
        <v>Unidad</v>
      </c>
      <c r="D2415" s="25">
        <v>1</v>
      </c>
      <c r="E2415" s="28">
        <v>5000000</v>
      </c>
      <c r="F2415" s="27">
        <f ca="1">INDIRECT(ADDRESS(ROW(),COLUMN()-2,4))*INDIRECT(ADDRESS(ROW(),COLUMN()-1,4))</f>
        <v>5000000</v>
      </c>
    </row>
    <row r="2416" spans="1:10" ht="14.25" customHeight="1" x14ac:dyDescent="0.25">
      <c r="E2416" s="30" t="s">
        <v>816</v>
      </c>
      <c r="F2416" s="31">
        <f ca="1">SUM(Table130[MONTO TOTAL ESTIMADO])</f>
        <v>5000000</v>
      </c>
      <c r="H2416" s="21" t="str">
        <f>C2408</f>
        <v>Servicios: Consultorías</v>
      </c>
      <c r="I2416" s="21" t="str">
        <f>E2408</f>
        <v>No</v>
      </c>
      <c r="J2416" s="21" t="str">
        <f>D2408</f>
        <v>Comparacion de Precios</v>
      </c>
    </row>
    <row r="2418" spans="1:6" ht="33.950000000000003" customHeight="1" x14ac:dyDescent="0.25">
      <c r="A2418" s="22" t="s">
        <v>1051</v>
      </c>
      <c r="B2418" s="22" t="s">
        <v>11</v>
      </c>
      <c r="C2418" s="22" t="s">
        <v>751</v>
      </c>
      <c r="D2418" s="22" t="s">
        <v>930</v>
      </c>
      <c r="E2418" s="22" t="s">
        <v>699</v>
      </c>
      <c r="F2418" s="22" t="s">
        <v>710</v>
      </c>
    </row>
    <row r="2419" spans="1:6" ht="14.25" customHeight="1" x14ac:dyDescent="0.25">
      <c r="A2419" s="23" t="s">
        <v>975</v>
      </c>
      <c r="B2419" s="23" t="s">
        <v>975</v>
      </c>
      <c r="C2419" s="23" t="s">
        <v>1155</v>
      </c>
      <c r="D2419" s="23" t="s">
        <v>1128</v>
      </c>
      <c r="E2419" s="23" t="s">
        <v>1156</v>
      </c>
      <c r="F2419" s="23" t="s">
        <v>436</v>
      </c>
    </row>
    <row r="2420" spans="1:6" ht="14.25" customHeight="1" x14ac:dyDescent="0.25">
      <c r="A2420" s="68" t="s">
        <v>965</v>
      </c>
      <c r="B2420" s="24" t="s">
        <v>543</v>
      </c>
      <c r="C2420" s="54">
        <v>46240</v>
      </c>
      <c r="D2420" s="68" t="s">
        <v>598</v>
      </c>
      <c r="E2420" s="56" t="s">
        <v>858</v>
      </c>
      <c r="F2420" s="57" t="s">
        <v>184</v>
      </c>
    </row>
    <row r="2421" spans="1:6" ht="14.25" customHeight="1" x14ac:dyDescent="0.25">
      <c r="A2421" s="69"/>
      <c r="B2421" s="24" t="s">
        <v>112</v>
      </c>
      <c r="C2421" s="55">
        <f>IF(C2420="","",IF(AND(MONTH(C2420)&gt;=1,MONTH(C2420)&lt;=3),1,IF(AND(MONTH(C2420)&gt;=4,MONTH(C2420)&lt;=6),2,IF(AND(MONTH(C2420)&gt;=7,MONTH(C2420)&lt;=9),3,4))))</f>
        <v>3</v>
      </c>
      <c r="D2421" s="69"/>
      <c r="E2421" s="56" t="s">
        <v>143</v>
      </c>
      <c r="F2421" s="57"/>
    </row>
    <row r="2422" spans="1:6" ht="14.25" customHeight="1" x14ac:dyDescent="0.25">
      <c r="A2422" s="69"/>
      <c r="B2422" s="24" t="s">
        <v>844</v>
      </c>
      <c r="C2422" s="54">
        <v>46295</v>
      </c>
      <c r="D2422" s="69"/>
      <c r="E2422" s="56" t="s">
        <v>183</v>
      </c>
      <c r="F2422" s="57"/>
    </row>
    <row r="2423" spans="1:6" ht="14.25" customHeight="1" x14ac:dyDescent="0.25">
      <c r="A2423" s="69"/>
      <c r="B2423" s="24" t="s">
        <v>112</v>
      </c>
      <c r="C2423" s="55">
        <f>IF(C2422="","",IF(AND(MONTH(C2422)&gt;=1,MONTH(C2422)&lt;=3),1,IF(AND(MONTH(C2422)&gt;=4,MONTH(C2422)&lt;=6),2,IF(AND(MONTH(C2422)&gt;=7,MONTH(C2422)&lt;=9),3,4))))</f>
        <v>3</v>
      </c>
      <c r="D2423" s="69"/>
      <c r="E2423" s="56" t="s">
        <v>865</v>
      </c>
      <c r="F2423" s="57"/>
    </row>
    <row r="2425" spans="1:6" ht="14.25" customHeight="1" x14ac:dyDescent="0.25">
      <c r="A2425" s="29" t="s">
        <v>1017</v>
      </c>
      <c r="B2425" s="29" t="s">
        <v>1042</v>
      </c>
      <c r="C2425" s="29" t="s">
        <v>1011</v>
      </c>
      <c r="D2425" s="29" t="s">
        <v>985</v>
      </c>
      <c r="E2425" s="29" t="s">
        <v>449</v>
      </c>
      <c r="F2425" s="29" t="s">
        <v>989</v>
      </c>
    </row>
    <row r="2426" spans="1:6" ht="14.25" customHeight="1" x14ac:dyDescent="0.25">
      <c r="A2426" s="25" t="s">
        <v>727</v>
      </c>
      <c r="B2426" s="26" t="str">
        <f ca="1">IFERROR(INDEX(UNSPSCDes,MATCH(INDIRECT(ADDRESS(ROW(),COLUMN()-1,4)),UNSPSCCode,0)),IF(INDIRECT(ADDRESS(ROW(),COLUMN()-1,4))="50161814","Azúcar o sustituto de azúcar, confite",""))</f>
        <v>Azúcar o sustituto de azúcar, confite</v>
      </c>
      <c r="C2426" s="58" t="str">
        <f>IFERROR(VLOOKUP("CAJ",'Informacion '!P:Q,2,FALSE),"")</f>
        <v>Caja</v>
      </c>
      <c r="D2426" s="25">
        <v>50</v>
      </c>
      <c r="E2426" s="28">
        <v>420</v>
      </c>
      <c r="F2426" s="27">
        <f t="shared" ref="F2426:F2449" ca="1" si="79">INDIRECT(ADDRESS(ROW(),COLUMN()-2,4))*INDIRECT(ADDRESS(ROW(),COLUMN()-1,4))</f>
        <v>21000</v>
      </c>
    </row>
    <row r="2427" spans="1:6" ht="14.25" customHeight="1" x14ac:dyDescent="0.25">
      <c r="A2427" s="25" t="s">
        <v>727</v>
      </c>
      <c r="B2427" s="26" t="str">
        <f ca="1">IFERROR(INDEX(UNSPSCDes,MATCH(INDIRECT(ADDRESS(ROW(),COLUMN()-1,4)),UNSPSCCode,0)),IF(INDIRECT(ADDRESS(ROW(),COLUMN()-1,4))="50161814","Azúcar o sustituto de azúcar, confite",""))</f>
        <v>Azúcar o sustituto de azúcar, confite</v>
      </c>
      <c r="C2427" s="58" t="str">
        <f>IFERROR(VLOOKUP("CAJ",'Informacion '!P:Q,2,FALSE),"")</f>
        <v>Caja</v>
      </c>
      <c r="D2427" s="25">
        <v>50</v>
      </c>
      <c r="E2427" s="28">
        <v>300</v>
      </c>
      <c r="F2427" s="27">
        <f t="shared" ca="1" si="79"/>
        <v>15000</v>
      </c>
    </row>
    <row r="2428" spans="1:6" ht="14.25" customHeight="1" x14ac:dyDescent="0.25">
      <c r="A2428" s="25" t="s">
        <v>866</v>
      </c>
      <c r="B2428" s="26" t="str">
        <f ca="1">IFERROR(INDEX(UNSPSCDes,MATCH(INDIRECT(ADDRESS(ROW(),COLUMN()-1,4)),UNSPSCCode,0)),IF(INDIRECT(ADDRESS(ROW(),COLUMN()-1,4))="50201712","Bebidas de té",""))</f>
        <v>Bebidas de té</v>
      </c>
      <c r="C2428" s="58" t="str">
        <f>IFERROR(VLOOKUP("UD",'Informacion '!P:Q,2,FALSE),"")</f>
        <v>Unidad</v>
      </c>
      <c r="D2428" s="25">
        <v>35</v>
      </c>
      <c r="E2428" s="28">
        <v>370</v>
      </c>
      <c r="F2428" s="27">
        <f t="shared" ca="1" si="79"/>
        <v>12950</v>
      </c>
    </row>
    <row r="2429" spans="1:6" ht="14.25" customHeight="1" x14ac:dyDescent="0.25">
      <c r="A2429" s="25" t="s">
        <v>866</v>
      </c>
      <c r="B2429" s="26" t="str">
        <f ca="1">IFERROR(INDEX(UNSPSCDes,MATCH(INDIRECT(ADDRESS(ROW(),COLUMN()-1,4)),UNSPSCCode,0)),IF(INDIRECT(ADDRESS(ROW(),COLUMN()-1,4))="50201712","Bebidas de té",""))</f>
        <v>Bebidas de té</v>
      </c>
      <c r="C2429" s="58" t="str">
        <f>IFERROR(VLOOKUP("UD",'Informacion '!P:Q,2,FALSE),"")</f>
        <v>Unidad</v>
      </c>
      <c r="D2429" s="25">
        <v>35</v>
      </c>
      <c r="E2429" s="28">
        <v>630</v>
      </c>
      <c r="F2429" s="27">
        <f t="shared" ca="1" si="79"/>
        <v>22050</v>
      </c>
    </row>
    <row r="2430" spans="1:6" ht="14.25" customHeight="1" x14ac:dyDescent="0.25">
      <c r="A2430" s="25" t="s">
        <v>614</v>
      </c>
      <c r="B2430" s="26" t="str">
        <f ca="1">IFERROR(INDEX(UNSPSCDes,MATCH(INDIRECT(ADDRESS(ROW(),COLUMN()-1,4)),UNSPSCCode,0)),IF(INDIRECT(ADDRESS(ROW(),COLUMN()-1,4))="50201706","Café",""))</f>
        <v>Café</v>
      </c>
      <c r="C2430" s="58" t="str">
        <f>IFERROR(VLOOKUP("PAQ",'Informacion '!P:Q,2,FALSE),"")</f>
        <v>Paquete</v>
      </c>
      <c r="D2430" s="25">
        <v>2000</v>
      </c>
      <c r="E2430" s="28">
        <v>300</v>
      </c>
      <c r="F2430" s="27">
        <f t="shared" ca="1" si="79"/>
        <v>600000</v>
      </c>
    </row>
    <row r="2431" spans="1:6" ht="14.25" customHeight="1" x14ac:dyDescent="0.25">
      <c r="A2431" s="25" t="s">
        <v>727</v>
      </c>
      <c r="B2431" s="26" t="str">
        <f ca="1">IFERROR(INDEX(UNSPSCDes,MATCH(INDIRECT(ADDRESS(ROW(),COLUMN()-1,4)),UNSPSCCode,0)),IF(INDIRECT(ADDRESS(ROW(),COLUMN()-1,4))="50161814","Azúcar o sustituto de azúcar, confite",""))</f>
        <v>Azúcar o sustituto de azúcar, confite</v>
      </c>
      <c r="C2431" s="58" t="str">
        <f>IFERROR(VLOOKUP("UD",'Informacion '!P:Q,2,FALSE),"")</f>
        <v>Unidad</v>
      </c>
      <c r="D2431" s="25">
        <v>200</v>
      </c>
      <c r="E2431" s="28">
        <v>425</v>
      </c>
      <c r="F2431" s="27">
        <f t="shared" ca="1" si="79"/>
        <v>85000</v>
      </c>
    </row>
    <row r="2432" spans="1:6" ht="14.25" customHeight="1" x14ac:dyDescent="0.25">
      <c r="A2432" s="25" t="s">
        <v>727</v>
      </c>
      <c r="B2432" s="26" t="str">
        <f ca="1">IFERROR(INDEX(UNSPSCDes,MATCH(INDIRECT(ADDRESS(ROW(),COLUMN()-1,4)),UNSPSCCode,0)),IF(INDIRECT(ADDRESS(ROW(),COLUMN()-1,4))="50161814","Azúcar o sustituto de azúcar, confite",""))</f>
        <v>Azúcar o sustituto de azúcar, confite</v>
      </c>
      <c r="C2432" s="58" t="str">
        <f>IFERROR(VLOOKUP("UD",'Informacion '!P:Q,2,FALSE),"")</f>
        <v>Unidad</v>
      </c>
      <c r="D2432" s="25">
        <v>300</v>
      </c>
      <c r="E2432" s="28">
        <v>205</v>
      </c>
      <c r="F2432" s="27">
        <f t="shared" ca="1" si="79"/>
        <v>61500</v>
      </c>
    </row>
    <row r="2433" spans="1:6" ht="14.25" customHeight="1" x14ac:dyDescent="0.25">
      <c r="A2433" s="25" t="s">
        <v>727</v>
      </c>
      <c r="B2433" s="26" t="str">
        <f ca="1">IFERROR(INDEX(UNSPSCDes,MATCH(INDIRECT(ADDRESS(ROW(),COLUMN()-1,4)),UNSPSCCode,0)),IF(INDIRECT(ADDRESS(ROW(),COLUMN()-1,4))="50161814","Azúcar o sustituto de azúcar, confite",""))</f>
        <v>Azúcar o sustituto de azúcar, confite</v>
      </c>
      <c r="C2433" s="58" t="str">
        <f>IFERROR(VLOOKUP("UD",'Informacion '!P:Q,2,FALSE),"")</f>
        <v>Unidad</v>
      </c>
      <c r="D2433" s="25">
        <v>200</v>
      </c>
      <c r="E2433" s="28">
        <v>176</v>
      </c>
      <c r="F2433" s="27">
        <f t="shared" ca="1" si="79"/>
        <v>35200</v>
      </c>
    </row>
    <row r="2434" spans="1:6" ht="14.25" customHeight="1" x14ac:dyDescent="0.25">
      <c r="A2434" s="25" t="s">
        <v>291</v>
      </c>
      <c r="B2434" s="26" t="str">
        <f t="shared" ref="B2434:B2439" ca="1" si="80">IFERROR(INDEX(UNSPSCDes,MATCH(INDIRECT(ADDRESS(ROW(),COLUMN()-1,4)),UNSPSCCode,0)),IF(INDIRECT(ADDRESS(ROW(),COLUMN()-1,4))="50201711","Té instantáneo",""))</f>
        <v>Té instantáneo</v>
      </c>
      <c r="C2434" s="58" t="str">
        <f>IFERROR(VLOOKUP("CAJ",'Informacion '!P:Q,2,FALSE),"")</f>
        <v>Caja</v>
      </c>
      <c r="D2434" s="25">
        <v>15</v>
      </c>
      <c r="E2434" s="28">
        <v>400</v>
      </c>
      <c r="F2434" s="27">
        <f t="shared" ca="1" si="79"/>
        <v>6000</v>
      </c>
    </row>
    <row r="2435" spans="1:6" ht="14.25" customHeight="1" x14ac:dyDescent="0.25">
      <c r="A2435" s="25" t="s">
        <v>291</v>
      </c>
      <c r="B2435" s="26" t="str">
        <f t="shared" ca="1" si="80"/>
        <v>Té instantáneo</v>
      </c>
      <c r="C2435" s="58" t="str">
        <f>IFERROR(VLOOKUP("CAJ",'Informacion '!P:Q,2,FALSE),"")</f>
        <v>Caja</v>
      </c>
      <c r="D2435" s="25">
        <v>15</v>
      </c>
      <c r="E2435" s="28">
        <v>400</v>
      </c>
      <c r="F2435" s="27">
        <f t="shared" ca="1" si="79"/>
        <v>6000</v>
      </c>
    </row>
    <row r="2436" spans="1:6" ht="14.25" customHeight="1" x14ac:dyDescent="0.25">
      <c r="A2436" s="25" t="s">
        <v>291</v>
      </c>
      <c r="B2436" s="26" t="str">
        <f t="shared" ca="1" si="80"/>
        <v>Té instantáneo</v>
      </c>
      <c r="C2436" s="58" t="str">
        <f>IFERROR(VLOOKUP("CAJ",'Informacion '!P:Q,2,FALSE),"")</f>
        <v>Caja</v>
      </c>
      <c r="D2436" s="25">
        <v>15</v>
      </c>
      <c r="E2436" s="28">
        <v>400</v>
      </c>
      <c r="F2436" s="27">
        <f t="shared" ca="1" si="79"/>
        <v>6000</v>
      </c>
    </row>
    <row r="2437" spans="1:6" ht="14.25" customHeight="1" x14ac:dyDescent="0.25">
      <c r="A2437" s="25" t="s">
        <v>291</v>
      </c>
      <c r="B2437" s="26" t="str">
        <f t="shared" ca="1" si="80"/>
        <v>Té instantáneo</v>
      </c>
      <c r="C2437" s="58" t="str">
        <f>IFERROR(VLOOKUP("CAJ",'Informacion '!P:Q,2,FALSE),"")</f>
        <v>Caja</v>
      </c>
      <c r="D2437" s="25">
        <v>15</v>
      </c>
      <c r="E2437" s="28">
        <v>400</v>
      </c>
      <c r="F2437" s="27">
        <f t="shared" ca="1" si="79"/>
        <v>6000</v>
      </c>
    </row>
    <row r="2438" spans="1:6" ht="14.25" customHeight="1" x14ac:dyDescent="0.25">
      <c r="A2438" s="25" t="s">
        <v>291</v>
      </c>
      <c r="B2438" s="26" t="str">
        <f t="shared" ca="1" si="80"/>
        <v>Té instantáneo</v>
      </c>
      <c r="C2438" s="58" t="str">
        <f>IFERROR(VLOOKUP("CAJ",'Informacion '!P:Q,2,FALSE),"")</f>
        <v>Caja</v>
      </c>
      <c r="D2438" s="25">
        <v>15</v>
      </c>
      <c r="E2438" s="28">
        <v>400</v>
      </c>
      <c r="F2438" s="27">
        <f t="shared" ca="1" si="79"/>
        <v>6000</v>
      </c>
    </row>
    <row r="2439" spans="1:6" ht="14.25" customHeight="1" x14ac:dyDescent="0.25">
      <c r="A2439" s="25" t="s">
        <v>291</v>
      </c>
      <c r="B2439" s="26" t="str">
        <f t="shared" ca="1" si="80"/>
        <v>Té instantáneo</v>
      </c>
      <c r="C2439" s="58" t="str">
        <f>IFERROR(VLOOKUP("CAJ",'Informacion '!P:Q,2,FALSE),"")</f>
        <v>Caja</v>
      </c>
      <c r="D2439" s="25">
        <v>15</v>
      </c>
      <c r="E2439" s="28">
        <v>400</v>
      </c>
      <c r="F2439" s="27">
        <f t="shared" ca="1" si="79"/>
        <v>6000</v>
      </c>
    </row>
    <row r="2440" spans="1:6" ht="14.25" customHeight="1" x14ac:dyDescent="0.25">
      <c r="A2440" s="25" t="s">
        <v>1158</v>
      </c>
      <c r="B2440" s="26" t="str">
        <f ca="1">IFERROR(INDEX(UNSPSCDes,MATCH(INDIRECT(ADDRESS(ROW(),COLUMN()-1,4)),UNSPSCCode,0)),IF(INDIRECT(ADDRESS(ROW(),COLUMN()-1,4))="50181905","Galletas de dulce",""))</f>
        <v>Galletas de dulce</v>
      </c>
      <c r="C2440" s="58" t="str">
        <f>IFERROR(VLOOKUP("CAJ",'Informacion '!P:Q,2,FALSE),"")</f>
        <v>Caja</v>
      </c>
      <c r="D2440" s="25">
        <v>75</v>
      </c>
      <c r="E2440" s="28">
        <v>1050</v>
      </c>
      <c r="F2440" s="27">
        <f t="shared" ca="1" si="79"/>
        <v>78750</v>
      </c>
    </row>
    <row r="2441" spans="1:6" ht="14.25" customHeight="1" x14ac:dyDescent="0.25">
      <c r="A2441" s="25" t="s">
        <v>1158</v>
      </c>
      <c r="B2441" s="26" t="str">
        <f ca="1">IFERROR(INDEX(UNSPSCDes,MATCH(INDIRECT(ADDRESS(ROW(),COLUMN()-1,4)),UNSPSCCode,0)),IF(INDIRECT(ADDRESS(ROW(),COLUMN()-1,4))="50181905","Galletas de dulce",""))</f>
        <v>Galletas de dulce</v>
      </c>
      <c r="C2441" s="58" t="str">
        <f>IFERROR(VLOOKUP("CAJ",'Informacion '!P:Q,2,FALSE),"")</f>
        <v>Caja</v>
      </c>
      <c r="D2441" s="25">
        <v>75</v>
      </c>
      <c r="E2441" s="28">
        <v>2000</v>
      </c>
      <c r="F2441" s="27">
        <f t="shared" ca="1" si="79"/>
        <v>150000</v>
      </c>
    </row>
    <row r="2442" spans="1:6" ht="14.25" customHeight="1" x14ac:dyDescent="0.25">
      <c r="A2442" s="25" t="s">
        <v>1158</v>
      </c>
      <c r="B2442" s="26" t="str">
        <f ca="1">IFERROR(INDEX(UNSPSCDes,MATCH(INDIRECT(ADDRESS(ROW(),COLUMN()-1,4)),UNSPSCCode,0)),IF(INDIRECT(ADDRESS(ROW(),COLUMN()-1,4))="50181905","Galletas de dulce",""))</f>
        <v>Galletas de dulce</v>
      </c>
      <c r="C2442" s="58" t="str">
        <f>IFERROR(VLOOKUP("CAJ",'Informacion '!P:Q,2,FALSE),"")</f>
        <v>Caja</v>
      </c>
      <c r="D2442" s="25">
        <v>75</v>
      </c>
      <c r="E2442" s="28">
        <v>2000</v>
      </c>
      <c r="F2442" s="27">
        <f t="shared" ca="1" si="79"/>
        <v>150000</v>
      </c>
    </row>
    <row r="2443" spans="1:6" ht="14.25" customHeight="1" x14ac:dyDescent="0.25">
      <c r="A2443" s="25" t="s">
        <v>395</v>
      </c>
      <c r="B2443" s="26" t="str">
        <f ca="1">IFERROR(INDEX(UNSPSCDes,MATCH(INDIRECT(ADDRESS(ROW(),COLUMN()-1,4)),UNSPSCCode,0)),IF(INDIRECT(ADDRESS(ROW(),COLUMN()-1,4))="50192110","Nueces o fruta disecada",""))</f>
        <v>Nueces o fruta disecada</v>
      </c>
      <c r="C2443" s="58" t="str">
        <f>IFERROR(VLOOKUP("UD",'Informacion '!P:Q,2,FALSE),"")</f>
        <v>Unidad</v>
      </c>
      <c r="D2443" s="25">
        <v>100</v>
      </c>
      <c r="E2443" s="28">
        <v>350</v>
      </c>
      <c r="F2443" s="27">
        <f t="shared" ca="1" si="79"/>
        <v>35000</v>
      </c>
    </row>
    <row r="2444" spans="1:6" ht="14.25" customHeight="1" x14ac:dyDescent="0.25">
      <c r="A2444" s="25" t="s">
        <v>395</v>
      </c>
      <c r="B2444" s="26" t="str">
        <f ca="1">IFERROR(INDEX(UNSPSCDes,MATCH(INDIRECT(ADDRESS(ROW(),COLUMN()-1,4)),UNSPSCCode,0)),IF(INDIRECT(ADDRESS(ROW(),COLUMN()-1,4))="50192110","Nueces o fruta disecada",""))</f>
        <v>Nueces o fruta disecada</v>
      </c>
      <c r="C2444" s="58" t="str">
        <f>IFERROR(VLOOKUP("UD",'Informacion '!P:Q,2,FALSE),"")</f>
        <v>Unidad</v>
      </c>
      <c r="D2444" s="25">
        <v>100</v>
      </c>
      <c r="E2444" s="28">
        <v>1566.67</v>
      </c>
      <c r="F2444" s="27">
        <f t="shared" ca="1" si="79"/>
        <v>156667</v>
      </c>
    </row>
    <row r="2445" spans="1:6" ht="14.25" customHeight="1" x14ac:dyDescent="0.25">
      <c r="A2445" s="25" t="s">
        <v>395</v>
      </c>
      <c r="B2445" s="26" t="str">
        <f ca="1">IFERROR(INDEX(UNSPSCDes,MATCH(INDIRECT(ADDRESS(ROW(),COLUMN()-1,4)),UNSPSCCode,0)),IF(INDIRECT(ADDRESS(ROW(),COLUMN()-1,4))="50192110","Nueces o fruta disecada",""))</f>
        <v>Nueces o fruta disecada</v>
      </c>
      <c r="C2445" s="58" t="str">
        <f>IFERROR(VLOOKUP("UD",'Informacion '!P:Q,2,FALSE),"")</f>
        <v>Unidad</v>
      </c>
      <c r="D2445" s="25">
        <v>100</v>
      </c>
      <c r="E2445" s="28">
        <v>1166.67</v>
      </c>
      <c r="F2445" s="27">
        <f t="shared" ca="1" si="79"/>
        <v>116667</v>
      </c>
    </row>
    <row r="2446" spans="1:6" ht="14.25" customHeight="1" x14ac:dyDescent="0.25">
      <c r="A2446" s="25" t="s">
        <v>395</v>
      </c>
      <c r="B2446" s="26" t="str">
        <f ca="1">IFERROR(INDEX(UNSPSCDes,MATCH(INDIRECT(ADDRESS(ROW(),COLUMN()-1,4)),UNSPSCCode,0)),IF(INDIRECT(ADDRESS(ROW(),COLUMN()-1,4))="50192110","Nueces o fruta disecada",""))</f>
        <v>Nueces o fruta disecada</v>
      </c>
      <c r="C2446" s="58" t="str">
        <f>IFERROR(VLOOKUP("UD",'Informacion '!P:Q,2,FALSE),"")</f>
        <v>Unidad</v>
      </c>
      <c r="D2446" s="25">
        <v>100</v>
      </c>
      <c r="E2446" s="28">
        <v>933.33</v>
      </c>
      <c r="F2446" s="27">
        <f t="shared" ca="1" si="79"/>
        <v>93333</v>
      </c>
    </row>
    <row r="2447" spans="1:6" ht="14.25" customHeight="1" x14ac:dyDescent="0.25">
      <c r="A2447" s="25" t="s">
        <v>395</v>
      </c>
      <c r="B2447" s="26" t="str">
        <f ca="1">IFERROR(INDEX(UNSPSCDes,MATCH(INDIRECT(ADDRESS(ROW(),COLUMN()-1,4)),UNSPSCCode,0)),IF(INDIRECT(ADDRESS(ROW(),COLUMN()-1,4))="50192110","Nueces o fruta disecada",""))</f>
        <v>Nueces o fruta disecada</v>
      </c>
      <c r="C2447" s="58" t="str">
        <f>IFERROR(VLOOKUP("CAJ",'Informacion '!P:Q,2,FALSE),"")</f>
        <v>Caja</v>
      </c>
      <c r="D2447" s="25">
        <v>100</v>
      </c>
      <c r="E2447" s="28">
        <v>333.33</v>
      </c>
      <c r="F2447" s="27">
        <f t="shared" ca="1" si="79"/>
        <v>33333</v>
      </c>
    </row>
    <row r="2448" spans="1:6" ht="14.25" customHeight="1" x14ac:dyDescent="0.25">
      <c r="A2448" s="25" t="s">
        <v>147</v>
      </c>
      <c r="B2448" s="26" t="str">
        <f ca="1">IFERROR(INDEX(UNSPSCDes,MATCH(INDIRECT(ADDRESS(ROW(),COLUMN()-1,4)),UNSPSCCode,0)),IF(INDIRECT(ADDRESS(ROW(),COLUMN()-1,4))="50181909","Galletas de soda",""))</f>
        <v>Galletas de soda</v>
      </c>
      <c r="C2448" s="58" t="str">
        <f>IFERROR(VLOOKUP("PAQ",'Informacion '!P:Q,2,FALSE),"")</f>
        <v>Paquete</v>
      </c>
      <c r="D2448" s="25">
        <v>75</v>
      </c>
      <c r="E2448" s="28">
        <v>200</v>
      </c>
      <c r="F2448" s="27">
        <f t="shared" ca="1" si="79"/>
        <v>15000</v>
      </c>
    </row>
    <row r="2449" spans="1:10" ht="14.25" customHeight="1" x14ac:dyDescent="0.25">
      <c r="A2449" s="25" t="s">
        <v>395</v>
      </c>
      <c r="B2449" s="26" t="str">
        <f ca="1">IFERROR(INDEX(UNSPSCDes,MATCH(INDIRECT(ADDRESS(ROW(),COLUMN()-1,4)),UNSPSCCode,0)),IF(INDIRECT(ADDRESS(ROW(),COLUMN()-1,4))="50192110","Nueces o fruta disecada",""))</f>
        <v>Nueces o fruta disecada</v>
      </c>
      <c r="C2449" s="58" t="str">
        <f>IFERROR(VLOOKUP("CAJ",'Informacion '!P:Q,2,FALSE),"")</f>
        <v>Caja</v>
      </c>
      <c r="D2449" s="25">
        <v>100</v>
      </c>
      <c r="E2449" s="28">
        <v>1100</v>
      </c>
      <c r="F2449" s="27">
        <f t="shared" ca="1" si="79"/>
        <v>110000</v>
      </c>
    </row>
    <row r="2450" spans="1:10" ht="14.25" customHeight="1" x14ac:dyDescent="0.25">
      <c r="E2450" s="30" t="s">
        <v>816</v>
      </c>
      <c r="F2450" s="31">
        <f ca="1">SUM(Table131[MONTO TOTAL ESTIMADO])</f>
        <v>1827450</v>
      </c>
      <c r="H2450" s="21" t="str">
        <f>C2419</f>
        <v>Bienes</v>
      </c>
      <c r="I2450" s="21" t="str">
        <f>E2419</f>
        <v>No</v>
      </c>
      <c r="J2450" s="21" t="str">
        <f>D2419</f>
        <v>Compras Menores</v>
      </c>
    </row>
    <row r="2452" spans="1:10" ht="33.950000000000003" customHeight="1" x14ac:dyDescent="0.25">
      <c r="A2452" s="22" t="s">
        <v>1051</v>
      </c>
      <c r="B2452" s="22" t="s">
        <v>11</v>
      </c>
      <c r="C2452" s="22" t="s">
        <v>751</v>
      </c>
      <c r="D2452" s="22" t="s">
        <v>930</v>
      </c>
      <c r="E2452" s="22" t="s">
        <v>699</v>
      </c>
      <c r="F2452" s="22" t="s">
        <v>710</v>
      </c>
    </row>
    <row r="2453" spans="1:10" ht="14.25" customHeight="1" x14ac:dyDescent="0.25">
      <c r="A2453" s="23" t="s">
        <v>437</v>
      </c>
      <c r="B2453" s="23" t="s">
        <v>437</v>
      </c>
      <c r="C2453" s="23" t="s">
        <v>1155</v>
      </c>
      <c r="D2453" s="23" t="s">
        <v>654</v>
      </c>
      <c r="E2453" s="23" t="s">
        <v>1156</v>
      </c>
      <c r="F2453" s="23" t="s">
        <v>436</v>
      </c>
    </row>
    <row r="2454" spans="1:10" ht="14.25" customHeight="1" x14ac:dyDescent="0.25">
      <c r="A2454" s="68" t="s">
        <v>965</v>
      </c>
      <c r="B2454" s="24" t="s">
        <v>543</v>
      </c>
      <c r="C2454" s="54">
        <v>46240</v>
      </c>
      <c r="D2454" s="68" t="s">
        <v>598</v>
      </c>
      <c r="E2454" s="56" t="s">
        <v>858</v>
      </c>
      <c r="F2454" s="57" t="s">
        <v>184</v>
      </c>
    </row>
    <row r="2455" spans="1:10" ht="14.25" customHeight="1" x14ac:dyDescent="0.25">
      <c r="A2455" s="69"/>
      <c r="B2455" s="24" t="s">
        <v>112</v>
      </c>
      <c r="C2455" s="55">
        <f>IF(C2454="","",IF(AND(MONTH(C2454)&gt;=1,MONTH(C2454)&lt;=3),1,IF(AND(MONTH(C2454)&gt;=4,MONTH(C2454)&lt;=6),2,IF(AND(MONTH(C2454)&gt;=7,MONTH(C2454)&lt;=9),3,4))))</f>
        <v>3</v>
      </c>
      <c r="D2455" s="69"/>
      <c r="E2455" s="56" t="s">
        <v>143</v>
      </c>
      <c r="F2455" s="57"/>
    </row>
    <row r="2456" spans="1:10" ht="14.25" customHeight="1" x14ac:dyDescent="0.25">
      <c r="A2456" s="69"/>
      <c r="B2456" s="24" t="s">
        <v>844</v>
      </c>
      <c r="C2456" s="54">
        <v>46295</v>
      </c>
      <c r="D2456" s="69"/>
      <c r="E2456" s="56" t="s">
        <v>183</v>
      </c>
      <c r="F2456" s="57"/>
    </row>
    <row r="2457" spans="1:10" ht="14.25" customHeight="1" x14ac:dyDescent="0.25">
      <c r="A2457" s="69"/>
      <c r="B2457" s="24" t="s">
        <v>112</v>
      </c>
      <c r="C2457" s="55">
        <f>IF(C2456="","",IF(AND(MONTH(C2456)&gt;=1,MONTH(C2456)&lt;=3),1,IF(AND(MONTH(C2456)&gt;=4,MONTH(C2456)&lt;=6),2,IF(AND(MONTH(C2456)&gt;=7,MONTH(C2456)&lt;=9),3,4))))</f>
        <v>3</v>
      </c>
      <c r="D2457" s="69"/>
      <c r="E2457" s="56" t="s">
        <v>865</v>
      </c>
      <c r="F2457" s="57"/>
    </row>
    <row r="2459" spans="1:10" ht="14.25" customHeight="1" x14ac:dyDescent="0.25">
      <c r="A2459" s="29" t="s">
        <v>1017</v>
      </c>
      <c r="B2459" s="29" t="s">
        <v>1042</v>
      </c>
      <c r="C2459" s="29" t="s">
        <v>1011</v>
      </c>
      <c r="D2459" s="29" t="s">
        <v>985</v>
      </c>
      <c r="E2459" s="29" t="s">
        <v>449</v>
      </c>
      <c r="F2459" s="29" t="s">
        <v>989</v>
      </c>
    </row>
    <row r="2460" spans="1:10" ht="14.25" customHeight="1" x14ac:dyDescent="0.25">
      <c r="A2460" s="25" t="s">
        <v>67</v>
      </c>
      <c r="B2460" s="26" t="str">
        <f ca="1">IFERROR(INDEX(UNSPSCDes,MATCH(INDIRECT(ADDRESS(ROW(),COLUMN()-1,4)),UNSPSCCode,0)),IF(INDIRECT(ADDRESS(ROW(),COLUMN()-1,4))="10161707","Arreglo de flores cortadas",""))</f>
        <v>Arreglo de flores cortadas</v>
      </c>
      <c r="C2460" s="58" t="str">
        <f>IFERROR(VLOOKUP("UD",'Informacion '!P:Q,2,FALSE),"")</f>
        <v>Unidad</v>
      </c>
      <c r="D2460" s="25">
        <v>1</v>
      </c>
      <c r="E2460" s="28">
        <v>50000</v>
      </c>
      <c r="F2460" s="27">
        <f ca="1">INDIRECT(ADDRESS(ROW(),COLUMN()-2,4))*INDIRECT(ADDRESS(ROW(),COLUMN()-1,4))</f>
        <v>50000</v>
      </c>
    </row>
    <row r="2461" spans="1:10" ht="14.25" customHeight="1" x14ac:dyDescent="0.25">
      <c r="E2461" s="30" t="s">
        <v>816</v>
      </c>
      <c r="F2461" s="31">
        <f ca="1">SUM(Table132[MONTO TOTAL ESTIMADO])</f>
        <v>50000</v>
      </c>
      <c r="H2461" s="21" t="str">
        <f>C2453</f>
        <v>Bienes</v>
      </c>
      <c r="I2461" s="21" t="str">
        <f>E2453</f>
        <v>No</v>
      </c>
      <c r="J2461" s="21" t="str">
        <f>D2453</f>
        <v>Compras por debajo del Umbral</v>
      </c>
    </row>
    <row r="2463" spans="1:10" ht="33.950000000000003" customHeight="1" x14ac:dyDescent="0.25">
      <c r="A2463" s="22" t="s">
        <v>1051</v>
      </c>
      <c r="B2463" s="22" t="s">
        <v>11</v>
      </c>
      <c r="C2463" s="22" t="s">
        <v>751</v>
      </c>
      <c r="D2463" s="22" t="s">
        <v>930</v>
      </c>
      <c r="E2463" s="22" t="s">
        <v>699</v>
      </c>
      <c r="F2463" s="22" t="s">
        <v>710</v>
      </c>
    </row>
    <row r="2464" spans="1:10" ht="14.25" customHeight="1" x14ac:dyDescent="0.25">
      <c r="A2464" s="23" t="s">
        <v>1118</v>
      </c>
      <c r="B2464" s="23" t="s">
        <v>1118</v>
      </c>
      <c r="C2464" s="23" t="s">
        <v>1015</v>
      </c>
      <c r="D2464" s="23" t="s">
        <v>116</v>
      </c>
      <c r="E2464" s="23" t="s">
        <v>1156</v>
      </c>
      <c r="F2464" s="23" t="s">
        <v>436</v>
      </c>
    </row>
    <row r="2465" spans="1:10" ht="14.25" customHeight="1" x14ac:dyDescent="0.25">
      <c r="A2465" s="68" t="s">
        <v>965</v>
      </c>
      <c r="B2465" s="24" t="s">
        <v>543</v>
      </c>
      <c r="C2465" s="54">
        <v>46118</v>
      </c>
      <c r="D2465" s="68" t="s">
        <v>598</v>
      </c>
      <c r="E2465" s="56" t="s">
        <v>858</v>
      </c>
      <c r="F2465" s="57" t="s">
        <v>184</v>
      </c>
    </row>
    <row r="2466" spans="1:10" ht="14.25" customHeight="1" x14ac:dyDescent="0.25">
      <c r="A2466" s="69"/>
      <c r="B2466" s="24" t="s">
        <v>112</v>
      </c>
      <c r="C2466" s="55">
        <f>IF(C2465="","",IF(AND(MONTH(C2465)&gt;=1,MONTH(C2465)&lt;=3),1,IF(AND(MONTH(C2465)&gt;=4,MONTH(C2465)&lt;=6),2,IF(AND(MONTH(C2465)&gt;=7,MONTH(C2465)&lt;=9),3,4))))</f>
        <v>2</v>
      </c>
      <c r="D2466" s="69"/>
      <c r="E2466" s="56" t="s">
        <v>143</v>
      </c>
      <c r="F2466" s="57"/>
    </row>
    <row r="2467" spans="1:10" ht="14.25" customHeight="1" x14ac:dyDescent="0.25">
      <c r="A2467" s="69"/>
      <c r="B2467" s="24" t="s">
        <v>844</v>
      </c>
      <c r="C2467" s="54">
        <v>46173</v>
      </c>
      <c r="D2467" s="69"/>
      <c r="E2467" s="56" t="s">
        <v>183</v>
      </c>
      <c r="F2467" s="57"/>
    </row>
    <row r="2468" spans="1:10" ht="14.25" customHeight="1" x14ac:dyDescent="0.25">
      <c r="A2468" s="69"/>
      <c r="B2468" s="24" t="s">
        <v>112</v>
      </c>
      <c r="C2468" s="55">
        <f>IF(C2467="","",IF(AND(MONTH(C2467)&gt;=1,MONTH(C2467)&lt;=3),1,IF(AND(MONTH(C2467)&gt;=4,MONTH(C2467)&lt;=6),2,IF(AND(MONTH(C2467)&gt;=7,MONTH(C2467)&lt;=9),3,4))))</f>
        <v>2</v>
      </c>
      <c r="D2468" s="69"/>
      <c r="E2468" s="56" t="s">
        <v>865</v>
      </c>
      <c r="F2468" s="57"/>
    </row>
    <row r="2470" spans="1:10" ht="14.25" customHeight="1" x14ac:dyDescent="0.25">
      <c r="A2470" s="29" t="s">
        <v>1017</v>
      </c>
      <c r="B2470" s="29" t="s">
        <v>1042</v>
      </c>
      <c r="C2470" s="29" t="s">
        <v>1011</v>
      </c>
      <c r="D2470" s="29" t="s">
        <v>985</v>
      </c>
      <c r="E2470" s="29" t="s">
        <v>449</v>
      </c>
      <c r="F2470" s="29" t="s">
        <v>989</v>
      </c>
    </row>
    <row r="2471" spans="1:10" ht="14.25" customHeight="1" x14ac:dyDescent="0.25">
      <c r="A2471" s="25" t="s">
        <v>664</v>
      </c>
      <c r="B2471" s="26" t="str">
        <f ca="1">IFERROR(INDEX(UNSPSCDes,MATCH(INDIRECT(ADDRESS(ROW(),COLUMN()-1,4)),UNSPSCCode,0)),IF(INDIRECT(ADDRESS(ROW(),COLUMN()-1,4))="80101508","Servicios de asesoramiento sobre  inteligencia empresarial",""))</f>
        <v>Servicios de asesoramiento sobre  inteligencia empresarial</v>
      </c>
      <c r="C2471" s="58" t="str">
        <f>IFERROR(VLOOKUP("UD",'Informacion '!P:Q,2,FALSE),"")</f>
        <v>Unidad</v>
      </c>
      <c r="D2471" s="25">
        <v>1</v>
      </c>
      <c r="E2471" s="28">
        <v>5500000</v>
      </c>
      <c r="F2471" s="27">
        <f ca="1">INDIRECT(ADDRESS(ROW(),COLUMN()-2,4))*INDIRECT(ADDRESS(ROW(),COLUMN()-1,4))</f>
        <v>5500000</v>
      </c>
    </row>
    <row r="2472" spans="1:10" ht="14.25" customHeight="1" x14ac:dyDescent="0.25">
      <c r="E2472" s="30" t="s">
        <v>816</v>
      </c>
      <c r="F2472" s="31">
        <f ca="1">SUM(Table133[MONTO TOTAL ESTIMADO])</f>
        <v>5500000</v>
      </c>
      <c r="H2472" s="21" t="str">
        <f>C2464</f>
        <v>Servicios: Consultorías</v>
      </c>
      <c r="I2472" s="21" t="str">
        <f>E2464</f>
        <v>No</v>
      </c>
      <c r="J2472" s="21" t="str">
        <f>D2464</f>
        <v>Comparacion de Precios</v>
      </c>
    </row>
    <row r="2474" spans="1:10" ht="33.950000000000003" customHeight="1" x14ac:dyDescent="0.25">
      <c r="A2474" s="22" t="s">
        <v>1051</v>
      </c>
      <c r="B2474" s="22" t="s">
        <v>11</v>
      </c>
      <c r="C2474" s="22" t="s">
        <v>751</v>
      </c>
      <c r="D2474" s="22" t="s">
        <v>930</v>
      </c>
      <c r="E2474" s="22" t="s">
        <v>699</v>
      </c>
      <c r="F2474" s="22" t="s">
        <v>710</v>
      </c>
    </row>
    <row r="2475" spans="1:10" ht="14.25" customHeight="1" x14ac:dyDescent="0.25">
      <c r="A2475" s="23" t="s">
        <v>582</v>
      </c>
      <c r="B2475" s="23" t="s">
        <v>582</v>
      </c>
      <c r="C2475" s="23" t="s">
        <v>1155</v>
      </c>
      <c r="D2475" s="23" t="s">
        <v>116</v>
      </c>
      <c r="E2475" s="23" t="s">
        <v>1156</v>
      </c>
      <c r="F2475" s="23" t="s">
        <v>436</v>
      </c>
    </row>
    <row r="2476" spans="1:10" ht="14.25" customHeight="1" x14ac:dyDescent="0.25">
      <c r="A2476" s="68" t="s">
        <v>965</v>
      </c>
      <c r="B2476" s="24" t="s">
        <v>543</v>
      </c>
      <c r="C2476" s="54">
        <v>46118</v>
      </c>
      <c r="D2476" s="68" t="s">
        <v>598</v>
      </c>
      <c r="E2476" s="56" t="s">
        <v>858</v>
      </c>
      <c r="F2476" s="57" t="s">
        <v>184</v>
      </c>
    </row>
    <row r="2477" spans="1:10" ht="14.25" customHeight="1" x14ac:dyDescent="0.25">
      <c r="A2477" s="69"/>
      <c r="B2477" s="24" t="s">
        <v>112</v>
      </c>
      <c r="C2477" s="55">
        <f>IF(C2476="","",IF(AND(MONTH(C2476)&gt;=1,MONTH(C2476)&lt;=3),1,IF(AND(MONTH(C2476)&gt;=4,MONTH(C2476)&lt;=6),2,IF(AND(MONTH(C2476)&gt;=7,MONTH(C2476)&lt;=9),3,4))))</f>
        <v>2</v>
      </c>
      <c r="D2477" s="69"/>
      <c r="E2477" s="56" t="s">
        <v>143</v>
      </c>
      <c r="F2477" s="57"/>
    </row>
    <row r="2478" spans="1:10" ht="14.25" customHeight="1" x14ac:dyDescent="0.25">
      <c r="A2478" s="69"/>
      <c r="B2478" s="24" t="s">
        <v>844</v>
      </c>
      <c r="C2478" s="54">
        <v>46173</v>
      </c>
      <c r="D2478" s="69"/>
      <c r="E2478" s="56" t="s">
        <v>183</v>
      </c>
      <c r="F2478" s="57"/>
    </row>
    <row r="2479" spans="1:10" ht="14.25" customHeight="1" x14ac:dyDescent="0.25">
      <c r="A2479" s="69"/>
      <c r="B2479" s="24" t="s">
        <v>112</v>
      </c>
      <c r="C2479" s="55">
        <f>IF(C2478="","",IF(AND(MONTH(C2478)&gt;=1,MONTH(C2478)&lt;=3),1,IF(AND(MONTH(C2478)&gt;=4,MONTH(C2478)&lt;=6),2,IF(AND(MONTH(C2478)&gt;=7,MONTH(C2478)&lt;=9),3,4))))</f>
        <v>2</v>
      </c>
      <c r="D2479" s="69"/>
      <c r="E2479" s="56" t="s">
        <v>865</v>
      </c>
      <c r="F2479" s="57"/>
    </row>
    <row r="2481" spans="1:10" ht="14.25" customHeight="1" x14ac:dyDescent="0.25">
      <c r="A2481" s="29" t="s">
        <v>1017</v>
      </c>
      <c r="B2481" s="29" t="s">
        <v>1042</v>
      </c>
      <c r="C2481" s="29" t="s">
        <v>1011</v>
      </c>
      <c r="D2481" s="29" t="s">
        <v>985</v>
      </c>
      <c r="E2481" s="29" t="s">
        <v>449</v>
      </c>
      <c r="F2481" s="29" t="s">
        <v>989</v>
      </c>
    </row>
    <row r="2482" spans="1:10" ht="14.25" customHeight="1" x14ac:dyDescent="0.25">
      <c r="A2482" s="25" t="s">
        <v>917</v>
      </c>
      <c r="B2482" s="26" t="str">
        <f ca="1">IFERROR(INDEX(UNSPSCDes,MATCH(INDIRECT(ADDRESS(ROW(),COLUMN()-1,4)),UNSPSCCode,0)),IF(INDIRECT(ADDRESS(ROW(),COLUMN()-1,4))="24102004","Estanterías para almacenaje",""))</f>
        <v>Estanterías para almacenaje</v>
      </c>
      <c r="C2482" s="58" t="str">
        <f>IFERROR(VLOOKUP("UD",'Informacion '!P:Q,2,FALSE),"")</f>
        <v>Unidad</v>
      </c>
      <c r="D2482" s="25">
        <v>1</v>
      </c>
      <c r="E2482" s="28">
        <v>2000000</v>
      </c>
      <c r="F2482" s="27">
        <f ca="1">INDIRECT(ADDRESS(ROW(),COLUMN()-2,4))*INDIRECT(ADDRESS(ROW(),COLUMN()-1,4))</f>
        <v>2000000</v>
      </c>
    </row>
    <row r="2483" spans="1:10" ht="14.25" customHeight="1" x14ac:dyDescent="0.25">
      <c r="E2483" s="30" t="s">
        <v>816</v>
      </c>
      <c r="F2483" s="31">
        <f ca="1">SUM(Table134[MONTO TOTAL ESTIMADO])</f>
        <v>2000000</v>
      </c>
      <c r="H2483" s="21" t="str">
        <f>C2475</f>
        <v>Bienes</v>
      </c>
      <c r="I2483" s="21" t="str">
        <f>E2475</f>
        <v>No</v>
      </c>
      <c r="J2483" s="21" t="str">
        <f>D2475</f>
        <v>Comparacion de Precios</v>
      </c>
    </row>
    <row r="2485" spans="1:10" ht="33.950000000000003" customHeight="1" x14ac:dyDescent="0.25">
      <c r="A2485" s="22" t="s">
        <v>1051</v>
      </c>
      <c r="B2485" s="22" t="s">
        <v>11</v>
      </c>
      <c r="C2485" s="22" t="s">
        <v>751</v>
      </c>
      <c r="D2485" s="22" t="s">
        <v>930</v>
      </c>
      <c r="E2485" s="22" t="s">
        <v>699</v>
      </c>
      <c r="F2485" s="22" t="s">
        <v>710</v>
      </c>
    </row>
    <row r="2486" spans="1:10" ht="14.25" customHeight="1" x14ac:dyDescent="0.25">
      <c r="A2486" s="23" t="s">
        <v>403</v>
      </c>
      <c r="B2486" s="23" t="s">
        <v>403</v>
      </c>
      <c r="C2486" s="23" t="s">
        <v>1155</v>
      </c>
      <c r="D2486" s="23" t="s">
        <v>1128</v>
      </c>
      <c r="E2486" s="23" t="s">
        <v>561</v>
      </c>
      <c r="F2486" s="23" t="s">
        <v>436</v>
      </c>
    </row>
    <row r="2487" spans="1:10" ht="14.25" customHeight="1" x14ac:dyDescent="0.25">
      <c r="A2487" s="68" t="s">
        <v>965</v>
      </c>
      <c r="B2487" s="24" t="s">
        <v>543</v>
      </c>
      <c r="C2487" s="54">
        <v>46084</v>
      </c>
      <c r="D2487" s="68" t="s">
        <v>598</v>
      </c>
      <c r="E2487" s="56" t="s">
        <v>858</v>
      </c>
      <c r="F2487" s="57" t="s">
        <v>184</v>
      </c>
    </row>
    <row r="2488" spans="1:10" ht="14.25" customHeight="1" x14ac:dyDescent="0.25">
      <c r="A2488" s="69"/>
      <c r="B2488" s="24" t="s">
        <v>112</v>
      </c>
      <c r="C2488" s="55">
        <f>IF(C2487="","",IF(AND(MONTH(C2487)&gt;=1,MONTH(C2487)&lt;=3),1,IF(AND(MONTH(C2487)&gt;=4,MONTH(C2487)&lt;=6),2,IF(AND(MONTH(C2487)&gt;=7,MONTH(C2487)&lt;=9),3,4))))</f>
        <v>1</v>
      </c>
      <c r="D2488" s="69"/>
      <c r="E2488" s="56" t="s">
        <v>143</v>
      </c>
      <c r="F2488" s="57"/>
    </row>
    <row r="2489" spans="1:10" ht="14.25" customHeight="1" x14ac:dyDescent="0.25">
      <c r="A2489" s="69"/>
      <c r="B2489" s="24" t="s">
        <v>844</v>
      </c>
      <c r="C2489" s="54">
        <v>46112</v>
      </c>
      <c r="D2489" s="69"/>
      <c r="E2489" s="56" t="s">
        <v>183</v>
      </c>
      <c r="F2489" s="57"/>
    </row>
    <row r="2490" spans="1:10" ht="14.25" customHeight="1" x14ac:dyDescent="0.25">
      <c r="A2490" s="69"/>
      <c r="B2490" s="24" t="s">
        <v>112</v>
      </c>
      <c r="C2490" s="55">
        <f>IF(C2489="","",IF(AND(MONTH(C2489)&gt;=1,MONTH(C2489)&lt;=3),1,IF(AND(MONTH(C2489)&gt;=4,MONTH(C2489)&lt;=6),2,IF(AND(MONTH(C2489)&gt;=7,MONTH(C2489)&lt;=9),3,4))))</f>
        <v>1</v>
      </c>
      <c r="D2490" s="69"/>
      <c r="E2490" s="56" t="s">
        <v>865</v>
      </c>
      <c r="F2490" s="57"/>
    </row>
    <row r="2492" spans="1:10" ht="14.25" customHeight="1" x14ac:dyDescent="0.25">
      <c r="A2492" s="29" t="s">
        <v>1017</v>
      </c>
      <c r="B2492" s="29" t="s">
        <v>1042</v>
      </c>
      <c r="C2492" s="29" t="s">
        <v>1011</v>
      </c>
      <c r="D2492" s="29" t="s">
        <v>985</v>
      </c>
      <c r="E2492" s="29" t="s">
        <v>449</v>
      </c>
      <c r="F2492" s="29" t="s">
        <v>989</v>
      </c>
    </row>
    <row r="2493" spans="1:10" ht="14.25" customHeight="1" x14ac:dyDescent="0.25">
      <c r="A2493" s="25" t="s">
        <v>25</v>
      </c>
      <c r="B2493" s="26" t="str">
        <f ca="1">IFERROR(INDEX(UNSPSCDes,MATCH(INDIRECT(ADDRESS(ROW(),COLUMN()-1,4)),UNSPSCCode,0)),IF(INDIRECT(ADDRESS(ROW(),COLUMN()-1,4))="41103311","Manómetros",""))</f>
        <v>Manómetros</v>
      </c>
      <c r="C2493" s="58" t="str">
        <f>IFERROR(VLOOKUP("UD",'Informacion '!P:Q,2,FALSE),"")</f>
        <v>Unidad</v>
      </c>
      <c r="D2493" s="25">
        <v>2</v>
      </c>
      <c r="E2493" s="28">
        <v>18000</v>
      </c>
      <c r="F2493" s="27">
        <f t="shared" ref="F2493:F2505" ca="1" si="81">INDIRECT(ADDRESS(ROW(),COLUMN()-2,4))*INDIRECT(ADDRESS(ROW(),COLUMN()-1,4))</f>
        <v>36000</v>
      </c>
    </row>
    <row r="2494" spans="1:10" ht="14.25" customHeight="1" x14ac:dyDescent="0.25">
      <c r="A2494" s="25" t="s">
        <v>25</v>
      </c>
      <c r="B2494" s="26" t="str">
        <f ca="1">IFERROR(INDEX(UNSPSCDes,MATCH(INDIRECT(ADDRESS(ROW(),COLUMN()-1,4)),UNSPSCCode,0)),IF(INDIRECT(ADDRESS(ROW(),COLUMN()-1,4))="41103311","Manómetros",""))</f>
        <v>Manómetros</v>
      </c>
      <c r="C2494" s="58" t="str">
        <f>IFERROR(VLOOKUP("UD",'Informacion '!P:Q,2,FALSE),"")</f>
        <v>Unidad</v>
      </c>
      <c r="D2494" s="25">
        <v>4</v>
      </c>
      <c r="E2494" s="28">
        <v>6000</v>
      </c>
      <c r="F2494" s="27">
        <f t="shared" ca="1" si="81"/>
        <v>24000</v>
      </c>
    </row>
    <row r="2495" spans="1:10" ht="14.25" customHeight="1" x14ac:dyDescent="0.25">
      <c r="A2495" s="25" t="s">
        <v>402</v>
      </c>
      <c r="B2495" s="26" t="str">
        <f ca="1">IFERROR(INDEX(UNSPSCDes,MATCH(INDIRECT(ADDRESS(ROW(),COLUMN()-1,4)),UNSPSCCode,0)),IF(INDIRECT(ADDRESS(ROW(),COLUMN()-1,4))="12142105","Gas refrigerante ",""))</f>
        <v xml:space="preserve">Gas refrigerante </v>
      </c>
      <c r="C2495" s="58" t="str">
        <f>IFERROR(VLOOKUP("UD",'Informacion '!P:Q,2,FALSE),"")</f>
        <v>Unidad</v>
      </c>
      <c r="D2495" s="25">
        <v>20</v>
      </c>
      <c r="E2495" s="28">
        <v>12000</v>
      </c>
      <c r="F2495" s="27">
        <f t="shared" ca="1" si="81"/>
        <v>240000</v>
      </c>
    </row>
    <row r="2496" spans="1:10" ht="14.25" customHeight="1" x14ac:dyDescent="0.25">
      <c r="A2496" s="25" t="s">
        <v>402</v>
      </c>
      <c r="B2496" s="26" t="str">
        <f ca="1">IFERROR(INDEX(UNSPSCDes,MATCH(INDIRECT(ADDRESS(ROW(),COLUMN()-1,4)),UNSPSCCode,0)),IF(INDIRECT(ADDRESS(ROW(),COLUMN()-1,4))="12142105","Gas refrigerante ",""))</f>
        <v xml:space="preserve">Gas refrigerante </v>
      </c>
      <c r="C2496" s="58" t="str">
        <f>IFERROR(VLOOKUP("UD",'Informacion '!P:Q,2,FALSE),"")</f>
        <v>Unidad</v>
      </c>
      <c r="D2496" s="25">
        <v>20</v>
      </c>
      <c r="E2496" s="28">
        <v>8000</v>
      </c>
      <c r="F2496" s="27">
        <f t="shared" ca="1" si="81"/>
        <v>160000</v>
      </c>
    </row>
    <row r="2497" spans="1:10" ht="14.25" customHeight="1" x14ac:dyDescent="0.25">
      <c r="A2497" s="25" t="s">
        <v>180</v>
      </c>
      <c r="B2497" s="26" t="str">
        <f ca="1">IFERROR(INDEX(UNSPSCDes,MATCH(INDIRECT(ADDRESS(ROW(),COLUMN()-1,4)),UNSPSCCode,0)),IF(INDIRECT(ADDRESS(ROW(),COLUMN()-1,4))="39121549","Termostato",""))</f>
        <v>Termostato</v>
      </c>
      <c r="C2497" s="58" t="str">
        <f>IFERROR(VLOOKUP("UD",'Informacion '!P:Q,2,FALSE),"")</f>
        <v>Unidad</v>
      </c>
      <c r="D2497" s="25">
        <v>15</v>
      </c>
      <c r="E2497" s="28">
        <v>9200</v>
      </c>
      <c r="F2497" s="27">
        <f t="shared" ca="1" si="81"/>
        <v>138000</v>
      </c>
    </row>
    <row r="2498" spans="1:10" ht="14.25" customHeight="1" x14ac:dyDescent="0.25">
      <c r="A2498" s="25" t="s">
        <v>180</v>
      </c>
      <c r="B2498" s="26" t="str">
        <f ca="1">IFERROR(INDEX(UNSPSCDes,MATCH(INDIRECT(ADDRESS(ROW(),COLUMN()-1,4)),UNSPSCCode,0)),IF(INDIRECT(ADDRESS(ROW(),COLUMN()-1,4))="39121549","Termostato",""))</f>
        <v>Termostato</v>
      </c>
      <c r="C2498" s="58" t="str">
        <f>IFERROR(VLOOKUP("UD",'Informacion '!P:Q,2,FALSE),"")</f>
        <v>Unidad</v>
      </c>
      <c r="D2498" s="25">
        <v>15</v>
      </c>
      <c r="E2498" s="28">
        <v>2500</v>
      </c>
      <c r="F2498" s="27">
        <f t="shared" ca="1" si="81"/>
        <v>37500</v>
      </c>
    </row>
    <row r="2499" spans="1:10" ht="14.25" customHeight="1" x14ac:dyDescent="0.25">
      <c r="A2499" s="25" t="s">
        <v>180</v>
      </c>
      <c r="B2499" s="26" t="str">
        <f ca="1">IFERROR(INDEX(UNSPSCDes,MATCH(INDIRECT(ADDRESS(ROW(),COLUMN()-1,4)),UNSPSCCode,0)),IF(INDIRECT(ADDRESS(ROW(),COLUMN()-1,4))="39121549","Termostato",""))</f>
        <v>Termostato</v>
      </c>
      <c r="C2499" s="58" t="str">
        <f>IFERROR(VLOOKUP("UD",'Informacion '!P:Q,2,FALSE),"")</f>
        <v>Unidad</v>
      </c>
      <c r="D2499" s="25">
        <v>20</v>
      </c>
      <c r="E2499" s="28">
        <v>2300</v>
      </c>
      <c r="F2499" s="27">
        <f t="shared" ca="1" si="81"/>
        <v>46000</v>
      </c>
    </row>
    <row r="2500" spans="1:10" ht="14.25" customHeight="1" x14ac:dyDescent="0.25">
      <c r="A2500" s="25" t="s">
        <v>180</v>
      </c>
      <c r="B2500" s="26" t="str">
        <f ca="1">IFERROR(INDEX(UNSPSCDes,MATCH(INDIRECT(ADDRESS(ROW(),COLUMN()-1,4)),UNSPSCCode,0)),IF(INDIRECT(ADDRESS(ROW(),COLUMN()-1,4))="39121549","Termostato",""))</f>
        <v>Termostato</v>
      </c>
      <c r="C2500" s="58" t="str">
        <f>IFERROR(VLOOKUP("UD",'Informacion '!P:Q,2,FALSE),"")</f>
        <v>Unidad</v>
      </c>
      <c r="D2500" s="25">
        <v>10</v>
      </c>
      <c r="E2500" s="28">
        <v>300</v>
      </c>
      <c r="F2500" s="27">
        <f t="shared" ca="1" si="81"/>
        <v>3000</v>
      </c>
    </row>
    <row r="2501" spans="1:10" ht="14.25" customHeight="1" x14ac:dyDescent="0.25">
      <c r="A2501" s="25" t="s">
        <v>936</v>
      </c>
      <c r="B2501" s="26" t="str">
        <f ca="1">IFERROR(INDEX(UNSPSCDes,MATCH(INDIRECT(ADDRESS(ROW(),COLUMN()-1,4)),UNSPSCCode,0)),IF(INDIRECT(ADDRESS(ROW(),COLUMN()-1,4))="40101604","Ventiladores",""))</f>
        <v>Ventiladores</v>
      </c>
      <c r="C2501" s="58" t="str">
        <f>IFERROR(VLOOKUP("UD",'Informacion '!P:Q,2,FALSE),"")</f>
        <v>Unidad</v>
      </c>
      <c r="D2501" s="25">
        <v>5</v>
      </c>
      <c r="E2501" s="28">
        <v>75000</v>
      </c>
      <c r="F2501" s="27">
        <f t="shared" ca="1" si="81"/>
        <v>375000</v>
      </c>
    </row>
    <row r="2502" spans="1:10" ht="14.25" customHeight="1" x14ac:dyDescent="0.25">
      <c r="A2502" s="25" t="s">
        <v>890</v>
      </c>
      <c r="B2502" s="26" t="str">
        <f ca="1">IFERROR(INDEX(UNSPSCDes,MATCH(INDIRECT(ADDRESS(ROW(),COLUMN()-1,4)),UNSPSCCode,0)),IF(INDIRECT(ADDRESS(ROW(),COLUMN()-1,4))="40151601","Compresores de aire",""))</f>
        <v>Compresores de aire</v>
      </c>
      <c r="C2502" s="58" t="str">
        <f>IFERROR(VLOOKUP("UD",'Informacion '!P:Q,2,FALSE),"")</f>
        <v>Unidad</v>
      </c>
      <c r="D2502" s="25">
        <v>1</v>
      </c>
      <c r="E2502" s="28">
        <v>9000</v>
      </c>
      <c r="F2502" s="27">
        <f t="shared" ca="1" si="81"/>
        <v>9000</v>
      </c>
    </row>
    <row r="2503" spans="1:10" ht="14.25" customHeight="1" x14ac:dyDescent="0.25">
      <c r="A2503" s="25" t="s">
        <v>1123</v>
      </c>
      <c r="B2503" s="26" t="str">
        <f ca="1">IFERROR(INDEX(UNSPSCDes,MATCH(INDIRECT(ADDRESS(ROW(),COLUMN()-1,4)),UNSPSCCode,0)),IF(INDIRECT(ADDRESS(ROW(),COLUMN()-1,4))="40151607","Compresores refrigerantes",""))</f>
        <v>Compresores refrigerantes</v>
      </c>
      <c r="C2503" s="58" t="str">
        <f>IFERROR(VLOOKUP("UD",'Informacion '!P:Q,2,FALSE),"")</f>
        <v>Unidad</v>
      </c>
      <c r="D2503" s="25">
        <v>1</v>
      </c>
      <c r="E2503" s="28">
        <v>9000</v>
      </c>
      <c r="F2503" s="27">
        <f t="shared" ca="1" si="81"/>
        <v>9000</v>
      </c>
    </row>
    <row r="2504" spans="1:10" ht="14.25" customHeight="1" x14ac:dyDescent="0.25">
      <c r="A2504" s="25" t="s">
        <v>25</v>
      </c>
      <c r="B2504" s="26" t="str">
        <f ca="1">IFERROR(INDEX(UNSPSCDes,MATCH(INDIRECT(ADDRESS(ROW(),COLUMN()-1,4)),UNSPSCCode,0)),IF(INDIRECT(ADDRESS(ROW(),COLUMN()-1,4))="41103311","Manómetros",""))</f>
        <v>Manómetros</v>
      </c>
      <c r="C2504" s="58" t="str">
        <f>IFERROR(VLOOKUP("UD",'Informacion '!P:Q,2,FALSE),"")</f>
        <v>Unidad</v>
      </c>
      <c r="D2504" s="25">
        <v>4</v>
      </c>
      <c r="E2504" s="28">
        <v>6000</v>
      </c>
      <c r="F2504" s="27">
        <f t="shared" ca="1" si="81"/>
        <v>24000</v>
      </c>
    </row>
    <row r="2505" spans="1:10" ht="14.25" customHeight="1" x14ac:dyDescent="0.25">
      <c r="A2505" s="25" t="s">
        <v>563</v>
      </c>
      <c r="B2505" s="26" t="str">
        <f ca="1">IFERROR(INDEX(UNSPSCDes,MATCH(INDIRECT(ADDRESS(ROW(),COLUMN()-1,4)),UNSPSCCode,0)),IF(INDIRECT(ADDRESS(ROW(),COLUMN()-1,4))="40151502","Bombas de vacío",""))</f>
        <v>Bombas de vacío</v>
      </c>
      <c r="C2505" s="58" t="str">
        <f>IFERROR(VLOOKUP("UD",'Informacion '!P:Q,2,FALSE),"")</f>
        <v>Unidad</v>
      </c>
      <c r="D2505" s="25">
        <v>1</v>
      </c>
      <c r="E2505" s="28">
        <v>310000</v>
      </c>
      <c r="F2505" s="27">
        <f t="shared" ca="1" si="81"/>
        <v>310000</v>
      </c>
    </row>
    <row r="2506" spans="1:10" ht="14.25" customHeight="1" x14ac:dyDescent="0.25">
      <c r="E2506" s="30" t="s">
        <v>816</v>
      </c>
      <c r="F2506" s="31">
        <f ca="1">SUM(Table135[MONTO TOTAL ESTIMADO])</f>
        <v>1411500</v>
      </c>
      <c r="H2506" s="21" t="str">
        <f>C2486</f>
        <v>Bienes</v>
      </c>
      <c r="I2506" s="21" t="str">
        <f>E2486</f>
        <v>Sí</v>
      </c>
      <c r="J2506" s="21" t="str">
        <f>D2486</f>
        <v>Compras Menores</v>
      </c>
    </row>
    <row r="2508" spans="1:10" ht="33.950000000000003" customHeight="1" x14ac:dyDescent="0.25">
      <c r="A2508" s="22" t="s">
        <v>1051</v>
      </c>
      <c r="B2508" s="22" t="s">
        <v>11</v>
      </c>
      <c r="C2508" s="22" t="s">
        <v>751</v>
      </c>
      <c r="D2508" s="22" t="s">
        <v>930</v>
      </c>
      <c r="E2508" s="22" t="s">
        <v>699</v>
      </c>
      <c r="F2508" s="22" t="s">
        <v>710</v>
      </c>
    </row>
    <row r="2509" spans="1:10" ht="14.25" customHeight="1" x14ac:dyDescent="0.25">
      <c r="A2509" s="23" t="s">
        <v>798</v>
      </c>
      <c r="B2509" s="23" t="s">
        <v>798</v>
      </c>
      <c r="C2509" s="23" t="s">
        <v>438</v>
      </c>
      <c r="D2509" s="23" t="s">
        <v>270</v>
      </c>
      <c r="E2509" s="23" t="s">
        <v>1156</v>
      </c>
      <c r="F2509" s="23" t="s">
        <v>436</v>
      </c>
    </row>
    <row r="2510" spans="1:10" ht="14.25" customHeight="1" x14ac:dyDescent="0.25">
      <c r="A2510" s="68" t="s">
        <v>965</v>
      </c>
      <c r="B2510" s="24" t="s">
        <v>543</v>
      </c>
      <c r="C2510" s="54">
        <v>46042</v>
      </c>
      <c r="D2510" s="68" t="s">
        <v>598</v>
      </c>
      <c r="E2510" s="56" t="s">
        <v>858</v>
      </c>
      <c r="F2510" s="57"/>
    </row>
    <row r="2511" spans="1:10" ht="14.25" customHeight="1" x14ac:dyDescent="0.25">
      <c r="A2511" s="69"/>
      <c r="B2511" s="24" t="s">
        <v>112</v>
      </c>
      <c r="C2511" s="55">
        <f>IF(C2510="","",IF(AND(MONTH(C2510)&gt;=1,MONTH(C2510)&lt;=3),1,IF(AND(MONTH(C2510)&gt;=4,MONTH(C2510)&lt;=6),2,IF(AND(MONTH(C2510)&gt;=7,MONTH(C2510)&lt;=9),3,4))))</f>
        <v>1</v>
      </c>
      <c r="D2511" s="69"/>
      <c r="E2511" s="56" t="s">
        <v>143</v>
      </c>
      <c r="F2511" s="57"/>
    </row>
    <row r="2512" spans="1:10" ht="14.25" customHeight="1" x14ac:dyDescent="0.25">
      <c r="A2512" s="69"/>
      <c r="B2512" s="24" t="s">
        <v>844</v>
      </c>
      <c r="C2512" s="54">
        <v>46112</v>
      </c>
      <c r="D2512" s="69"/>
      <c r="E2512" s="56" t="s">
        <v>183</v>
      </c>
      <c r="F2512" s="57"/>
    </row>
    <row r="2513" spans="1:10" ht="14.25" customHeight="1" x14ac:dyDescent="0.25">
      <c r="A2513" s="69"/>
      <c r="B2513" s="24" t="s">
        <v>112</v>
      </c>
      <c r="C2513" s="55">
        <f>IF(C2512="","",IF(AND(MONTH(C2512)&gt;=1,MONTH(C2512)&lt;=3),1,IF(AND(MONTH(C2512)&gt;=4,MONTH(C2512)&lt;=6),2,IF(AND(MONTH(C2512)&gt;=7,MONTH(C2512)&lt;=9),3,4))))</f>
        <v>1</v>
      </c>
      <c r="D2513" s="69"/>
      <c r="E2513" s="56" t="s">
        <v>865</v>
      </c>
      <c r="F2513" s="57"/>
    </row>
    <row r="2515" spans="1:10" ht="14.25" customHeight="1" x14ac:dyDescent="0.25">
      <c r="A2515" s="29" t="s">
        <v>1017</v>
      </c>
      <c r="B2515" s="29" t="s">
        <v>1042</v>
      </c>
      <c r="C2515" s="29" t="s">
        <v>1011</v>
      </c>
      <c r="D2515" s="29" t="s">
        <v>985</v>
      </c>
      <c r="E2515" s="29" t="s">
        <v>449</v>
      </c>
      <c r="F2515" s="29" t="s">
        <v>989</v>
      </c>
    </row>
    <row r="2516" spans="1:10" ht="14.25" customHeight="1" x14ac:dyDescent="0.25">
      <c r="A2516" s="25" t="s">
        <v>999</v>
      </c>
      <c r="B2516" s="26" t="str">
        <f ca="1">IFERROR(INDEX(UNSPSCDes,MATCH(INDIRECT(ADDRESS(ROW(),COLUMN()-1,4)),UNSPSCCode,0)),IF(INDIRECT(ADDRESS(ROW(),COLUMN()-1,4))="82101603","Publicidad en internet",""))</f>
        <v>Publicidad en internet</v>
      </c>
      <c r="C2516" s="58" t="str">
        <f>IFERROR(VLOOKUP("UD",'Informacion '!P:Q,2,FALSE),"")</f>
        <v>Unidad</v>
      </c>
      <c r="D2516" s="25">
        <v>1</v>
      </c>
      <c r="E2516" s="28">
        <v>5000000</v>
      </c>
      <c r="F2516" s="27">
        <f ca="1">INDIRECT(ADDRESS(ROW(),COLUMN()-2,4))*INDIRECT(ADDRESS(ROW(),COLUMN()-1,4))</f>
        <v>5000000</v>
      </c>
    </row>
    <row r="2517" spans="1:10" ht="14.25" customHeight="1" x14ac:dyDescent="0.25">
      <c r="A2517" s="25" t="s">
        <v>655</v>
      </c>
      <c r="B2517" s="26" t="str">
        <f ca="1">IFERROR(INDEX(UNSPSCDes,MATCH(INDIRECT(ADDRESS(ROW(),COLUMN()-1,4)),UNSPSCCode,0)),IF(INDIRECT(ADDRESS(ROW(),COLUMN()-1,4))="82101601","Publicidad en radio",""))</f>
        <v>Publicidad en radio</v>
      </c>
      <c r="C2517" s="58" t="str">
        <f>IFERROR(VLOOKUP("UD",'Informacion '!P:Q,2,FALSE),"")</f>
        <v>Unidad</v>
      </c>
      <c r="D2517" s="25">
        <v>1</v>
      </c>
      <c r="E2517" s="28">
        <v>2000000</v>
      </c>
      <c r="F2517" s="27">
        <f ca="1">INDIRECT(ADDRESS(ROW(),COLUMN()-2,4))*INDIRECT(ADDRESS(ROW(),COLUMN()-1,4))</f>
        <v>2000000</v>
      </c>
    </row>
    <row r="2518" spans="1:10" ht="14.25" customHeight="1" x14ac:dyDescent="0.25">
      <c r="A2518" s="25" t="s">
        <v>972</v>
      </c>
      <c r="B2518" s="26" t="str">
        <f ca="1">IFERROR(INDEX(UNSPSCDes,MATCH(INDIRECT(ADDRESS(ROW(),COLUMN()-1,4)),UNSPSCCode,0)),IF(INDIRECT(ADDRESS(ROW(),COLUMN()-1,4))="82101602","Publicidad en televisión",""))</f>
        <v>Publicidad en televisión</v>
      </c>
      <c r="C2518" s="58" t="str">
        <f>IFERROR(VLOOKUP("UD",'Informacion '!P:Q,2,FALSE),"")</f>
        <v>Unidad</v>
      </c>
      <c r="D2518" s="25">
        <v>1</v>
      </c>
      <c r="E2518" s="28">
        <v>5000000</v>
      </c>
      <c r="F2518" s="27">
        <f ca="1">INDIRECT(ADDRESS(ROW(),COLUMN()-2,4))*INDIRECT(ADDRESS(ROW(),COLUMN()-1,4))</f>
        <v>5000000</v>
      </c>
    </row>
    <row r="2519" spans="1:10" ht="14.25" customHeight="1" x14ac:dyDescent="0.25">
      <c r="E2519" s="30" t="s">
        <v>816</v>
      </c>
      <c r="F2519" s="31">
        <f ca="1">SUM(Table136[MONTO TOTAL ESTIMADO])</f>
        <v>12000000</v>
      </c>
      <c r="H2519" s="21" t="str">
        <f>C2509</f>
        <v>Servicios</v>
      </c>
      <c r="I2519" s="21" t="str">
        <f>E2509</f>
        <v>No</v>
      </c>
      <c r="J2519" s="21" t="str">
        <f>D2509</f>
        <v>Excepción - Contratación de publicidad a través de medios de comunicación social</v>
      </c>
    </row>
    <row r="2521" spans="1:10" ht="33.950000000000003" customHeight="1" x14ac:dyDescent="0.25">
      <c r="A2521" s="22" t="s">
        <v>1051</v>
      </c>
      <c r="B2521" s="22" t="s">
        <v>11</v>
      </c>
      <c r="C2521" s="22" t="s">
        <v>751</v>
      </c>
      <c r="D2521" s="22" t="s">
        <v>930</v>
      </c>
      <c r="E2521" s="22" t="s">
        <v>699</v>
      </c>
      <c r="F2521" s="22" t="s">
        <v>710</v>
      </c>
    </row>
    <row r="2522" spans="1:10" ht="14.25" customHeight="1" x14ac:dyDescent="0.25">
      <c r="A2522" s="23" t="s">
        <v>434</v>
      </c>
      <c r="B2522" s="23" t="s">
        <v>434</v>
      </c>
      <c r="C2522" s="23" t="s">
        <v>438</v>
      </c>
      <c r="D2522" s="23" t="s">
        <v>270</v>
      </c>
      <c r="E2522" s="23" t="s">
        <v>1156</v>
      </c>
      <c r="F2522" s="23" t="s">
        <v>436</v>
      </c>
    </row>
    <row r="2523" spans="1:10" ht="14.25" customHeight="1" x14ac:dyDescent="0.25">
      <c r="A2523" s="68" t="s">
        <v>965</v>
      </c>
      <c r="B2523" s="24" t="s">
        <v>543</v>
      </c>
      <c r="C2523" s="54">
        <v>46049</v>
      </c>
      <c r="D2523" s="68" t="s">
        <v>598</v>
      </c>
      <c r="E2523" s="56" t="s">
        <v>858</v>
      </c>
      <c r="F2523" s="57"/>
    </row>
    <row r="2524" spans="1:10" ht="14.25" customHeight="1" x14ac:dyDescent="0.25">
      <c r="A2524" s="69"/>
      <c r="B2524" s="24" t="s">
        <v>112</v>
      </c>
      <c r="C2524" s="55">
        <f>IF(C2523="","",IF(AND(MONTH(C2523)&gt;=1,MONTH(C2523)&lt;=3),1,IF(AND(MONTH(C2523)&gt;=4,MONTH(C2523)&lt;=6),2,IF(AND(MONTH(C2523)&gt;=7,MONTH(C2523)&lt;=9),3,4))))</f>
        <v>1</v>
      </c>
      <c r="D2524" s="69"/>
      <c r="E2524" s="56" t="s">
        <v>143</v>
      </c>
      <c r="F2524" s="57"/>
    </row>
    <row r="2525" spans="1:10" ht="14.25" customHeight="1" x14ac:dyDescent="0.25">
      <c r="A2525" s="69"/>
      <c r="B2525" s="24" t="s">
        <v>844</v>
      </c>
      <c r="C2525" s="54">
        <v>46112</v>
      </c>
      <c r="D2525" s="69"/>
      <c r="E2525" s="56" t="s">
        <v>183</v>
      </c>
      <c r="F2525" s="57"/>
    </row>
    <row r="2526" spans="1:10" ht="14.25" customHeight="1" x14ac:dyDescent="0.25">
      <c r="A2526" s="69"/>
      <c r="B2526" s="24" t="s">
        <v>112</v>
      </c>
      <c r="C2526" s="55">
        <f>IF(C2525="","",IF(AND(MONTH(C2525)&gt;=1,MONTH(C2525)&lt;=3),1,IF(AND(MONTH(C2525)&gt;=4,MONTH(C2525)&lt;=6),2,IF(AND(MONTH(C2525)&gt;=7,MONTH(C2525)&lt;=9),3,4))))</f>
        <v>1</v>
      </c>
      <c r="D2526" s="69"/>
      <c r="E2526" s="56" t="s">
        <v>865</v>
      </c>
      <c r="F2526" s="57"/>
    </row>
    <row r="2528" spans="1:10" ht="14.25" customHeight="1" x14ac:dyDescent="0.25">
      <c r="A2528" s="29" t="s">
        <v>1017</v>
      </c>
      <c r="B2528" s="29" t="s">
        <v>1042</v>
      </c>
      <c r="C2528" s="29" t="s">
        <v>1011</v>
      </c>
      <c r="D2528" s="29" t="s">
        <v>985</v>
      </c>
      <c r="E2528" s="29" t="s">
        <v>449</v>
      </c>
      <c r="F2528" s="29" t="s">
        <v>989</v>
      </c>
    </row>
    <row r="2529" spans="1:10" ht="14.25" customHeight="1" x14ac:dyDescent="0.25">
      <c r="A2529" s="25" t="s">
        <v>503</v>
      </c>
      <c r="B2529" s="26" t="str">
        <f ca="1">IFERROR(INDEX(UNSPSCDes,MATCH(INDIRECT(ADDRESS(ROW(),COLUMN()-1,4)),UNSPSCCode,0)),IF(INDIRECT(ADDRESS(ROW(),COLUMN()-1,4))="82101501","Publicidad en vallas",""))</f>
        <v>Publicidad en vallas</v>
      </c>
      <c r="C2529" s="58" t="str">
        <f>IFERROR(VLOOKUP("UD",'Informacion '!P:Q,2,FALSE),"")</f>
        <v>Unidad</v>
      </c>
      <c r="D2529" s="25">
        <v>2</v>
      </c>
      <c r="E2529" s="28">
        <v>1000000</v>
      </c>
      <c r="F2529" s="27">
        <f ca="1">INDIRECT(ADDRESS(ROW(),COLUMN()-2,4))*INDIRECT(ADDRESS(ROW(),COLUMN()-1,4))</f>
        <v>2000000</v>
      </c>
    </row>
    <row r="2530" spans="1:10" ht="14.25" customHeight="1" x14ac:dyDescent="0.25">
      <c r="E2530" s="30" t="s">
        <v>816</v>
      </c>
      <c r="F2530" s="31">
        <f ca="1">SUM(Table137[MONTO TOTAL ESTIMADO])</f>
        <v>2000000</v>
      </c>
      <c r="H2530" s="21" t="str">
        <f>C2522</f>
        <v>Servicios</v>
      </c>
      <c r="I2530" s="21" t="str">
        <f>E2522</f>
        <v>No</v>
      </c>
      <c r="J2530" s="21" t="str">
        <f>D2522</f>
        <v>Excepción - Contratación de publicidad a través de medios de comunicación social</v>
      </c>
    </row>
    <row r="2532" spans="1:10" ht="33.950000000000003" customHeight="1" x14ac:dyDescent="0.25">
      <c r="A2532" s="22" t="s">
        <v>1051</v>
      </c>
      <c r="B2532" s="22" t="s">
        <v>11</v>
      </c>
      <c r="C2532" s="22" t="s">
        <v>751</v>
      </c>
      <c r="D2532" s="22" t="s">
        <v>930</v>
      </c>
      <c r="E2532" s="22" t="s">
        <v>699</v>
      </c>
      <c r="F2532" s="22" t="s">
        <v>710</v>
      </c>
    </row>
    <row r="2533" spans="1:10" ht="14.25" customHeight="1" x14ac:dyDescent="0.25">
      <c r="A2533" s="23" t="s">
        <v>524</v>
      </c>
      <c r="B2533" s="23" t="s">
        <v>524</v>
      </c>
      <c r="C2533" s="23" t="s">
        <v>438</v>
      </c>
      <c r="D2533" s="23" t="s">
        <v>270</v>
      </c>
      <c r="E2533" s="23" t="s">
        <v>1156</v>
      </c>
      <c r="F2533" s="23" t="s">
        <v>436</v>
      </c>
    </row>
    <row r="2534" spans="1:10" ht="14.25" customHeight="1" x14ac:dyDescent="0.25">
      <c r="A2534" s="68" t="s">
        <v>965</v>
      </c>
      <c r="B2534" s="24" t="s">
        <v>543</v>
      </c>
      <c r="C2534" s="54">
        <v>46049</v>
      </c>
      <c r="D2534" s="68" t="s">
        <v>598</v>
      </c>
      <c r="E2534" s="56" t="s">
        <v>858</v>
      </c>
      <c r="F2534" s="57"/>
    </row>
    <row r="2535" spans="1:10" ht="14.25" customHeight="1" x14ac:dyDescent="0.25">
      <c r="A2535" s="69"/>
      <c r="B2535" s="24" t="s">
        <v>112</v>
      </c>
      <c r="C2535" s="55">
        <f>IF(C2534="","",IF(AND(MONTH(C2534)&gt;=1,MONTH(C2534)&lt;=3),1,IF(AND(MONTH(C2534)&gt;=4,MONTH(C2534)&lt;=6),2,IF(AND(MONTH(C2534)&gt;=7,MONTH(C2534)&lt;=9),3,4))))</f>
        <v>1</v>
      </c>
      <c r="D2535" s="69"/>
      <c r="E2535" s="56" t="s">
        <v>143</v>
      </c>
      <c r="F2535" s="57"/>
    </row>
    <row r="2536" spans="1:10" ht="14.25" customHeight="1" x14ac:dyDescent="0.25">
      <c r="A2536" s="69"/>
      <c r="B2536" s="24" t="s">
        <v>844</v>
      </c>
      <c r="C2536" s="54">
        <v>46112</v>
      </c>
      <c r="D2536" s="69"/>
      <c r="E2536" s="56" t="s">
        <v>183</v>
      </c>
      <c r="F2536" s="57"/>
    </row>
    <row r="2537" spans="1:10" ht="14.25" customHeight="1" x14ac:dyDescent="0.25">
      <c r="A2537" s="69"/>
      <c r="B2537" s="24" t="s">
        <v>112</v>
      </c>
      <c r="C2537" s="55">
        <f>IF(C2536="","",IF(AND(MONTH(C2536)&gt;=1,MONTH(C2536)&lt;=3),1,IF(AND(MONTH(C2536)&gt;=4,MONTH(C2536)&lt;=6),2,IF(AND(MONTH(C2536)&gt;=7,MONTH(C2536)&lt;=9),3,4))))</f>
        <v>1</v>
      </c>
      <c r="D2537" s="69"/>
      <c r="E2537" s="56" t="s">
        <v>865</v>
      </c>
      <c r="F2537" s="57"/>
    </row>
    <row r="2539" spans="1:10" ht="14.25" customHeight="1" x14ac:dyDescent="0.25">
      <c r="A2539" s="29" t="s">
        <v>1017</v>
      </c>
      <c r="B2539" s="29" t="s">
        <v>1042</v>
      </c>
      <c r="C2539" s="29" t="s">
        <v>1011</v>
      </c>
      <c r="D2539" s="29" t="s">
        <v>985</v>
      </c>
      <c r="E2539" s="29" t="s">
        <v>449</v>
      </c>
      <c r="F2539" s="29" t="s">
        <v>989</v>
      </c>
    </row>
    <row r="2540" spans="1:10" ht="14.25" customHeight="1" x14ac:dyDescent="0.25">
      <c r="A2540" s="25" t="s">
        <v>494</v>
      </c>
      <c r="B2540" s="26" t="str">
        <f ca="1">IFERROR(INDEX(UNSPSCDes,MATCH(INDIRECT(ADDRESS(ROW(),COLUMN()-1,4)),UNSPSCCode,0)),IF(INDIRECT(ADDRESS(ROW(),COLUMN()-1,4))="82101503","Publicidad en revistas",""))</f>
        <v>Publicidad en revistas</v>
      </c>
      <c r="C2540" s="58" t="str">
        <f>IFERROR(VLOOKUP("UD",'Informacion '!P:Q,2,FALSE),"")</f>
        <v>Unidad</v>
      </c>
      <c r="D2540" s="25">
        <v>1</v>
      </c>
      <c r="E2540" s="28">
        <v>1000000</v>
      </c>
      <c r="F2540" s="27">
        <f ca="1">INDIRECT(ADDRESS(ROW(),COLUMN()-2,4))*INDIRECT(ADDRESS(ROW(),COLUMN()-1,4))</f>
        <v>1000000</v>
      </c>
    </row>
    <row r="2541" spans="1:10" ht="14.25" customHeight="1" x14ac:dyDescent="0.25">
      <c r="E2541" s="30" t="s">
        <v>816</v>
      </c>
      <c r="F2541" s="31">
        <f ca="1">SUM(Table138[MONTO TOTAL ESTIMADO])</f>
        <v>1000000</v>
      </c>
      <c r="H2541" s="21" t="str">
        <f>C2533</f>
        <v>Servicios</v>
      </c>
      <c r="I2541" s="21" t="str">
        <f>E2533</f>
        <v>No</v>
      </c>
      <c r="J2541" s="21" t="str">
        <f>D2533</f>
        <v>Excepción - Contratación de publicidad a través de medios de comunicación social</v>
      </c>
    </row>
    <row r="2543" spans="1:10" ht="33.950000000000003" customHeight="1" x14ac:dyDescent="0.25">
      <c r="A2543" s="22" t="s">
        <v>1051</v>
      </c>
      <c r="B2543" s="22" t="s">
        <v>11</v>
      </c>
      <c r="C2543" s="22" t="s">
        <v>751</v>
      </c>
      <c r="D2543" s="22" t="s">
        <v>930</v>
      </c>
      <c r="E2543" s="22" t="s">
        <v>699</v>
      </c>
      <c r="F2543" s="22" t="s">
        <v>710</v>
      </c>
    </row>
    <row r="2544" spans="1:10" ht="14.25" customHeight="1" x14ac:dyDescent="0.25">
      <c r="A2544" s="23" t="s">
        <v>1086</v>
      </c>
      <c r="B2544" s="23" t="s">
        <v>1086</v>
      </c>
      <c r="C2544" s="23" t="s">
        <v>438</v>
      </c>
      <c r="D2544" s="23" t="s">
        <v>270</v>
      </c>
      <c r="E2544" s="23" t="s">
        <v>1156</v>
      </c>
      <c r="F2544" s="23" t="s">
        <v>436</v>
      </c>
    </row>
    <row r="2545" spans="1:10" ht="14.25" customHeight="1" x14ac:dyDescent="0.25">
      <c r="A2545" s="68" t="s">
        <v>965</v>
      </c>
      <c r="B2545" s="24" t="s">
        <v>543</v>
      </c>
      <c r="C2545" s="54">
        <v>46028</v>
      </c>
      <c r="D2545" s="68" t="s">
        <v>598</v>
      </c>
      <c r="E2545" s="56" t="s">
        <v>858</v>
      </c>
      <c r="F2545" s="57"/>
    </row>
    <row r="2546" spans="1:10" ht="14.25" customHeight="1" x14ac:dyDescent="0.25">
      <c r="A2546" s="69"/>
      <c r="B2546" s="24" t="s">
        <v>112</v>
      </c>
      <c r="C2546" s="55">
        <f>IF(C2545="","",IF(AND(MONTH(C2545)&gt;=1,MONTH(C2545)&lt;=3),1,IF(AND(MONTH(C2545)&gt;=4,MONTH(C2545)&lt;=6),2,IF(AND(MONTH(C2545)&gt;=7,MONTH(C2545)&lt;=9),3,4))))</f>
        <v>1</v>
      </c>
      <c r="D2546" s="69"/>
      <c r="E2546" s="56" t="s">
        <v>143</v>
      </c>
      <c r="F2546" s="57"/>
    </row>
    <row r="2547" spans="1:10" ht="14.25" customHeight="1" x14ac:dyDescent="0.25">
      <c r="A2547" s="69"/>
      <c r="B2547" s="24" t="s">
        <v>844</v>
      </c>
      <c r="C2547" s="54">
        <v>46112</v>
      </c>
      <c r="D2547" s="69"/>
      <c r="E2547" s="56" t="s">
        <v>183</v>
      </c>
      <c r="F2547" s="57"/>
    </row>
    <row r="2548" spans="1:10" ht="14.25" customHeight="1" x14ac:dyDescent="0.25">
      <c r="A2548" s="69"/>
      <c r="B2548" s="24" t="s">
        <v>112</v>
      </c>
      <c r="C2548" s="55">
        <f>IF(C2547="","",IF(AND(MONTH(C2547)&gt;=1,MONTH(C2547)&lt;=3),1,IF(AND(MONTH(C2547)&gt;=4,MONTH(C2547)&lt;=6),2,IF(AND(MONTH(C2547)&gt;=7,MONTH(C2547)&lt;=9),3,4))))</f>
        <v>1</v>
      </c>
      <c r="D2548" s="69"/>
      <c r="E2548" s="56" t="s">
        <v>865</v>
      </c>
      <c r="F2548" s="57"/>
    </row>
    <row r="2550" spans="1:10" ht="14.25" customHeight="1" x14ac:dyDescent="0.25">
      <c r="A2550" s="29" t="s">
        <v>1017</v>
      </c>
      <c r="B2550" s="29" t="s">
        <v>1042</v>
      </c>
      <c r="C2550" s="29" t="s">
        <v>1011</v>
      </c>
      <c r="D2550" s="29" t="s">
        <v>985</v>
      </c>
      <c r="E2550" s="29" t="s">
        <v>449</v>
      </c>
      <c r="F2550" s="29" t="s">
        <v>989</v>
      </c>
    </row>
    <row r="2551" spans="1:10" ht="14.25" customHeight="1" x14ac:dyDescent="0.25">
      <c r="A2551" s="25" t="s">
        <v>384</v>
      </c>
      <c r="B2551" s="26" t="str">
        <f ca="1">IFERROR(INDEX(UNSPSCDes,MATCH(INDIRECT(ADDRESS(ROW(),COLUMN()-1,4)),UNSPSCCode,0)),IF(INDIRECT(ADDRESS(ROW(),COLUMN()-1,4))="82101504","Publicidad en periódicos",""))</f>
        <v>Publicidad en periódicos</v>
      </c>
      <c r="C2551" s="58" t="str">
        <f>IFERROR(VLOOKUP("UD",'Informacion '!P:Q,2,FALSE),"")</f>
        <v>Unidad</v>
      </c>
      <c r="D2551" s="25">
        <v>2</v>
      </c>
      <c r="E2551" s="28">
        <v>1000000</v>
      </c>
      <c r="F2551" s="27">
        <f ca="1">INDIRECT(ADDRESS(ROW(),COLUMN()-2,4))*INDIRECT(ADDRESS(ROW(),COLUMN()-1,4))</f>
        <v>2000000</v>
      </c>
    </row>
    <row r="2552" spans="1:10" ht="14.25" customHeight="1" x14ac:dyDescent="0.25">
      <c r="E2552" s="30" t="s">
        <v>816</v>
      </c>
      <c r="F2552" s="31">
        <f ca="1">SUM(Table139[MONTO TOTAL ESTIMADO])</f>
        <v>2000000</v>
      </c>
      <c r="H2552" s="21" t="str">
        <f>C2544</f>
        <v>Servicios</v>
      </c>
      <c r="I2552" s="21" t="str">
        <f>E2544</f>
        <v>No</v>
      </c>
      <c r="J2552" s="21" t="str">
        <f>D2544</f>
        <v>Excepción - Contratación de publicidad a través de medios de comunicación social</v>
      </c>
    </row>
    <row r="2554" spans="1:10" ht="33.950000000000003" customHeight="1" x14ac:dyDescent="0.25">
      <c r="A2554" s="22" t="s">
        <v>1051</v>
      </c>
      <c r="B2554" s="22" t="s">
        <v>11</v>
      </c>
      <c r="C2554" s="22" t="s">
        <v>751</v>
      </c>
      <c r="D2554" s="22" t="s">
        <v>930</v>
      </c>
      <c r="E2554" s="22" t="s">
        <v>699</v>
      </c>
      <c r="F2554" s="22" t="s">
        <v>710</v>
      </c>
    </row>
    <row r="2555" spans="1:10" ht="14.25" customHeight="1" x14ac:dyDescent="0.25">
      <c r="A2555" s="23" t="s">
        <v>881</v>
      </c>
      <c r="B2555" s="23" t="s">
        <v>881</v>
      </c>
      <c r="C2555" s="23" t="s">
        <v>1155</v>
      </c>
      <c r="D2555" s="23" t="s">
        <v>1128</v>
      </c>
      <c r="E2555" s="23" t="s">
        <v>561</v>
      </c>
      <c r="F2555" s="23" t="s">
        <v>436</v>
      </c>
    </row>
    <row r="2556" spans="1:10" ht="14.25" customHeight="1" x14ac:dyDescent="0.25">
      <c r="A2556" s="68" t="s">
        <v>965</v>
      </c>
      <c r="B2556" s="24" t="s">
        <v>543</v>
      </c>
      <c r="C2556" s="54">
        <v>46056</v>
      </c>
      <c r="D2556" s="68" t="s">
        <v>598</v>
      </c>
      <c r="E2556" s="56" t="s">
        <v>858</v>
      </c>
      <c r="F2556" s="57" t="s">
        <v>184</v>
      </c>
    </row>
    <row r="2557" spans="1:10" ht="14.25" customHeight="1" x14ac:dyDescent="0.25">
      <c r="A2557" s="69"/>
      <c r="B2557" s="24" t="s">
        <v>112</v>
      </c>
      <c r="C2557" s="55">
        <f>IF(C2556="","",IF(AND(MONTH(C2556)&gt;=1,MONTH(C2556)&lt;=3),1,IF(AND(MONTH(C2556)&gt;=4,MONTH(C2556)&lt;=6),2,IF(AND(MONTH(C2556)&gt;=7,MONTH(C2556)&lt;=9),3,4))))</f>
        <v>1</v>
      </c>
      <c r="D2557" s="69"/>
      <c r="E2557" s="56" t="s">
        <v>143</v>
      </c>
      <c r="F2557" s="57"/>
    </row>
    <row r="2558" spans="1:10" ht="14.25" customHeight="1" x14ac:dyDescent="0.25">
      <c r="A2558" s="69"/>
      <c r="B2558" s="24" t="s">
        <v>844</v>
      </c>
      <c r="C2558" s="54">
        <v>46081</v>
      </c>
      <c r="D2558" s="69"/>
      <c r="E2558" s="56" t="s">
        <v>183</v>
      </c>
      <c r="F2558" s="57"/>
    </row>
    <row r="2559" spans="1:10" ht="14.25" customHeight="1" x14ac:dyDescent="0.25">
      <c r="A2559" s="69"/>
      <c r="B2559" s="24" t="s">
        <v>112</v>
      </c>
      <c r="C2559" s="55">
        <f>IF(C2558="","",IF(AND(MONTH(C2558)&gt;=1,MONTH(C2558)&lt;=3),1,IF(AND(MONTH(C2558)&gt;=4,MONTH(C2558)&lt;=6),2,IF(AND(MONTH(C2558)&gt;=7,MONTH(C2558)&lt;=9),3,4))))</f>
        <v>1</v>
      </c>
      <c r="D2559" s="69"/>
      <c r="E2559" s="56" t="s">
        <v>865</v>
      </c>
      <c r="F2559" s="57"/>
    </row>
    <row r="2561" spans="1:10" ht="14.25" customHeight="1" x14ac:dyDescent="0.25">
      <c r="A2561" s="29" t="s">
        <v>1017</v>
      </c>
      <c r="B2561" s="29" t="s">
        <v>1042</v>
      </c>
      <c r="C2561" s="29" t="s">
        <v>1011</v>
      </c>
      <c r="D2561" s="29" t="s">
        <v>985</v>
      </c>
      <c r="E2561" s="29" t="s">
        <v>449</v>
      </c>
      <c r="F2561" s="29" t="s">
        <v>989</v>
      </c>
    </row>
    <row r="2562" spans="1:10" ht="14.25" customHeight="1" x14ac:dyDescent="0.25">
      <c r="A2562" s="25" t="s">
        <v>366</v>
      </c>
      <c r="B2562" s="26" t="str">
        <f ca="1">IFERROR(INDEX(UNSPSCDes,MATCH(INDIRECT(ADDRESS(ROW(),COLUMN()-1,4)),UNSPSCCode,0)),IF(INDIRECT(ADDRESS(ROW(),COLUMN()-1,4))="80141605","Mercancía promocional",""))</f>
        <v>Mercancía promocional</v>
      </c>
      <c r="C2562" s="58" t="str">
        <f>IFERROR(VLOOKUP("UD",'Informacion '!P:Q,2,FALSE),"")</f>
        <v>Unidad</v>
      </c>
      <c r="D2562" s="25">
        <v>600</v>
      </c>
      <c r="E2562" s="28">
        <v>600</v>
      </c>
      <c r="F2562" s="27">
        <f ca="1">INDIRECT(ADDRESS(ROW(),COLUMN()-2,4))*INDIRECT(ADDRESS(ROW(),COLUMN()-1,4))</f>
        <v>360000</v>
      </c>
    </row>
    <row r="2563" spans="1:10" ht="14.25" customHeight="1" x14ac:dyDescent="0.25">
      <c r="A2563" s="25" t="s">
        <v>366</v>
      </c>
      <c r="B2563" s="26" t="str">
        <f ca="1">IFERROR(INDEX(UNSPSCDes,MATCH(INDIRECT(ADDRESS(ROW(),COLUMN()-1,4)),UNSPSCCode,0)),IF(INDIRECT(ADDRESS(ROW(),COLUMN()-1,4))="80141605","Mercancía promocional",""))</f>
        <v>Mercancía promocional</v>
      </c>
      <c r="C2563" s="58" t="str">
        <f>IFERROR(VLOOKUP("UD",'Informacion '!P:Q,2,FALSE),"")</f>
        <v>Unidad</v>
      </c>
      <c r="D2563" s="25">
        <v>2700</v>
      </c>
      <c r="E2563" s="28">
        <v>100</v>
      </c>
      <c r="F2563" s="27">
        <f ca="1">INDIRECT(ADDRESS(ROW(),COLUMN()-2,4))*INDIRECT(ADDRESS(ROW(),COLUMN()-1,4))</f>
        <v>270000</v>
      </c>
    </row>
    <row r="2564" spans="1:10" ht="14.25" customHeight="1" x14ac:dyDescent="0.25">
      <c r="A2564" s="25" t="s">
        <v>366</v>
      </c>
      <c r="B2564" s="26" t="str">
        <f ca="1">IFERROR(INDEX(UNSPSCDes,MATCH(INDIRECT(ADDRESS(ROW(),COLUMN()-1,4)),UNSPSCCode,0)),IF(INDIRECT(ADDRESS(ROW(),COLUMN()-1,4))="80141605","Mercancía promocional",""))</f>
        <v>Mercancía promocional</v>
      </c>
      <c r="C2564" s="58" t="str">
        <f>IFERROR(VLOOKUP("UD",'Informacion '!P:Q,2,FALSE),"")</f>
        <v>Unidad</v>
      </c>
      <c r="D2564" s="25">
        <v>6</v>
      </c>
      <c r="E2564" s="28">
        <v>300</v>
      </c>
      <c r="F2564" s="27">
        <f ca="1">INDIRECT(ADDRESS(ROW(),COLUMN()-2,4))*INDIRECT(ADDRESS(ROW(),COLUMN()-1,4))</f>
        <v>1800</v>
      </c>
    </row>
    <row r="2565" spans="1:10" ht="14.25" customHeight="1" x14ac:dyDescent="0.25">
      <c r="E2565" s="30" t="s">
        <v>816</v>
      </c>
      <c r="F2565" s="31">
        <f ca="1">SUM(Table140[MONTO TOTAL ESTIMADO])</f>
        <v>631800</v>
      </c>
      <c r="H2565" s="21" t="str">
        <f>C2555</f>
        <v>Bienes</v>
      </c>
      <c r="I2565" s="21" t="str">
        <f>E2555</f>
        <v>Sí</v>
      </c>
      <c r="J2565" s="21" t="str">
        <f>D2555</f>
        <v>Compras Menores</v>
      </c>
    </row>
    <row r="2567" spans="1:10" ht="33.950000000000003" customHeight="1" x14ac:dyDescent="0.25">
      <c r="A2567" s="22" t="s">
        <v>1051</v>
      </c>
      <c r="B2567" s="22" t="s">
        <v>11</v>
      </c>
      <c r="C2567" s="22" t="s">
        <v>751</v>
      </c>
      <c r="D2567" s="22" t="s">
        <v>930</v>
      </c>
      <c r="E2567" s="22" t="s">
        <v>699</v>
      </c>
      <c r="F2567" s="22" t="s">
        <v>710</v>
      </c>
    </row>
    <row r="2568" spans="1:10" ht="14.25" customHeight="1" x14ac:dyDescent="0.25">
      <c r="A2568" s="23" t="s">
        <v>1027</v>
      </c>
      <c r="B2568" s="23" t="s">
        <v>1027</v>
      </c>
      <c r="C2568" s="23" t="s">
        <v>438</v>
      </c>
      <c r="D2568" s="23" t="s">
        <v>146</v>
      </c>
      <c r="E2568" s="23" t="s">
        <v>1156</v>
      </c>
      <c r="F2568" s="23" t="s">
        <v>436</v>
      </c>
    </row>
    <row r="2569" spans="1:10" ht="14.25" customHeight="1" x14ac:dyDescent="0.25">
      <c r="A2569" s="68" t="s">
        <v>965</v>
      </c>
      <c r="B2569" s="24" t="s">
        <v>543</v>
      </c>
      <c r="C2569" s="54">
        <v>46115</v>
      </c>
      <c r="D2569" s="68" t="s">
        <v>598</v>
      </c>
      <c r="E2569" s="56" t="s">
        <v>858</v>
      </c>
      <c r="F2569" s="57" t="s">
        <v>184</v>
      </c>
    </row>
    <row r="2570" spans="1:10" ht="14.25" customHeight="1" x14ac:dyDescent="0.25">
      <c r="A2570" s="69"/>
      <c r="B2570" s="24" t="s">
        <v>112</v>
      </c>
      <c r="C2570" s="55">
        <f>IF(C2569="","",IF(AND(MONTH(C2569)&gt;=1,MONTH(C2569)&lt;=3),1,IF(AND(MONTH(C2569)&gt;=4,MONTH(C2569)&lt;=6),2,IF(AND(MONTH(C2569)&gt;=7,MONTH(C2569)&lt;=9),3,4))))</f>
        <v>2</v>
      </c>
      <c r="D2570" s="69"/>
      <c r="E2570" s="56" t="s">
        <v>143</v>
      </c>
      <c r="F2570" s="57"/>
    </row>
    <row r="2571" spans="1:10" ht="14.25" customHeight="1" x14ac:dyDescent="0.25">
      <c r="A2571" s="69"/>
      <c r="B2571" s="24" t="s">
        <v>844</v>
      </c>
      <c r="C2571" s="54">
        <v>46174</v>
      </c>
      <c r="D2571" s="69"/>
      <c r="E2571" s="56" t="s">
        <v>183</v>
      </c>
      <c r="F2571" s="57"/>
    </row>
    <row r="2572" spans="1:10" ht="14.25" customHeight="1" x14ac:dyDescent="0.25">
      <c r="A2572" s="69"/>
      <c r="B2572" s="24" t="s">
        <v>112</v>
      </c>
      <c r="C2572" s="55">
        <f>IF(C2571="","",IF(AND(MONTH(C2571)&gt;=1,MONTH(C2571)&lt;=3),1,IF(AND(MONTH(C2571)&gt;=4,MONTH(C2571)&lt;=6),2,IF(AND(MONTH(C2571)&gt;=7,MONTH(C2571)&lt;=9),3,4))))</f>
        <v>2</v>
      </c>
      <c r="D2572" s="69"/>
      <c r="E2572" s="56" t="s">
        <v>865</v>
      </c>
      <c r="F2572" s="57"/>
    </row>
    <row r="2574" spans="1:10" ht="14.25" customHeight="1" x14ac:dyDescent="0.25">
      <c r="A2574" s="29" t="s">
        <v>1017</v>
      </c>
      <c r="B2574" s="29" t="s">
        <v>1042</v>
      </c>
      <c r="C2574" s="29" t="s">
        <v>1011</v>
      </c>
      <c r="D2574" s="29" t="s">
        <v>985</v>
      </c>
      <c r="E2574" s="29" t="s">
        <v>449</v>
      </c>
      <c r="F2574" s="29" t="s">
        <v>989</v>
      </c>
    </row>
    <row r="2575" spans="1:10" ht="14.25" customHeight="1" x14ac:dyDescent="0.25">
      <c r="A2575" s="25" t="s">
        <v>801</v>
      </c>
      <c r="B2575" s="26" t="str">
        <f ca="1">IFERROR(INDEX(UNSPSCDes,MATCH(INDIRECT(ADDRESS(ROW(),COLUMN()-1,4)),UNSPSCCode,0)),IF(INDIRECT(ADDRESS(ROW(),COLUMN()-1,4))="80111504","Formación o desarrollo laboral",""))</f>
        <v>Formación o desarrollo laboral</v>
      </c>
      <c r="C2575" s="58" t="str">
        <f>IFERROR(VLOOKUP("UD",'Informacion '!P:Q,2,FALSE),"")</f>
        <v>Unidad</v>
      </c>
      <c r="D2575" s="25">
        <v>1</v>
      </c>
      <c r="E2575" s="28">
        <v>123200</v>
      </c>
      <c r="F2575" s="27">
        <f ca="1">INDIRECT(ADDRESS(ROW(),COLUMN()-2,4))*INDIRECT(ADDRESS(ROW(),COLUMN()-1,4))</f>
        <v>123200</v>
      </c>
    </row>
    <row r="2576" spans="1:10" ht="14.25" customHeight="1" x14ac:dyDescent="0.25">
      <c r="E2576" s="30" t="s">
        <v>816</v>
      </c>
      <c r="F2576" s="31">
        <f ca="1">SUM(Table141[MONTO TOTAL ESTIMADO])</f>
        <v>123200</v>
      </c>
      <c r="H2576" s="21" t="str">
        <f>C2568</f>
        <v>Servicios</v>
      </c>
      <c r="I2576" s="21" t="str">
        <f>E2568</f>
        <v>No</v>
      </c>
      <c r="J2576" s="21" t="str">
        <f>D2568</f>
        <v>Licitacion Publica</v>
      </c>
    </row>
    <row r="2578" spans="1:10" ht="33.950000000000003" customHeight="1" x14ac:dyDescent="0.25">
      <c r="A2578" s="22" t="s">
        <v>1051</v>
      </c>
      <c r="B2578" s="22" t="s">
        <v>11</v>
      </c>
      <c r="C2578" s="22" t="s">
        <v>751</v>
      </c>
      <c r="D2578" s="22" t="s">
        <v>930</v>
      </c>
      <c r="E2578" s="22" t="s">
        <v>699</v>
      </c>
      <c r="F2578" s="22" t="s">
        <v>710</v>
      </c>
    </row>
    <row r="2579" spans="1:10" ht="14.25" customHeight="1" x14ac:dyDescent="0.25">
      <c r="A2579" s="23" t="s">
        <v>37</v>
      </c>
      <c r="B2579" s="23" t="s">
        <v>37</v>
      </c>
      <c r="C2579" s="23" t="s">
        <v>1155</v>
      </c>
      <c r="D2579" s="23" t="s">
        <v>654</v>
      </c>
      <c r="E2579" s="23" t="s">
        <v>1156</v>
      </c>
      <c r="F2579" s="23" t="s">
        <v>436</v>
      </c>
    </row>
    <row r="2580" spans="1:10" ht="14.25" customHeight="1" x14ac:dyDescent="0.25">
      <c r="A2580" s="68" t="s">
        <v>965</v>
      </c>
      <c r="B2580" s="24" t="s">
        <v>543</v>
      </c>
      <c r="C2580" s="54">
        <v>46143</v>
      </c>
      <c r="D2580" s="68" t="s">
        <v>598</v>
      </c>
      <c r="E2580" s="56" t="s">
        <v>858</v>
      </c>
      <c r="F2580" s="57" t="s">
        <v>184</v>
      </c>
    </row>
    <row r="2581" spans="1:10" ht="14.25" customHeight="1" x14ac:dyDescent="0.25">
      <c r="A2581" s="69"/>
      <c r="B2581" s="24" t="s">
        <v>112</v>
      </c>
      <c r="C2581" s="55">
        <f>IF(C2580="","",IF(AND(MONTH(C2580)&gt;=1,MONTH(C2580)&lt;=3),1,IF(AND(MONTH(C2580)&gt;=4,MONTH(C2580)&lt;=6),2,IF(AND(MONTH(C2580)&gt;=7,MONTH(C2580)&lt;=9),3,4))))</f>
        <v>2</v>
      </c>
      <c r="D2581" s="69"/>
      <c r="E2581" s="56" t="s">
        <v>143</v>
      </c>
      <c r="F2581" s="57" t="s">
        <v>711</v>
      </c>
    </row>
    <row r="2582" spans="1:10" ht="14.25" customHeight="1" x14ac:dyDescent="0.25">
      <c r="A2582" s="69"/>
      <c r="B2582" s="24" t="s">
        <v>844</v>
      </c>
      <c r="C2582" s="54">
        <v>46174</v>
      </c>
      <c r="D2582" s="69"/>
      <c r="E2582" s="56" t="s">
        <v>183</v>
      </c>
      <c r="F2582" s="57"/>
    </row>
    <row r="2583" spans="1:10" ht="14.25" customHeight="1" x14ac:dyDescent="0.25">
      <c r="A2583" s="69"/>
      <c r="B2583" s="24" t="s">
        <v>112</v>
      </c>
      <c r="C2583" s="55">
        <f>IF(C2582="","",IF(AND(MONTH(C2582)&gt;=1,MONTH(C2582)&lt;=3),1,IF(AND(MONTH(C2582)&gt;=4,MONTH(C2582)&lt;=6),2,IF(AND(MONTH(C2582)&gt;=7,MONTH(C2582)&lt;=9),3,4))))</f>
        <v>2</v>
      </c>
      <c r="D2583" s="69"/>
      <c r="E2583" s="56" t="s">
        <v>865</v>
      </c>
      <c r="F2583" s="57"/>
    </row>
    <row r="2585" spans="1:10" ht="14.25" customHeight="1" x14ac:dyDescent="0.25">
      <c r="A2585" s="29" t="s">
        <v>1017</v>
      </c>
      <c r="B2585" s="29" t="s">
        <v>1042</v>
      </c>
      <c r="C2585" s="29" t="s">
        <v>1011</v>
      </c>
      <c r="D2585" s="29" t="s">
        <v>985</v>
      </c>
      <c r="E2585" s="29" t="s">
        <v>449</v>
      </c>
      <c r="F2585" s="29" t="s">
        <v>989</v>
      </c>
    </row>
    <row r="2586" spans="1:10" ht="14.25" customHeight="1" x14ac:dyDescent="0.25">
      <c r="A2586" s="25" t="s">
        <v>36</v>
      </c>
      <c r="B2586" s="26" t="str">
        <f ca="1">IFERROR(INDEX(UNSPSCDes,MATCH(INDIRECT(ADDRESS(ROW(),COLUMN()-1,4)),UNSPSCCode,0)),IF(INDIRECT(ADDRESS(ROW(),COLUMN()-1,4))="53102301","Camisetas interiores",""))</f>
        <v>Camisetas interiores</v>
      </c>
      <c r="C2586" s="58" t="str">
        <f>IFERROR(VLOOKUP("UD",'Informacion '!P:Q,2,FALSE),"")</f>
        <v>Unidad</v>
      </c>
      <c r="D2586" s="25">
        <v>150</v>
      </c>
      <c r="E2586" s="28">
        <v>500</v>
      </c>
      <c r="F2586" s="27">
        <f ca="1">INDIRECT(ADDRESS(ROW(),COLUMN()-2,4))*INDIRECT(ADDRESS(ROW(),COLUMN()-1,4))</f>
        <v>75000</v>
      </c>
    </row>
    <row r="2587" spans="1:10" ht="14.25" customHeight="1" x14ac:dyDescent="0.25">
      <c r="A2587" s="25" t="s">
        <v>36</v>
      </c>
      <c r="B2587" s="26" t="str">
        <f ca="1">IFERROR(INDEX(UNSPSCDes,MATCH(INDIRECT(ADDRESS(ROW(),COLUMN()-1,4)),UNSPSCCode,0)),IF(INDIRECT(ADDRESS(ROW(),COLUMN()-1,4))="53102301","Camisetas interiores",""))</f>
        <v>Camisetas interiores</v>
      </c>
      <c r="C2587" s="58" t="str">
        <f>IFERROR(VLOOKUP("UD",'Informacion '!P:Q,2,FALSE),"")</f>
        <v>Unidad</v>
      </c>
      <c r="D2587" s="25">
        <v>62</v>
      </c>
      <c r="E2587" s="28">
        <v>450</v>
      </c>
      <c r="F2587" s="27">
        <f ca="1">INDIRECT(ADDRESS(ROW(),COLUMN()-2,4))*INDIRECT(ADDRESS(ROW(),COLUMN()-1,4))</f>
        <v>27900</v>
      </c>
    </row>
    <row r="2588" spans="1:10" ht="14.25" customHeight="1" x14ac:dyDescent="0.25">
      <c r="E2588" s="30" t="s">
        <v>816</v>
      </c>
      <c r="F2588" s="31">
        <f ca="1">SUM(Table142[MONTO TOTAL ESTIMADO])</f>
        <v>102900</v>
      </c>
      <c r="H2588" s="21" t="str">
        <f>C2579</f>
        <v>Bienes</v>
      </c>
      <c r="I2588" s="21" t="str">
        <f>E2579</f>
        <v>No</v>
      </c>
      <c r="J2588" s="21" t="str">
        <f>D2579</f>
        <v>Compras por debajo del Umbral</v>
      </c>
    </row>
    <row r="2590" spans="1:10" ht="33.950000000000003" customHeight="1" x14ac:dyDescent="0.25">
      <c r="A2590" s="22" t="s">
        <v>1051</v>
      </c>
      <c r="B2590" s="22" t="s">
        <v>11</v>
      </c>
      <c r="C2590" s="22" t="s">
        <v>751</v>
      </c>
      <c r="D2590" s="22" t="s">
        <v>930</v>
      </c>
      <c r="E2590" s="22" t="s">
        <v>699</v>
      </c>
      <c r="F2590" s="22" t="s">
        <v>710</v>
      </c>
    </row>
    <row r="2591" spans="1:10" ht="14.25" customHeight="1" x14ac:dyDescent="0.25">
      <c r="A2591" s="23" t="s">
        <v>1205</v>
      </c>
      <c r="B2591" s="23" t="s">
        <v>1205</v>
      </c>
      <c r="C2591" s="23" t="s">
        <v>1155</v>
      </c>
      <c r="D2591" s="23" t="s">
        <v>654</v>
      </c>
      <c r="E2591" s="23" t="s">
        <v>561</v>
      </c>
      <c r="F2591" s="23" t="s">
        <v>436</v>
      </c>
    </row>
    <row r="2592" spans="1:10" ht="14.25" customHeight="1" x14ac:dyDescent="0.25">
      <c r="A2592" s="68" t="s">
        <v>965</v>
      </c>
      <c r="B2592" s="24" t="s">
        <v>543</v>
      </c>
      <c r="C2592" s="54">
        <v>46064</v>
      </c>
      <c r="D2592" s="68" t="s">
        <v>598</v>
      </c>
      <c r="E2592" s="56" t="s">
        <v>858</v>
      </c>
      <c r="F2592" s="57" t="s">
        <v>184</v>
      </c>
    </row>
    <row r="2593" spans="1:10" ht="14.25" customHeight="1" x14ac:dyDescent="0.25">
      <c r="A2593" s="69"/>
      <c r="B2593" s="24" t="s">
        <v>112</v>
      </c>
      <c r="C2593" s="55">
        <f>IF(C2592="","",IF(AND(MONTH(C2592)&gt;=1,MONTH(C2592)&lt;=3),1,IF(AND(MONTH(C2592)&gt;=4,MONTH(C2592)&lt;=6),2,IF(AND(MONTH(C2592)&gt;=7,MONTH(C2592)&lt;=9),3,4))))</f>
        <v>1</v>
      </c>
      <c r="D2593" s="69"/>
      <c r="E2593" s="56" t="s">
        <v>143</v>
      </c>
      <c r="F2593" s="57"/>
    </row>
    <row r="2594" spans="1:10" ht="14.25" customHeight="1" x14ac:dyDescent="0.25">
      <c r="A2594" s="69"/>
      <c r="B2594" s="24" t="s">
        <v>844</v>
      </c>
      <c r="C2594" s="54">
        <v>46082</v>
      </c>
      <c r="D2594" s="69"/>
      <c r="E2594" s="56" t="s">
        <v>183</v>
      </c>
      <c r="F2594" s="57"/>
    </row>
    <row r="2595" spans="1:10" ht="14.25" customHeight="1" x14ac:dyDescent="0.25">
      <c r="A2595" s="69"/>
      <c r="B2595" s="24" t="s">
        <v>112</v>
      </c>
      <c r="C2595" s="55">
        <f>IF(C2594="","",IF(AND(MONTH(C2594)&gt;=1,MONTH(C2594)&lt;=3),1,IF(AND(MONTH(C2594)&gt;=4,MONTH(C2594)&lt;=6),2,IF(AND(MONTH(C2594)&gt;=7,MONTH(C2594)&lt;=9),3,4))))</f>
        <v>1</v>
      </c>
      <c r="D2595" s="69"/>
      <c r="E2595" s="56" t="s">
        <v>865</v>
      </c>
      <c r="F2595" s="57"/>
    </row>
    <row r="2597" spans="1:10" ht="14.25" customHeight="1" x14ac:dyDescent="0.25">
      <c r="A2597" s="29" t="s">
        <v>1017</v>
      </c>
      <c r="B2597" s="29" t="s">
        <v>1042</v>
      </c>
      <c r="C2597" s="29" t="s">
        <v>1011</v>
      </c>
      <c r="D2597" s="29" t="s">
        <v>985</v>
      </c>
      <c r="E2597" s="29" t="s">
        <v>449</v>
      </c>
      <c r="F2597" s="29" t="s">
        <v>989</v>
      </c>
    </row>
    <row r="2598" spans="1:10" ht="14.25" customHeight="1" x14ac:dyDescent="0.25">
      <c r="A2598" s="25" t="s">
        <v>39</v>
      </c>
      <c r="B2598" s="26" t="str">
        <f t="shared" ref="B2598:B2607" ca="1" si="82">IFERROR(INDEX(UNSPSCDes,MATCH(INDIRECT(ADDRESS(ROW(),COLUMN()-1,4)),UNSPSCCode,0)),IF(INDIRECT(ADDRESS(ROW(),COLUMN()-1,4))="52131601","Persianas venecianas",""))</f>
        <v>Persianas venecianas</v>
      </c>
      <c r="C2598" s="58" t="str">
        <f>IFERROR(VLOOKUP("UD",'Informacion '!P:Q,2,FALSE),"")</f>
        <v>Unidad</v>
      </c>
      <c r="D2598" s="25">
        <v>3</v>
      </c>
      <c r="E2598" s="28">
        <v>6560.99</v>
      </c>
      <c r="F2598" s="27">
        <f t="shared" ref="F2598:F2607" ca="1" si="83">INDIRECT(ADDRESS(ROW(),COLUMN()-2,4))*INDIRECT(ADDRESS(ROW(),COLUMN()-1,4))</f>
        <v>19682.97</v>
      </c>
    </row>
    <row r="2599" spans="1:10" ht="14.25" customHeight="1" x14ac:dyDescent="0.25">
      <c r="A2599" s="25" t="s">
        <v>39</v>
      </c>
      <c r="B2599" s="26" t="str">
        <f t="shared" ca="1" si="82"/>
        <v>Persianas venecianas</v>
      </c>
      <c r="C2599" s="58" t="str">
        <f>IFERROR(VLOOKUP("UD",'Informacion '!P:Q,2,FALSE),"")</f>
        <v>Unidad</v>
      </c>
      <c r="D2599" s="25">
        <v>5</v>
      </c>
      <c r="E2599" s="28">
        <v>6353.99</v>
      </c>
      <c r="F2599" s="27">
        <f t="shared" ca="1" si="83"/>
        <v>31769.949999999997</v>
      </c>
    </row>
    <row r="2600" spans="1:10" ht="14.25" customHeight="1" x14ac:dyDescent="0.25">
      <c r="A2600" s="25" t="s">
        <v>39</v>
      </c>
      <c r="B2600" s="26" t="str">
        <f t="shared" ca="1" si="82"/>
        <v>Persianas venecianas</v>
      </c>
      <c r="C2600" s="58" t="str">
        <f>IFERROR(VLOOKUP("UD",'Informacion '!P:Q,2,FALSE),"")</f>
        <v>Unidad</v>
      </c>
      <c r="D2600" s="25">
        <v>5</v>
      </c>
      <c r="E2600" s="28">
        <v>6143.9</v>
      </c>
      <c r="F2600" s="27">
        <f t="shared" ca="1" si="83"/>
        <v>30719.5</v>
      </c>
    </row>
    <row r="2601" spans="1:10" ht="14.25" customHeight="1" x14ac:dyDescent="0.25">
      <c r="A2601" s="25" t="s">
        <v>39</v>
      </c>
      <c r="B2601" s="26" t="str">
        <f t="shared" ca="1" si="82"/>
        <v>Persianas venecianas</v>
      </c>
      <c r="C2601" s="58" t="str">
        <f>IFERROR(VLOOKUP("UD",'Informacion '!P:Q,2,FALSE),"")</f>
        <v>Unidad</v>
      </c>
      <c r="D2601" s="25">
        <v>5</v>
      </c>
      <c r="E2601" s="28">
        <v>6914.99</v>
      </c>
      <c r="F2601" s="27">
        <f t="shared" ca="1" si="83"/>
        <v>34574.949999999997</v>
      </c>
    </row>
    <row r="2602" spans="1:10" ht="14.25" customHeight="1" x14ac:dyDescent="0.25">
      <c r="A2602" s="25" t="s">
        <v>39</v>
      </c>
      <c r="B2602" s="26" t="str">
        <f t="shared" ca="1" si="82"/>
        <v>Persianas venecianas</v>
      </c>
      <c r="C2602" s="58" t="str">
        <f>IFERROR(VLOOKUP("UD",'Informacion '!P:Q,2,FALSE),"")</f>
        <v>Unidad</v>
      </c>
      <c r="D2602" s="25">
        <v>5</v>
      </c>
      <c r="E2602" s="28">
        <v>6569</v>
      </c>
      <c r="F2602" s="27">
        <f t="shared" ca="1" si="83"/>
        <v>32845</v>
      </c>
    </row>
    <row r="2603" spans="1:10" ht="14.25" customHeight="1" x14ac:dyDescent="0.25">
      <c r="A2603" s="25" t="s">
        <v>39</v>
      </c>
      <c r="B2603" s="26" t="str">
        <f t="shared" ca="1" si="82"/>
        <v>Persianas venecianas</v>
      </c>
      <c r="C2603" s="58" t="str">
        <f>IFERROR(VLOOKUP("UD",'Informacion '!P:Q,2,FALSE),"")</f>
        <v>Unidad</v>
      </c>
      <c r="D2603" s="25">
        <v>2</v>
      </c>
      <c r="E2603" s="28">
        <v>13535</v>
      </c>
      <c r="F2603" s="27">
        <f t="shared" ca="1" si="83"/>
        <v>27070</v>
      </c>
    </row>
    <row r="2604" spans="1:10" ht="14.25" customHeight="1" x14ac:dyDescent="0.25">
      <c r="A2604" s="25" t="s">
        <v>39</v>
      </c>
      <c r="B2604" s="26" t="str">
        <f t="shared" ca="1" si="82"/>
        <v>Persianas venecianas</v>
      </c>
      <c r="C2604" s="58" t="str">
        <f>IFERROR(VLOOKUP("UD",'Informacion '!P:Q,2,FALSE),"")</f>
        <v>Unidad</v>
      </c>
      <c r="D2604" s="25">
        <v>1</v>
      </c>
      <c r="E2604" s="28">
        <v>6560.99</v>
      </c>
      <c r="F2604" s="27">
        <f t="shared" ca="1" si="83"/>
        <v>6560.99</v>
      </c>
    </row>
    <row r="2605" spans="1:10" ht="14.25" customHeight="1" x14ac:dyDescent="0.25">
      <c r="A2605" s="25" t="s">
        <v>39</v>
      </c>
      <c r="B2605" s="26" t="str">
        <f t="shared" ca="1" si="82"/>
        <v>Persianas venecianas</v>
      </c>
      <c r="C2605" s="58" t="str">
        <f>IFERROR(VLOOKUP("UD",'Informacion '!P:Q,2,FALSE),"")</f>
        <v>Unidad</v>
      </c>
      <c r="D2605" s="25">
        <v>1</v>
      </c>
      <c r="E2605" s="28">
        <v>6560.99</v>
      </c>
      <c r="F2605" s="27">
        <f t="shared" ca="1" si="83"/>
        <v>6560.99</v>
      </c>
    </row>
    <row r="2606" spans="1:10" ht="14.25" customHeight="1" x14ac:dyDescent="0.25">
      <c r="A2606" s="25" t="s">
        <v>39</v>
      </c>
      <c r="B2606" s="26" t="str">
        <f t="shared" ca="1" si="82"/>
        <v>Persianas venecianas</v>
      </c>
      <c r="C2606" s="58" t="str">
        <f>IFERROR(VLOOKUP("UD",'Informacion '!P:Q,2,FALSE),"")</f>
        <v>Unidad</v>
      </c>
      <c r="D2606" s="25">
        <v>1</v>
      </c>
      <c r="E2606" s="28">
        <v>6560.99</v>
      </c>
      <c r="F2606" s="27">
        <f t="shared" ca="1" si="83"/>
        <v>6560.99</v>
      </c>
    </row>
    <row r="2607" spans="1:10" ht="14.25" customHeight="1" x14ac:dyDescent="0.25">
      <c r="A2607" s="25" t="s">
        <v>39</v>
      </c>
      <c r="B2607" s="26" t="str">
        <f t="shared" ca="1" si="82"/>
        <v>Persianas venecianas</v>
      </c>
      <c r="C2607" s="58" t="str">
        <f>IFERROR(VLOOKUP("UD",'Informacion '!P:Q,2,FALSE),"")</f>
        <v>Unidad</v>
      </c>
      <c r="D2607" s="25">
        <v>1</v>
      </c>
      <c r="E2607" s="28">
        <v>6560.99</v>
      </c>
      <c r="F2607" s="27">
        <f t="shared" ca="1" si="83"/>
        <v>6560.99</v>
      </c>
    </row>
    <row r="2608" spans="1:10" ht="14.25" customHeight="1" x14ac:dyDescent="0.25">
      <c r="E2608" s="30" t="s">
        <v>816</v>
      </c>
      <c r="F2608" s="31">
        <f ca="1">SUM(Table143[MONTO TOTAL ESTIMADO])</f>
        <v>202906.32999999996</v>
      </c>
      <c r="H2608" s="21" t="str">
        <f>C2591</f>
        <v>Bienes</v>
      </c>
      <c r="I2608" s="21" t="str">
        <f>E2591</f>
        <v>Sí</v>
      </c>
      <c r="J2608" s="21" t="str">
        <f>D2591</f>
        <v>Compras por debajo del Umbral</v>
      </c>
    </row>
    <row r="2610" spans="1:6" ht="33.950000000000003" customHeight="1" x14ac:dyDescent="0.25">
      <c r="A2610" s="22" t="s">
        <v>1051</v>
      </c>
      <c r="B2610" s="22" t="s">
        <v>11</v>
      </c>
      <c r="C2610" s="22" t="s">
        <v>751</v>
      </c>
      <c r="D2610" s="22" t="s">
        <v>930</v>
      </c>
      <c r="E2610" s="22" t="s">
        <v>699</v>
      </c>
      <c r="F2610" s="22" t="s">
        <v>710</v>
      </c>
    </row>
    <row r="2611" spans="1:6" ht="14.25" customHeight="1" x14ac:dyDescent="0.25">
      <c r="A2611" s="23" t="s">
        <v>565</v>
      </c>
      <c r="B2611" s="23" t="s">
        <v>565</v>
      </c>
      <c r="C2611" s="23" t="s">
        <v>1155</v>
      </c>
      <c r="D2611" s="23" t="s">
        <v>1128</v>
      </c>
      <c r="E2611" s="23" t="s">
        <v>1156</v>
      </c>
      <c r="F2611" s="23" t="s">
        <v>436</v>
      </c>
    </row>
    <row r="2612" spans="1:6" ht="14.25" customHeight="1" x14ac:dyDescent="0.25">
      <c r="A2612" s="68" t="s">
        <v>965</v>
      </c>
      <c r="B2612" s="24" t="s">
        <v>543</v>
      </c>
      <c r="C2612" s="54">
        <v>46124</v>
      </c>
      <c r="D2612" s="68" t="s">
        <v>598</v>
      </c>
      <c r="E2612" s="56" t="s">
        <v>858</v>
      </c>
      <c r="F2612" s="57"/>
    </row>
    <row r="2613" spans="1:6" ht="14.25" customHeight="1" x14ac:dyDescent="0.25">
      <c r="A2613" s="69"/>
      <c r="B2613" s="24" t="s">
        <v>112</v>
      </c>
      <c r="C2613" s="55">
        <f>IF(C2612="","",IF(AND(MONTH(C2612)&gt;=1,MONTH(C2612)&lt;=3),1,IF(AND(MONTH(C2612)&gt;=4,MONTH(C2612)&lt;=6),2,IF(AND(MONTH(C2612)&gt;=7,MONTH(C2612)&lt;=9),3,4))))</f>
        <v>2</v>
      </c>
      <c r="D2613" s="69"/>
      <c r="E2613" s="56" t="s">
        <v>143</v>
      </c>
      <c r="F2613" s="57"/>
    </row>
    <row r="2614" spans="1:6" ht="14.25" customHeight="1" x14ac:dyDescent="0.25">
      <c r="A2614" s="69"/>
      <c r="B2614" s="24" t="s">
        <v>844</v>
      </c>
      <c r="C2614" s="54">
        <v>46142</v>
      </c>
      <c r="D2614" s="69"/>
      <c r="E2614" s="56" t="s">
        <v>183</v>
      </c>
      <c r="F2614" s="57"/>
    </row>
    <row r="2615" spans="1:6" ht="14.25" customHeight="1" x14ac:dyDescent="0.25">
      <c r="A2615" s="69"/>
      <c r="B2615" s="24" t="s">
        <v>112</v>
      </c>
      <c r="C2615" s="55">
        <f>IF(C2614="","",IF(AND(MONTH(C2614)&gt;=1,MONTH(C2614)&lt;=3),1,IF(AND(MONTH(C2614)&gt;=4,MONTH(C2614)&lt;=6),2,IF(AND(MONTH(C2614)&gt;=7,MONTH(C2614)&lt;=9),3,4))))</f>
        <v>2</v>
      </c>
      <c r="D2615" s="69"/>
      <c r="E2615" s="56" t="s">
        <v>865</v>
      </c>
      <c r="F2615" s="57"/>
    </row>
    <row r="2617" spans="1:6" ht="14.25" customHeight="1" x14ac:dyDescent="0.25">
      <c r="A2617" s="29" t="s">
        <v>1017</v>
      </c>
      <c r="B2617" s="29" t="s">
        <v>1042</v>
      </c>
      <c r="C2617" s="29" t="s">
        <v>1011</v>
      </c>
      <c r="D2617" s="29" t="s">
        <v>985</v>
      </c>
      <c r="E2617" s="29" t="s">
        <v>449</v>
      </c>
      <c r="F2617" s="29" t="s">
        <v>989</v>
      </c>
    </row>
    <row r="2618" spans="1:6" ht="14.25" customHeight="1" x14ac:dyDescent="0.25">
      <c r="A2618" s="25" t="s">
        <v>1138</v>
      </c>
      <c r="B2618" s="26" t="str">
        <f ca="1">IFERROR(INDEX(UNSPSCDes,MATCH(INDIRECT(ADDRESS(ROW(),COLUMN()-1,4)),UNSPSCCode,0)),IF(INDIRECT(ADDRESS(ROW(),COLUMN()-1,4))="31162402","Cerraduras",""))</f>
        <v>Cerraduras</v>
      </c>
      <c r="C2618" s="58" t="str">
        <f>IFERROR(VLOOKUP("UD",'Informacion '!P:Q,2,FALSE),"")</f>
        <v>Unidad</v>
      </c>
      <c r="D2618" s="25">
        <v>5</v>
      </c>
      <c r="E2618" s="28">
        <v>800</v>
      </c>
      <c r="F2618" s="27">
        <f t="shared" ref="F2618:F2649" ca="1" si="84">INDIRECT(ADDRESS(ROW(),COLUMN()-2,4))*INDIRECT(ADDRESS(ROW(),COLUMN()-1,4))</f>
        <v>4000</v>
      </c>
    </row>
    <row r="2619" spans="1:6" ht="14.25" customHeight="1" x14ac:dyDescent="0.25">
      <c r="A2619" s="25" t="s">
        <v>224</v>
      </c>
      <c r="B2619" s="26" t="str">
        <f ca="1">IFERROR(INDEX(UNSPSCDes,MATCH(INDIRECT(ADDRESS(ROW(),COLUMN()-1,4)),UNSPSCCode,0)),IF(INDIRECT(ADDRESS(ROW(),COLUMN()-1,4))="31162808","Barras de pánico",""))</f>
        <v>Barras de pánico</v>
      </c>
      <c r="C2619" s="58" t="str">
        <f>IFERROR(VLOOKUP("UD",'Informacion '!P:Q,2,FALSE),"")</f>
        <v>Unidad</v>
      </c>
      <c r="D2619" s="25">
        <v>4</v>
      </c>
      <c r="E2619" s="28">
        <v>8000</v>
      </c>
      <c r="F2619" s="27">
        <f t="shared" ca="1" si="84"/>
        <v>32000</v>
      </c>
    </row>
    <row r="2620" spans="1:6" ht="14.25" customHeight="1" x14ac:dyDescent="0.25">
      <c r="A2620" s="25" t="s">
        <v>185</v>
      </c>
      <c r="B2620" s="26" t="str">
        <f ca="1">IFERROR(INDEX(UNSPSCDes,MATCH(INDIRECT(ADDRESS(ROW(),COLUMN()-1,4)),UNSPSCCode,0)),IF(INDIRECT(ADDRESS(ROW(),COLUMN()-1,4))="31162403","Goznes o bisagras",""))</f>
        <v>Goznes o bisagras</v>
      </c>
      <c r="C2620" s="58" t="str">
        <f>IFERROR(VLOOKUP("UD",'Informacion '!P:Q,2,FALSE),"")</f>
        <v>Unidad</v>
      </c>
      <c r="D2620" s="25">
        <v>100</v>
      </c>
      <c r="E2620" s="28">
        <v>160.80000000000001</v>
      </c>
      <c r="F2620" s="27">
        <f t="shared" ca="1" si="84"/>
        <v>16080.000000000002</v>
      </c>
    </row>
    <row r="2621" spans="1:6" ht="14.25" customHeight="1" x14ac:dyDescent="0.25">
      <c r="A2621" s="25" t="s">
        <v>806</v>
      </c>
      <c r="B2621" s="26" t="str">
        <f ca="1">IFERROR(INDEX(UNSPSCDes,MATCH(INDIRECT(ADDRESS(ROW(),COLUMN()-1,4)),UNSPSCCode,0)),IF(INDIRECT(ADDRESS(ROW(),COLUMN()-1,4))="30171514","Cerradores de puertas",""))</f>
        <v>Cerradores de puertas</v>
      </c>
      <c r="C2621" s="58" t="str">
        <f>IFERROR(VLOOKUP("UD",'Informacion '!P:Q,2,FALSE),"")</f>
        <v>Unidad</v>
      </c>
      <c r="D2621" s="25">
        <v>20</v>
      </c>
      <c r="E2621" s="28">
        <v>2200</v>
      </c>
      <c r="F2621" s="27">
        <f t="shared" ca="1" si="84"/>
        <v>44000</v>
      </c>
    </row>
    <row r="2622" spans="1:6" ht="14.25" customHeight="1" x14ac:dyDescent="0.25">
      <c r="A2622" s="25" t="s">
        <v>806</v>
      </c>
      <c r="B2622" s="26" t="str">
        <f ca="1">IFERROR(INDEX(UNSPSCDes,MATCH(INDIRECT(ADDRESS(ROW(),COLUMN()-1,4)),UNSPSCCode,0)),IF(INDIRECT(ADDRESS(ROW(),COLUMN()-1,4))="30171514","Cerradores de puertas",""))</f>
        <v>Cerradores de puertas</v>
      </c>
      <c r="C2622" s="58" t="str">
        <f>IFERROR(VLOOKUP("UD",'Informacion '!P:Q,2,FALSE),"")</f>
        <v>Unidad</v>
      </c>
      <c r="D2622" s="25">
        <v>30</v>
      </c>
      <c r="E2622" s="28">
        <v>3200</v>
      </c>
      <c r="F2622" s="27">
        <f t="shared" ca="1" si="84"/>
        <v>96000</v>
      </c>
    </row>
    <row r="2623" spans="1:6" ht="14.25" customHeight="1" x14ac:dyDescent="0.25">
      <c r="A2623" s="25" t="s">
        <v>176</v>
      </c>
      <c r="B2623" s="26" t="str">
        <f ca="1">IFERROR(INDEX(UNSPSCDes,MATCH(INDIRECT(ADDRESS(ROW(),COLUMN()-1,4)),UNSPSCCode,0)),IF(INDIRECT(ADDRESS(ROW(),COLUMN()-1,4))="39121703","Enlaces de cables",""))</f>
        <v>Enlaces de cables</v>
      </c>
      <c r="C2623" s="58" t="str">
        <f>IFERROR(VLOOKUP("UD",'Informacion '!P:Q,2,FALSE),"")</f>
        <v>Unidad</v>
      </c>
      <c r="D2623" s="25">
        <v>10</v>
      </c>
      <c r="E2623" s="28">
        <v>500</v>
      </c>
      <c r="F2623" s="27">
        <f t="shared" ca="1" si="84"/>
        <v>5000</v>
      </c>
    </row>
    <row r="2624" spans="1:6" ht="14.25" customHeight="1" x14ac:dyDescent="0.25">
      <c r="A2624" s="25" t="s">
        <v>857</v>
      </c>
      <c r="B2624" s="26" t="str">
        <f ca="1">IFERROR(INDEX(UNSPSCDes,MATCH(INDIRECT(ADDRESS(ROW(),COLUMN()-1,4)),UNSPSCCode,0)),IF(INDIRECT(ADDRESS(ROW(),COLUMN()-1,4))="30151703","Canaletas",""))</f>
        <v>Canaletas</v>
      </c>
      <c r="C2624" s="58" t="str">
        <f>IFERROR(VLOOKUP("UD",'Informacion '!P:Q,2,FALSE),"")</f>
        <v>Unidad</v>
      </c>
      <c r="D2624" s="25">
        <v>50</v>
      </c>
      <c r="E2624" s="28">
        <v>230</v>
      </c>
      <c r="F2624" s="27">
        <f t="shared" ca="1" si="84"/>
        <v>11500</v>
      </c>
    </row>
    <row r="2625" spans="1:6" ht="14.25" customHeight="1" x14ac:dyDescent="0.25">
      <c r="A2625" s="25" t="s">
        <v>1138</v>
      </c>
      <c r="B2625" s="26" t="str">
        <f ca="1">IFERROR(INDEX(UNSPSCDes,MATCH(INDIRECT(ADDRESS(ROW(),COLUMN()-1,4)),UNSPSCCode,0)),IF(INDIRECT(ADDRESS(ROW(),COLUMN()-1,4))="31162402","Cerraduras",""))</f>
        <v>Cerraduras</v>
      </c>
      <c r="C2625" s="58" t="str">
        <f>IFERROR(VLOOKUP("UD",'Informacion '!P:Q,2,FALSE),"")</f>
        <v>Unidad</v>
      </c>
      <c r="D2625" s="25">
        <v>40</v>
      </c>
      <c r="E2625" s="28">
        <v>2100</v>
      </c>
      <c r="F2625" s="27">
        <f t="shared" ca="1" si="84"/>
        <v>84000</v>
      </c>
    </row>
    <row r="2626" spans="1:6" ht="14.25" customHeight="1" x14ac:dyDescent="0.25">
      <c r="A2626" s="25" t="s">
        <v>1138</v>
      </c>
      <c r="B2626" s="26" t="str">
        <f ca="1">IFERROR(INDEX(UNSPSCDes,MATCH(INDIRECT(ADDRESS(ROW(),COLUMN()-1,4)),UNSPSCCode,0)),IF(INDIRECT(ADDRESS(ROW(),COLUMN()-1,4))="31162402","Cerraduras",""))</f>
        <v>Cerraduras</v>
      </c>
      <c r="C2626" s="58" t="str">
        <f>IFERROR(VLOOKUP("UD",'Informacion '!P:Q,2,FALSE),"")</f>
        <v>Unidad</v>
      </c>
      <c r="D2626" s="25">
        <v>40</v>
      </c>
      <c r="E2626" s="28">
        <v>2400</v>
      </c>
      <c r="F2626" s="27">
        <f t="shared" ca="1" si="84"/>
        <v>96000</v>
      </c>
    </row>
    <row r="2627" spans="1:6" ht="14.25" customHeight="1" x14ac:dyDescent="0.25">
      <c r="A2627" s="25" t="s">
        <v>1211</v>
      </c>
      <c r="B2627" s="26" t="str">
        <f ca="1">IFERROR(INDEX(UNSPSCDes,MATCH(INDIRECT(ADDRESS(ROW(),COLUMN()-1,4)),UNSPSCCode,0)),IF(INDIRECT(ADDRESS(ROW(),COLUMN()-1,4))="27111906","Cinceles de madera",""))</f>
        <v>Cinceles de madera</v>
      </c>
      <c r="C2627" s="58" t="str">
        <f>IFERROR(VLOOKUP("UD",'Informacion '!P:Q,2,FALSE),"")</f>
        <v>Unidad</v>
      </c>
      <c r="D2627" s="25">
        <v>2</v>
      </c>
      <c r="E2627" s="28">
        <v>1353.27</v>
      </c>
      <c r="F2627" s="27">
        <f t="shared" ca="1" si="84"/>
        <v>2706.54</v>
      </c>
    </row>
    <row r="2628" spans="1:6" ht="14.25" customHeight="1" x14ac:dyDescent="0.25">
      <c r="A2628" s="25" t="s">
        <v>1211</v>
      </c>
      <c r="B2628" s="26" t="str">
        <f ca="1">IFERROR(INDEX(UNSPSCDes,MATCH(INDIRECT(ADDRESS(ROW(),COLUMN()-1,4)),UNSPSCCode,0)),IF(INDIRECT(ADDRESS(ROW(),COLUMN()-1,4))="27111906","Cinceles de madera",""))</f>
        <v>Cinceles de madera</v>
      </c>
      <c r="C2628" s="58" t="str">
        <f>IFERROR(VLOOKUP("UD",'Informacion '!P:Q,2,FALSE),"")</f>
        <v>Unidad</v>
      </c>
      <c r="D2628" s="25">
        <v>2</v>
      </c>
      <c r="E2628" s="28">
        <v>629.41999999999996</v>
      </c>
      <c r="F2628" s="27">
        <f t="shared" ca="1" si="84"/>
        <v>1258.8399999999999</v>
      </c>
    </row>
    <row r="2629" spans="1:6" ht="14.25" customHeight="1" x14ac:dyDescent="0.25">
      <c r="A2629" s="25" t="s">
        <v>716</v>
      </c>
      <c r="B2629" s="26" t="str">
        <f ca="1">IFERROR(INDEX(UNSPSCDes,MATCH(INDIRECT(ADDRESS(ROW(),COLUMN()-1,4)),UNSPSCCode,0)),IF(INDIRECT(ADDRESS(ROW(),COLUMN()-1,4))="23101508","Cortadoras",""))</f>
        <v>Cortadoras</v>
      </c>
      <c r="C2629" s="58" t="str">
        <f>IFERROR(VLOOKUP("UD",'Informacion '!P:Q,2,FALSE),"")</f>
        <v>Unidad</v>
      </c>
      <c r="D2629" s="25">
        <v>1</v>
      </c>
      <c r="E2629" s="28">
        <v>9349.81</v>
      </c>
      <c r="F2629" s="27">
        <f t="shared" ca="1" si="84"/>
        <v>9349.81</v>
      </c>
    </row>
    <row r="2630" spans="1:6" ht="14.25" customHeight="1" x14ac:dyDescent="0.25">
      <c r="A2630" s="25" t="s">
        <v>108</v>
      </c>
      <c r="B2630" s="26" t="str">
        <f ca="1">IFERROR(INDEX(UNSPSCDes,MATCH(INDIRECT(ADDRESS(ROW(),COLUMN()-1,4)),UNSPSCCode,0)),IF(INDIRECT(ADDRESS(ROW(),COLUMN()-1,4))="47121808","Equipo de limpieza de drenajes o tubos",""))</f>
        <v>Equipo de limpieza de drenajes o tubos</v>
      </c>
      <c r="C2630" s="58" t="str">
        <f>IFERROR(VLOOKUP("UD",'Informacion '!P:Q,2,FALSE),"")</f>
        <v>Unidad</v>
      </c>
      <c r="D2630" s="25">
        <v>10</v>
      </c>
      <c r="E2630" s="28">
        <v>10000</v>
      </c>
      <c r="F2630" s="27">
        <f t="shared" ca="1" si="84"/>
        <v>100000</v>
      </c>
    </row>
    <row r="2631" spans="1:6" ht="14.25" customHeight="1" x14ac:dyDescent="0.25">
      <c r="A2631" s="25" t="s">
        <v>785</v>
      </c>
      <c r="B2631" s="26" t="str">
        <f ca="1">IFERROR(INDEX(UNSPSCDes,MATCH(INDIRECT(ADDRESS(ROW(),COLUMN()-1,4)),UNSPSCCode,0)),IF(INDIRECT(ADDRESS(ROW(),COLUMN()-1,4))="30191501","Escaleras",""))</f>
        <v>Escaleras</v>
      </c>
      <c r="C2631" s="58" t="str">
        <f>IFERROR(VLOOKUP("UD",'Informacion '!P:Q,2,FALSE),"")</f>
        <v>Unidad</v>
      </c>
      <c r="D2631" s="25">
        <v>1</v>
      </c>
      <c r="E2631" s="28">
        <v>20500</v>
      </c>
      <c r="F2631" s="27">
        <f t="shared" ca="1" si="84"/>
        <v>20500</v>
      </c>
    </row>
    <row r="2632" spans="1:6" ht="14.25" customHeight="1" x14ac:dyDescent="0.25">
      <c r="A2632" s="25" t="s">
        <v>785</v>
      </c>
      <c r="B2632" s="26" t="str">
        <f ca="1">IFERROR(INDEX(UNSPSCDes,MATCH(INDIRECT(ADDRESS(ROW(),COLUMN()-1,4)),UNSPSCCode,0)),IF(INDIRECT(ADDRESS(ROW(),COLUMN()-1,4))="30191501","Escaleras",""))</f>
        <v>Escaleras</v>
      </c>
      <c r="C2632" s="58" t="str">
        <f>IFERROR(VLOOKUP("UD",'Informacion '!P:Q,2,FALSE),"")</f>
        <v>Unidad</v>
      </c>
      <c r="D2632" s="25">
        <v>5</v>
      </c>
      <c r="E2632" s="28">
        <v>12500</v>
      </c>
      <c r="F2632" s="27">
        <f t="shared" ca="1" si="84"/>
        <v>62500</v>
      </c>
    </row>
    <row r="2633" spans="1:6" ht="14.25" customHeight="1" x14ac:dyDescent="0.25">
      <c r="A2633" s="25" t="s">
        <v>58</v>
      </c>
      <c r="B2633" s="26" t="str">
        <f ca="1">IFERROR(INDEX(UNSPSCDes,MATCH(INDIRECT(ADDRESS(ROW(),COLUMN()-1,4)),UNSPSCCode,0)),IF(INDIRECT(ADDRESS(ROW(),COLUMN()-1,4))="46181504","Guantes de protección",""))</f>
        <v>Guantes de protección</v>
      </c>
      <c r="C2633" s="58" t="str">
        <f>IFERROR(VLOOKUP("UD",'Informacion '!P:Q,2,FALSE),"")</f>
        <v>Unidad</v>
      </c>
      <c r="D2633" s="25">
        <v>500</v>
      </c>
      <c r="E2633" s="28">
        <v>600</v>
      </c>
      <c r="F2633" s="27">
        <f t="shared" ca="1" si="84"/>
        <v>300000</v>
      </c>
    </row>
    <row r="2634" spans="1:6" ht="14.25" customHeight="1" x14ac:dyDescent="0.25">
      <c r="A2634" s="25" t="s">
        <v>370</v>
      </c>
      <c r="B2634" s="26" t="str">
        <f ca="1">IFERROR(INDEX(UNSPSCDes,MATCH(INDIRECT(ADDRESS(ROW(),COLUMN()-1,4)),UNSPSCCode,0)),IF(INDIRECT(ADDRESS(ROW(),COLUMN()-1,4))="27111710","Llaves allen",""))</f>
        <v>Llaves allen</v>
      </c>
      <c r="C2634" s="58" t="str">
        <f>IFERROR(VLOOKUP("UD",'Informacion '!P:Q,2,FALSE),"")</f>
        <v>Unidad</v>
      </c>
      <c r="D2634" s="25">
        <v>4</v>
      </c>
      <c r="E2634" s="28">
        <v>249</v>
      </c>
      <c r="F2634" s="27">
        <f t="shared" ca="1" si="84"/>
        <v>996</v>
      </c>
    </row>
    <row r="2635" spans="1:6" ht="14.25" customHeight="1" x14ac:dyDescent="0.25">
      <c r="A2635" s="25" t="s">
        <v>895</v>
      </c>
      <c r="B2635" s="26" t="str">
        <f ca="1">IFERROR(INDEX(UNSPSCDes,MATCH(INDIRECT(ADDRESS(ROW(),COLUMN()-1,4)),UNSPSCCode,0)),IF(INDIRECT(ADDRESS(ROW(),COLUMN()-1,4))="40141609","Válvulas de control",""))</f>
        <v>Válvulas de control</v>
      </c>
      <c r="C2635" s="58" t="str">
        <f>IFERROR(VLOOKUP("UD",'Informacion '!P:Q,2,FALSE),"")</f>
        <v>Unidad</v>
      </c>
      <c r="D2635" s="25">
        <v>10</v>
      </c>
      <c r="E2635" s="28">
        <v>231.49</v>
      </c>
      <c r="F2635" s="27">
        <f t="shared" ca="1" si="84"/>
        <v>2314.9</v>
      </c>
    </row>
    <row r="2636" spans="1:6" ht="14.25" customHeight="1" x14ac:dyDescent="0.25">
      <c r="A2636" s="25" t="s">
        <v>692</v>
      </c>
      <c r="B2636" s="26" t="str">
        <f ca="1">IFERROR(INDEX(UNSPSCDes,MATCH(INDIRECT(ADDRESS(ROW(),COLUMN()-1,4)),UNSPSCCode,0)),IF(INDIRECT(ADDRESS(ROW(),COLUMN()-1,4))="27111708","Llaves para tubos",""))</f>
        <v>Llaves para tubos</v>
      </c>
      <c r="C2636" s="58" t="str">
        <f>IFERROR(VLOOKUP("UD",'Informacion '!P:Q,2,FALSE),"")</f>
        <v>Unidad</v>
      </c>
      <c r="D2636" s="25">
        <v>10</v>
      </c>
      <c r="E2636" s="28">
        <v>98.89</v>
      </c>
      <c r="F2636" s="27">
        <f t="shared" ca="1" si="84"/>
        <v>988.9</v>
      </c>
    </row>
    <row r="2637" spans="1:6" ht="14.25" customHeight="1" x14ac:dyDescent="0.25">
      <c r="A2637" s="25" t="s">
        <v>692</v>
      </c>
      <c r="B2637" s="26" t="str">
        <f ca="1">IFERROR(INDEX(UNSPSCDes,MATCH(INDIRECT(ADDRESS(ROW(),COLUMN()-1,4)),UNSPSCCode,0)),IF(INDIRECT(ADDRESS(ROW(),COLUMN()-1,4))="27111708","Llaves para tubos",""))</f>
        <v>Llaves para tubos</v>
      </c>
      <c r="C2637" s="58" t="str">
        <f>IFERROR(VLOOKUP("UD",'Informacion '!P:Q,2,FALSE),"")</f>
        <v>Unidad</v>
      </c>
      <c r="D2637" s="25">
        <v>10</v>
      </c>
      <c r="E2637" s="28">
        <v>230</v>
      </c>
      <c r="F2637" s="27">
        <f t="shared" ca="1" si="84"/>
        <v>2300</v>
      </c>
    </row>
    <row r="2638" spans="1:6" ht="14.25" customHeight="1" x14ac:dyDescent="0.25">
      <c r="A2638" s="25" t="s">
        <v>692</v>
      </c>
      <c r="B2638" s="26" t="str">
        <f ca="1">IFERROR(INDEX(UNSPSCDes,MATCH(INDIRECT(ADDRESS(ROW(),COLUMN()-1,4)),UNSPSCCode,0)),IF(INDIRECT(ADDRESS(ROW(),COLUMN()-1,4))="27111708","Llaves para tubos",""))</f>
        <v>Llaves para tubos</v>
      </c>
      <c r="C2638" s="58" t="str">
        <f>IFERROR(VLOOKUP("UD",'Informacion '!P:Q,2,FALSE),"")</f>
        <v>Unidad</v>
      </c>
      <c r="D2638" s="25">
        <v>10</v>
      </c>
      <c r="E2638" s="28">
        <v>98.89</v>
      </c>
      <c r="F2638" s="27">
        <f t="shared" ca="1" si="84"/>
        <v>988.9</v>
      </c>
    </row>
    <row r="2639" spans="1:6" ht="14.25" customHeight="1" x14ac:dyDescent="0.25">
      <c r="A2639" s="25" t="s">
        <v>370</v>
      </c>
      <c r="B2639" s="26" t="str">
        <f ca="1">IFERROR(INDEX(UNSPSCDes,MATCH(INDIRECT(ADDRESS(ROW(),COLUMN()-1,4)),UNSPSCCode,0)),IF(INDIRECT(ADDRESS(ROW(),COLUMN()-1,4))="27111710","Llaves allen",""))</f>
        <v>Llaves allen</v>
      </c>
      <c r="C2639" s="58" t="str">
        <f>IFERROR(VLOOKUP("UD",'Informacion '!P:Q,2,FALSE),"")</f>
        <v>Unidad</v>
      </c>
      <c r="D2639" s="25">
        <v>4</v>
      </c>
      <c r="E2639" s="28">
        <v>46.29</v>
      </c>
      <c r="F2639" s="27">
        <f t="shared" ca="1" si="84"/>
        <v>185.16</v>
      </c>
    </row>
    <row r="2640" spans="1:6" ht="14.25" customHeight="1" x14ac:dyDescent="0.25">
      <c r="A2640" s="25" t="s">
        <v>370</v>
      </c>
      <c r="B2640" s="26" t="str">
        <f ca="1">IFERROR(INDEX(UNSPSCDes,MATCH(INDIRECT(ADDRESS(ROW(),COLUMN()-1,4)),UNSPSCCode,0)),IF(INDIRECT(ADDRESS(ROW(),COLUMN()-1,4))="27111710","Llaves allen",""))</f>
        <v>Llaves allen</v>
      </c>
      <c r="C2640" s="58" t="str">
        <f>IFERROR(VLOOKUP("UD",'Informacion '!P:Q,2,FALSE),"")</f>
        <v>Unidad</v>
      </c>
      <c r="D2640" s="25">
        <v>4</v>
      </c>
      <c r="E2640" s="28">
        <v>1123</v>
      </c>
      <c r="F2640" s="27">
        <f t="shared" ca="1" si="84"/>
        <v>4492</v>
      </c>
    </row>
    <row r="2641" spans="1:6" ht="14.25" customHeight="1" x14ac:dyDescent="0.25">
      <c r="A2641" s="25" t="s">
        <v>4</v>
      </c>
      <c r="B2641" s="26" t="str">
        <f ca="1">IFERROR(INDEX(UNSPSCDes,MATCH(INDIRECT(ADDRESS(ROW(),COLUMN()-1,4)),UNSPSCCode,0)),IF(INDIRECT(ADDRESS(ROW(),COLUMN()-1,4))="31162801","Chapas o pomos",""))</f>
        <v>Chapas o pomos</v>
      </c>
      <c r="C2641" s="58" t="str">
        <f>IFERROR(VLOOKUP("UD",'Informacion '!P:Q,2,FALSE),"")</f>
        <v>Unidad</v>
      </c>
      <c r="D2641" s="25">
        <v>15</v>
      </c>
      <c r="E2641" s="28">
        <v>3340.79</v>
      </c>
      <c r="F2641" s="27">
        <f t="shared" ca="1" si="84"/>
        <v>50111.85</v>
      </c>
    </row>
    <row r="2642" spans="1:6" ht="14.25" customHeight="1" x14ac:dyDescent="0.25">
      <c r="A2642" s="25" t="s">
        <v>4</v>
      </c>
      <c r="B2642" s="26" t="str">
        <f ca="1">IFERROR(INDEX(UNSPSCDes,MATCH(INDIRECT(ADDRESS(ROW(),COLUMN()-1,4)),UNSPSCCode,0)),IF(INDIRECT(ADDRESS(ROW(),COLUMN()-1,4))="31162801","Chapas o pomos",""))</f>
        <v>Chapas o pomos</v>
      </c>
      <c r="C2642" s="58" t="str">
        <f>IFERROR(VLOOKUP("UD",'Informacion '!P:Q,2,FALSE),"")</f>
        <v>Unidad</v>
      </c>
      <c r="D2642" s="25">
        <v>15</v>
      </c>
      <c r="E2642" s="28">
        <v>433.69</v>
      </c>
      <c r="F2642" s="27">
        <f t="shared" ca="1" si="84"/>
        <v>6505.35</v>
      </c>
    </row>
    <row r="2643" spans="1:6" ht="14.25" customHeight="1" x14ac:dyDescent="0.25">
      <c r="A2643" s="25" t="s">
        <v>4</v>
      </c>
      <c r="B2643" s="26" t="str">
        <f ca="1">IFERROR(INDEX(UNSPSCDes,MATCH(INDIRECT(ADDRESS(ROW(),COLUMN()-1,4)),UNSPSCCode,0)),IF(INDIRECT(ADDRESS(ROW(),COLUMN()-1,4))="31162801","Chapas o pomos",""))</f>
        <v>Chapas o pomos</v>
      </c>
      <c r="C2643" s="58" t="str">
        <f>IFERROR(VLOOKUP("UD",'Informacion '!P:Q,2,FALSE),"")</f>
        <v>Unidad</v>
      </c>
      <c r="D2643" s="25">
        <v>25</v>
      </c>
      <c r="E2643" s="28">
        <v>401</v>
      </c>
      <c r="F2643" s="27">
        <f t="shared" ca="1" si="84"/>
        <v>10025</v>
      </c>
    </row>
    <row r="2644" spans="1:6" ht="14.25" customHeight="1" x14ac:dyDescent="0.25">
      <c r="A2644" s="25" t="s">
        <v>20</v>
      </c>
      <c r="B2644" s="26" t="str">
        <f ca="1">IFERROR(INDEX(UNSPSCDes,MATCH(INDIRECT(ADDRESS(ROW(),COLUMN()-1,4)),UNSPSCCode,0)),IF(INDIRECT(ADDRESS(ROW(),COLUMN()-1,4))="40142007","Mangueras especiales",""))</f>
        <v>Mangueras especiales</v>
      </c>
      <c r="C2644" s="58" t="str">
        <f>IFERROR(VLOOKUP("UD",'Informacion '!P:Q,2,FALSE),"")</f>
        <v>Unidad</v>
      </c>
      <c r="D2644" s="25">
        <v>8</v>
      </c>
      <c r="E2644" s="28">
        <v>2600</v>
      </c>
      <c r="F2644" s="27">
        <f t="shared" ca="1" si="84"/>
        <v>20800</v>
      </c>
    </row>
    <row r="2645" spans="1:6" ht="14.25" customHeight="1" x14ac:dyDescent="0.25">
      <c r="A2645" s="25" t="s">
        <v>966</v>
      </c>
      <c r="B2645" s="26" t="str">
        <f ca="1">IFERROR(INDEX(UNSPSCDes,MATCH(INDIRECT(ADDRESS(ROW(),COLUMN()-1,4)),UNSPSCCode,0)),IF(INDIRECT(ADDRESS(ROW(),COLUMN()-1,4))="60105705","Cinta pegante libre de ácido",""))</f>
        <v>Cinta pegante libre de ácido</v>
      </c>
      <c r="C2645" s="58" t="str">
        <f>IFERROR(VLOOKUP("UD",'Informacion '!P:Q,2,FALSE),"")</f>
        <v>Unidad</v>
      </c>
      <c r="D2645" s="25">
        <v>50</v>
      </c>
      <c r="E2645" s="28">
        <v>151.87</v>
      </c>
      <c r="F2645" s="27">
        <f t="shared" ca="1" si="84"/>
        <v>7593.5</v>
      </c>
    </row>
    <row r="2646" spans="1:6" ht="14.25" customHeight="1" x14ac:dyDescent="0.25">
      <c r="A2646" s="25" t="s">
        <v>919</v>
      </c>
      <c r="B2646" s="26" t="str">
        <f ca="1">IFERROR(INDEX(UNSPSCDes,MATCH(INDIRECT(ADDRESS(ROW(),COLUMN()-1,4)),UNSPSCCode,0)),IF(INDIRECT(ADDRESS(ROW(),COLUMN()-1,4))="31162506","Soporte de pared",""))</f>
        <v>Soporte de pared</v>
      </c>
      <c r="C2646" s="58" t="str">
        <f>IFERROR(VLOOKUP("UD",'Informacion '!P:Q,2,FALSE),"")</f>
        <v>Unidad</v>
      </c>
      <c r="D2646" s="25">
        <v>15</v>
      </c>
      <c r="E2646" s="28">
        <v>52.84</v>
      </c>
      <c r="F2646" s="27">
        <f t="shared" ca="1" si="84"/>
        <v>792.6</v>
      </c>
    </row>
    <row r="2647" spans="1:6" ht="14.25" customHeight="1" x14ac:dyDescent="0.25">
      <c r="A2647" s="25" t="s">
        <v>531</v>
      </c>
      <c r="B2647" s="26" t="str">
        <f ca="1">IFERROR(INDEX(UNSPSCDes,MATCH(INDIRECT(ADDRESS(ROW(),COLUMN()-1,4)),UNSPSCCode,0)),IF(INDIRECT(ADDRESS(ROW(),COLUMN()-1,4))="31201610","Pegamentos",""))</f>
        <v>Pegamentos</v>
      </c>
      <c r="C2647" s="58" t="str">
        <f>IFERROR(VLOOKUP("GAL",'Informacion '!P:Q,2,FALSE),"")</f>
        <v>Galón</v>
      </c>
      <c r="D2647" s="25">
        <v>6</v>
      </c>
      <c r="E2647" s="28">
        <v>297.16000000000003</v>
      </c>
      <c r="F2647" s="27">
        <f t="shared" ca="1" si="84"/>
        <v>1782.96</v>
      </c>
    </row>
    <row r="2648" spans="1:6" ht="14.25" customHeight="1" x14ac:dyDescent="0.25">
      <c r="A2648" s="25" t="s">
        <v>531</v>
      </c>
      <c r="B2648" s="26" t="str">
        <f ca="1">IFERROR(INDEX(UNSPSCDes,MATCH(INDIRECT(ADDRESS(ROW(),COLUMN()-1,4)),UNSPSCCode,0)),IF(INDIRECT(ADDRESS(ROW(),COLUMN()-1,4))="31201610","Pegamentos",""))</f>
        <v>Pegamentos</v>
      </c>
      <c r="C2648" s="58" t="str">
        <f>IFERROR(VLOOKUP("UD",'Informacion '!P:Q,2,FALSE),"")</f>
        <v>Unidad</v>
      </c>
      <c r="D2648" s="25">
        <v>20</v>
      </c>
      <c r="E2648" s="28">
        <v>285</v>
      </c>
      <c r="F2648" s="27">
        <f t="shared" ca="1" si="84"/>
        <v>5700</v>
      </c>
    </row>
    <row r="2649" spans="1:6" ht="14.25" customHeight="1" x14ac:dyDescent="0.25">
      <c r="A2649" s="25" t="s">
        <v>231</v>
      </c>
      <c r="B2649" s="26" t="str">
        <f ca="1">IFERROR(INDEX(UNSPSCDes,MATCH(INDIRECT(ADDRESS(ROW(),COLUMN()-1,4)),UNSPSCCode,0)),IF(INDIRECT(ADDRESS(ROW(),COLUMN()-1,4))="39111521","Plafones",""))</f>
        <v>Plafones</v>
      </c>
      <c r="C2649" s="58" t="str">
        <f>IFERROR(VLOOKUP("UD",'Informacion '!P:Q,2,FALSE),"")</f>
        <v>Unidad</v>
      </c>
      <c r="D2649" s="25">
        <v>50</v>
      </c>
      <c r="E2649" s="28">
        <v>604.67999999999995</v>
      </c>
      <c r="F2649" s="27">
        <f t="shared" ca="1" si="84"/>
        <v>30233.999999999996</v>
      </c>
    </row>
    <row r="2650" spans="1:6" ht="14.25" customHeight="1" x14ac:dyDescent="0.25">
      <c r="A2650" s="25" t="s">
        <v>508</v>
      </c>
      <c r="B2650" s="26" t="str">
        <f ca="1">IFERROR(INDEX(UNSPSCDes,MATCH(INDIRECT(ADDRESS(ROW(),COLUMN()-1,4)),UNSPSCCode,0)),IF(INDIRECT(ADDRESS(ROW(),COLUMN()-1,4))="30161509","Tabla de yeso",""))</f>
        <v>Tabla de yeso</v>
      </c>
      <c r="C2650" s="58" t="str">
        <f>IFERROR(VLOOKUP("UD",'Informacion '!P:Q,2,FALSE),"")</f>
        <v>Unidad</v>
      </c>
      <c r="D2650" s="25">
        <v>4</v>
      </c>
      <c r="E2650" s="28">
        <v>765.99</v>
      </c>
      <c r="F2650" s="27">
        <f t="shared" ref="F2650:F2681" ca="1" si="85">INDIRECT(ADDRESS(ROW(),COLUMN()-2,4))*INDIRECT(ADDRESS(ROW(),COLUMN()-1,4))</f>
        <v>3063.96</v>
      </c>
    </row>
    <row r="2651" spans="1:6" ht="14.25" customHeight="1" x14ac:dyDescent="0.25">
      <c r="A2651" s="25" t="s">
        <v>465</v>
      </c>
      <c r="B2651" s="26" t="str">
        <f ca="1">IFERROR(INDEX(UNSPSCDes,MATCH(INDIRECT(ADDRESS(ROW(),COLUMN()-1,4)),UNSPSCCode,0)),IF(INDIRECT(ADDRESS(ROW(),COLUMN()-1,4))="14121504","Papel de empaque",""))</f>
        <v>Papel de empaque</v>
      </c>
      <c r="C2651" s="58" t="str">
        <f>IFERROR(VLOOKUP("UD",'Informacion '!P:Q,2,FALSE),"")</f>
        <v>Unidad</v>
      </c>
      <c r="D2651" s="25">
        <v>5</v>
      </c>
      <c r="E2651" s="28">
        <v>900</v>
      </c>
      <c r="F2651" s="27">
        <f t="shared" ca="1" si="85"/>
        <v>4500</v>
      </c>
    </row>
    <row r="2652" spans="1:6" ht="14.25" customHeight="1" x14ac:dyDescent="0.25">
      <c r="A2652" s="25" t="s">
        <v>29</v>
      </c>
      <c r="B2652" s="26" t="str">
        <f ca="1">IFERROR(INDEX(UNSPSCDes,MATCH(INDIRECT(ADDRESS(ROW(),COLUMN()-1,4)),UNSPSCCode,0)),IF(INDIRECT(ADDRESS(ROW(),COLUMN()-1,4))="31161511","Tornillos de apriete",""))</f>
        <v>Tornillos de apriete</v>
      </c>
      <c r="C2652" s="58" t="str">
        <f>IFERROR(VLOOKUP("UD",'Informacion '!P:Q,2,FALSE),"")</f>
        <v>Unidad</v>
      </c>
      <c r="D2652" s="25">
        <v>3</v>
      </c>
      <c r="E2652" s="28">
        <v>8000</v>
      </c>
      <c r="F2652" s="27">
        <f t="shared" ca="1" si="85"/>
        <v>24000</v>
      </c>
    </row>
    <row r="2653" spans="1:6" ht="14.25" customHeight="1" x14ac:dyDescent="0.25">
      <c r="A2653" s="25" t="s">
        <v>215</v>
      </c>
      <c r="B2653" s="26" t="str">
        <f ca="1">IFERROR(INDEX(UNSPSCDes,MATCH(INDIRECT(ADDRESS(ROW(),COLUMN()-1,4)),UNSPSCCode,0)),IF(INDIRECT(ADDRESS(ROW(),COLUMN()-1,4))="31162503","Puntales",""))</f>
        <v>Puntales</v>
      </c>
      <c r="C2653" s="58" t="str">
        <f>IFERROR(VLOOKUP("UD",'Informacion '!P:Q,2,FALSE),"")</f>
        <v>Unidad</v>
      </c>
      <c r="D2653" s="25">
        <v>50</v>
      </c>
      <c r="E2653" s="28">
        <v>45</v>
      </c>
      <c r="F2653" s="27">
        <f t="shared" ca="1" si="85"/>
        <v>2250</v>
      </c>
    </row>
    <row r="2654" spans="1:6" ht="14.25" customHeight="1" x14ac:dyDescent="0.25">
      <c r="A2654" s="25" t="s">
        <v>57</v>
      </c>
      <c r="B2654" s="26" t="str">
        <f ca="1">IFERROR(INDEX(UNSPSCDes,MATCH(INDIRECT(ADDRESS(ROW(),COLUMN()-1,4)),UNSPSCCode,0)),IF(INDIRECT(ADDRESS(ROW(),COLUMN()-1,4))="31162201","Remaches ciegos",""))</f>
        <v>Remaches ciegos</v>
      </c>
      <c r="C2654" s="58" t="str">
        <f>IFERROR(VLOOKUP("UD",'Informacion '!P:Q,2,FALSE),"")</f>
        <v>Unidad</v>
      </c>
      <c r="D2654" s="25">
        <v>300</v>
      </c>
      <c r="E2654" s="28">
        <v>0.5</v>
      </c>
      <c r="F2654" s="27">
        <f t="shared" ca="1" si="85"/>
        <v>150</v>
      </c>
    </row>
    <row r="2655" spans="1:6" ht="14.25" customHeight="1" x14ac:dyDescent="0.25">
      <c r="A2655" s="25" t="s">
        <v>29</v>
      </c>
      <c r="B2655" s="26" t="str">
        <f ca="1">IFERROR(INDEX(UNSPSCDes,MATCH(INDIRECT(ADDRESS(ROW(),COLUMN()-1,4)),UNSPSCCode,0)),IF(INDIRECT(ADDRESS(ROW(),COLUMN()-1,4))="31161511","Tornillos de apriete",""))</f>
        <v>Tornillos de apriete</v>
      </c>
      <c r="C2655" s="58" t="str">
        <f>IFERROR(VLOOKUP("UD",'Informacion '!P:Q,2,FALSE),"")</f>
        <v>Unidad</v>
      </c>
      <c r="D2655" s="25">
        <v>4</v>
      </c>
      <c r="E2655" s="28">
        <v>340</v>
      </c>
      <c r="F2655" s="27">
        <f t="shared" ca="1" si="85"/>
        <v>1360</v>
      </c>
    </row>
    <row r="2656" spans="1:6" ht="14.25" customHeight="1" x14ac:dyDescent="0.25">
      <c r="A2656" s="25" t="s">
        <v>29</v>
      </c>
      <c r="B2656" s="26" t="str">
        <f ca="1">IFERROR(INDEX(UNSPSCDes,MATCH(INDIRECT(ADDRESS(ROW(),COLUMN()-1,4)),UNSPSCCode,0)),IF(INDIRECT(ADDRESS(ROW(),COLUMN()-1,4))="31161511","Tornillos de apriete",""))</f>
        <v>Tornillos de apriete</v>
      </c>
      <c r="C2656" s="58" t="str">
        <f>IFERROR(VLOOKUP("UD",'Informacion '!P:Q,2,FALSE),"")</f>
        <v>Unidad</v>
      </c>
      <c r="D2656" s="25">
        <v>2</v>
      </c>
      <c r="E2656" s="28">
        <v>685</v>
      </c>
      <c r="F2656" s="27">
        <f t="shared" ca="1" si="85"/>
        <v>1370</v>
      </c>
    </row>
    <row r="2657" spans="1:6" ht="14.25" customHeight="1" x14ac:dyDescent="0.25">
      <c r="A2657" s="25" t="s">
        <v>531</v>
      </c>
      <c r="B2657" s="26" t="str">
        <f ca="1">IFERROR(INDEX(UNSPSCDes,MATCH(INDIRECT(ADDRESS(ROW(),COLUMN()-1,4)),UNSPSCCode,0)),IF(INDIRECT(ADDRESS(ROW(),COLUMN()-1,4))="31201610","Pegamentos",""))</f>
        <v>Pegamentos</v>
      </c>
      <c r="C2657" s="58" t="str">
        <f>IFERROR(VLOOKUP("UD",'Informacion '!P:Q,2,FALSE),"")</f>
        <v>Unidad</v>
      </c>
      <c r="D2657" s="25">
        <v>40</v>
      </c>
      <c r="E2657" s="28">
        <v>320</v>
      </c>
      <c r="F2657" s="27">
        <f t="shared" ca="1" si="85"/>
        <v>12800</v>
      </c>
    </row>
    <row r="2658" spans="1:6" ht="14.25" customHeight="1" x14ac:dyDescent="0.25">
      <c r="A2658" s="25" t="s">
        <v>2</v>
      </c>
      <c r="B2658" s="26" t="str">
        <f ca="1">IFERROR(INDEX(UNSPSCDes,MATCH(INDIRECT(ADDRESS(ROW(),COLUMN()-1,4)),UNSPSCCode,0)),IF(INDIRECT(ADDRESS(ROW(),COLUMN()-1,4))="15121524","Aceites de templado",""))</f>
        <v>Aceites de templado</v>
      </c>
      <c r="C2658" s="58" t="str">
        <f>IFERROR(VLOOKUP("UD",'Informacion '!P:Q,2,FALSE),"")</f>
        <v>Unidad</v>
      </c>
      <c r="D2658" s="25">
        <v>15</v>
      </c>
      <c r="E2658" s="28">
        <v>700</v>
      </c>
      <c r="F2658" s="27">
        <f t="shared" ca="1" si="85"/>
        <v>10500</v>
      </c>
    </row>
    <row r="2659" spans="1:6" ht="14.25" customHeight="1" x14ac:dyDescent="0.25">
      <c r="A2659" s="25" t="s">
        <v>774</v>
      </c>
      <c r="B2659" s="26" t="str">
        <f ca="1">IFERROR(INDEX(UNSPSCDes,MATCH(INDIRECT(ADDRESS(ROW(),COLUMN()-1,4)),UNSPSCCode,0)),IF(INDIRECT(ADDRESS(ROW(),COLUMN()-1,4))="31162104","Anclajes de tornillo",""))</f>
        <v>Anclajes de tornillo</v>
      </c>
      <c r="C2659" s="58" t="str">
        <f>IFERROR(VLOOKUP("UD",'Informacion '!P:Q,2,FALSE),"")</f>
        <v>Unidad</v>
      </c>
      <c r="D2659" s="25">
        <v>200</v>
      </c>
      <c r="E2659" s="28">
        <v>116.74</v>
      </c>
      <c r="F2659" s="27">
        <f t="shared" ca="1" si="85"/>
        <v>23348</v>
      </c>
    </row>
    <row r="2660" spans="1:6" ht="14.25" customHeight="1" x14ac:dyDescent="0.25">
      <c r="A2660" s="25" t="s">
        <v>774</v>
      </c>
      <c r="B2660" s="26" t="str">
        <f ca="1">IFERROR(INDEX(UNSPSCDes,MATCH(INDIRECT(ADDRESS(ROW(),COLUMN()-1,4)),UNSPSCCode,0)),IF(INDIRECT(ADDRESS(ROW(),COLUMN()-1,4))="31162104","Anclajes de tornillo",""))</f>
        <v>Anclajes de tornillo</v>
      </c>
      <c r="C2660" s="58" t="str">
        <f>IFERROR(VLOOKUP("UD",'Informacion '!P:Q,2,FALSE),"")</f>
        <v>Unidad</v>
      </c>
      <c r="D2660" s="25">
        <v>300</v>
      </c>
      <c r="E2660" s="28">
        <v>0.5</v>
      </c>
      <c r="F2660" s="27">
        <f t="shared" ca="1" si="85"/>
        <v>150</v>
      </c>
    </row>
    <row r="2661" spans="1:6" ht="14.25" customHeight="1" x14ac:dyDescent="0.25">
      <c r="A2661" s="25" t="s">
        <v>1073</v>
      </c>
      <c r="B2661" s="26" t="str">
        <f ca="1">IFERROR(INDEX(UNSPSCDes,MATCH(INDIRECT(ADDRESS(ROW(),COLUMN()-1,4)),UNSPSCCode,0)),IF(INDIRECT(ADDRESS(ROW(),COLUMN()-1,4))="39121432","Terminales eléctricos",""))</f>
        <v>Terminales eléctricos</v>
      </c>
      <c r="C2661" s="58" t="str">
        <f>IFERROR(VLOOKUP("UD",'Informacion '!P:Q,2,FALSE),"")</f>
        <v>Unidad</v>
      </c>
      <c r="D2661" s="25">
        <v>10</v>
      </c>
      <c r="E2661" s="28">
        <v>450</v>
      </c>
      <c r="F2661" s="27">
        <f t="shared" ca="1" si="85"/>
        <v>4500</v>
      </c>
    </row>
    <row r="2662" spans="1:6" ht="14.25" customHeight="1" x14ac:dyDescent="0.25">
      <c r="A2662" s="25" t="s">
        <v>1073</v>
      </c>
      <c r="B2662" s="26" t="str">
        <f ca="1">IFERROR(INDEX(UNSPSCDes,MATCH(INDIRECT(ADDRESS(ROW(),COLUMN()-1,4)),UNSPSCCode,0)),IF(INDIRECT(ADDRESS(ROW(),COLUMN()-1,4))="39121432","Terminales eléctricos",""))</f>
        <v>Terminales eléctricos</v>
      </c>
      <c r="C2662" s="58" t="str">
        <f>IFERROR(VLOOKUP("UD",'Informacion '!P:Q,2,FALSE),"")</f>
        <v>Unidad</v>
      </c>
      <c r="D2662" s="25">
        <v>200</v>
      </c>
      <c r="E2662" s="28">
        <v>5</v>
      </c>
      <c r="F2662" s="27">
        <f t="shared" ca="1" si="85"/>
        <v>1000</v>
      </c>
    </row>
    <row r="2663" spans="1:6" ht="14.25" customHeight="1" x14ac:dyDescent="0.25">
      <c r="A2663" s="25" t="s">
        <v>1073</v>
      </c>
      <c r="B2663" s="26" t="str">
        <f ca="1">IFERROR(INDEX(UNSPSCDes,MATCH(INDIRECT(ADDRESS(ROW(),COLUMN()-1,4)),UNSPSCCode,0)),IF(INDIRECT(ADDRESS(ROW(),COLUMN()-1,4))="39121432","Terminales eléctricos",""))</f>
        <v>Terminales eléctricos</v>
      </c>
      <c r="C2663" s="58" t="str">
        <f>IFERROR(VLOOKUP("UD",'Informacion '!P:Q,2,FALSE),"")</f>
        <v>Unidad</v>
      </c>
      <c r="D2663" s="25">
        <v>10</v>
      </c>
      <c r="E2663" s="28">
        <v>550</v>
      </c>
      <c r="F2663" s="27">
        <f t="shared" ca="1" si="85"/>
        <v>5500</v>
      </c>
    </row>
    <row r="2664" spans="1:6" ht="14.25" customHeight="1" x14ac:dyDescent="0.25">
      <c r="A2664" s="25" t="s">
        <v>624</v>
      </c>
      <c r="B2664" s="26" t="str">
        <f ca="1">IFERROR(INDEX(UNSPSCDes,MATCH(INDIRECT(ADDRESS(ROW(),COLUMN()-1,4)),UNSPSCCode,0)),IF(INDIRECT(ADDRESS(ROW(),COLUMN()-1,4))="31161503","Clavo-tornillo",""))</f>
        <v>Clavo-tornillo</v>
      </c>
      <c r="C2664" s="58" t="str">
        <f>IFERROR(VLOOKUP("UD",'Informacion '!P:Q,2,FALSE),"")</f>
        <v>Unidad</v>
      </c>
      <c r="D2664" s="25">
        <v>200</v>
      </c>
      <c r="E2664" s="28">
        <v>2.99</v>
      </c>
      <c r="F2664" s="27">
        <f t="shared" ca="1" si="85"/>
        <v>598</v>
      </c>
    </row>
    <row r="2665" spans="1:6" ht="14.25" customHeight="1" x14ac:dyDescent="0.25">
      <c r="A2665" s="25" t="s">
        <v>624</v>
      </c>
      <c r="B2665" s="26" t="str">
        <f ca="1">IFERROR(INDEX(UNSPSCDes,MATCH(INDIRECT(ADDRESS(ROW(),COLUMN()-1,4)),UNSPSCCode,0)),IF(INDIRECT(ADDRESS(ROW(),COLUMN()-1,4))="31161503","Clavo-tornillo",""))</f>
        <v>Clavo-tornillo</v>
      </c>
      <c r="C2665" s="58" t="str">
        <f>IFERROR(VLOOKUP("UD",'Informacion '!P:Q,2,FALSE),"")</f>
        <v>Unidad</v>
      </c>
      <c r="D2665" s="25">
        <v>200</v>
      </c>
      <c r="E2665" s="28">
        <v>135.5</v>
      </c>
      <c r="F2665" s="27">
        <f t="shared" ca="1" si="85"/>
        <v>27100</v>
      </c>
    </row>
    <row r="2666" spans="1:6" ht="14.25" customHeight="1" x14ac:dyDescent="0.25">
      <c r="A2666" s="25" t="s">
        <v>624</v>
      </c>
      <c r="B2666" s="26" t="str">
        <f ca="1">IFERROR(INDEX(UNSPSCDes,MATCH(INDIRECT(ADDRESS(ROW(),COLUMN()-1,4)),UNSPSCCode,0)),IF(INDIRECT(ADDRESS(ROW(),COLUMN()-1,4))="31161503","Clavo-tornillo",""))</f>
        <v>Clavo-tornillo</v>
      </c>
      <c r="C2666" s="58" t="str">
        <f>IFERROR(VLOOKUP("UD",'Informacion '!P:Q,2,FALSE),"")</f>
        <v>Unidad</v>
      </c>
      <c r="D2666" s="25">
        <v>200</v>
      </c>
      <c r="E2666" s="28">
        <v>0.9</v>
      </c>
      <c r="F2666" s="27">
        <f t="shared" ca="1" si="85"/>
        <v>180</v>
      </c>
    </row>
    <row r="2667" spans="1:6" ht="14.25" customHeight="1" x14ac:dyDescent="0.25">
      <c r="A2667" s="25" t="s">
        <v>624</v>
      </c>
      <c r="B2667" s="26" t="str">
        <f ca="1">IFERROR(INDEX(UNSPSCDes,MATCH(INDIRECT(ADDRESS(ROW(),COLUMN()-1,4)),UNSPSCCode,0)),IF(INDIRECT(ADDRESS(ROW(),COLUMN()-1,4))="31161503","Clavo-tornillo",""))</f>
        <v>Clavo-tornillo</v>
      </c>
      <c r="C2667" s="58" t="str">
        <f>IFERROR(VLOOKUP("UD",'Informacion '!P:Q,2,FALSE),"")</f>
        <v>Unidad</v>
      </c>
      <c r="D2667" s="25">
        <v>200</v>
      </c>
      <c r="E2667" s="28">
        <v>0.9</v>
      </c>
      <c r="F2667" s="27">
        <f t="shared" ca="1" si="85"/>
        <v>180</v>
      </c>
    </row>
    <row r="2668" spans="1:6" ht="14.25" customHeight="1" x14ac:dyDescent="0.25">
      <c r="A2668" s="25" t="s">
        <v>624</v>
      </c>
      <c r="B2668" s="26" t="str">
        <f ca="1">IFERROR(INDEX(UNSPSCDes,MATCH(INDIRECT(ADDRESS(ROW(),COLUMN()-1,4)),UNSPSCCode,0)),IF(INDIRECT(ADDRESS(ROW(),COLUMN()-1,4))="31161503","Clavo-tornillo",""))</f>
        <v>Clavo-tornillo</v>
      </c>
      <c r="C2668" s="58" t="str">
        <f>IFERROR(VLOOKUP("UD",'Informacion '!P:Q,2,FALSE),"")</f>
        <v>Unidad</v>
      </c>
      <c r="D2668" s="25">
        <v>500</v>
      </c>
      <c r="E2668" s="28">
        <v>0.9</v>
      </c>
      <c r="F2668" s="27">
        <f t="shared" ca="1" si="85"/>
        <v>450</v>
      </c>
    </row>
    <row r="2669" spans="1:6" ht="14.25" customHeight="1" x14ac:dyDescent="0.25">
      <c r="A2669" s="25" t="s">
        <v>901</v>
      </c>
      <c r="B2669" s="26" t="str">
        <f ca="1">IFERROR(INDEX(UNSPSCDes,MATCH(INDIRECT(ADDRESS(ROW(),COLUMN()-1,4)),UNSPSCCode,0)),IF(INDIRECT(ADDRESS(ROW(),COLUMN()-1,4))="31161701","Tuercas de anclaje",""))</f>
        <v>Tuercas de anclaje</v>
      </c>
      <c r="C2669" s="58" t="str">
        <f>IFERROR(VLOOKUP("UD",'Informacion '!P:Q,2,FALSE),"")</f>
        <v>Unidad</v>
      </c>
      <c r="D2669" s="25">
        <v>50</v>
      </c>
      <c r="E2669" s="28">
        <v>35</v>
      </c>
      <c r="F2669" s="27">
        <f t="shared" ca="1" si="85"/>
        <v>1750</v>
      </c>
    </row>
    <row r="2670" spans="1:6" ht="14.25" customHeight="1" x14ac:dyDescent="0.25">
      <c r="A2670" s="25" t="s">
        <v>901</v>
      </c>
      <c r="B2670" s="26" t="str">
        <f ca="1">IFERROR(INDEX(UNSPSCDes,MATCH(INDIRECT(ADDRESS(ROW(),COLUMN()-1,4)),UNSPSCCode,0)),IF(INDIRECT(ADDRESS(ROW(),COLUMN()-1,4))="31161701","Tuercas de anclaje",""))</f>
        <v>Tuercas de anclaje</v>
      </c>
      <c r="C2670" s="58" t="str">
        <f>IFERROR(VLOOKUP("UD",'Informacion '!P:Q,2,FALSE),"")</f>
        <v>Unidad</v>
      </c>
      <c r="D2670" s="25">
        <v>50</v>
      </c>
      <c r="E2670" s="28">
        <v>88</v>
      </c>
      <c r="F2670" s="27">
        <f t="shared" ca="1" si="85"/>
        <v>4400</v>
      </c>
    </row>
    <row r="2671" spans="1:6" ht="14.25" customHeight="1" x14ac:dyDescent="0.25">
      <c r="A2671" s="25" t="s">
        <v>901</v>
      </c>
      <c r="B2671" s="26" t="str">
        <f ca="1">IFERROR(INDEX(UNSPSCDes,MATCH(INDIRECT(ADDRESS(ROW(),COLUMN()-1,4)),UNSPSCCode,0)),IF(INDIRECT(ADDRESS(ROW(),COLUMN()-1,4))="31161701","Tuercas de anclaje",""))</f>
        <v>Tuercas de anclaje</v>
      </c>
      <c r="C2671" s="58" t="str">
        <f>IFERROR(VLOOKUP("UD",'Informacion '!P:Q,2,FALSE),"")</f>
        <v>Unidad</v>
      </c>
      <c r="D2671" s="25">
        <v>50</v>
      </c>
      <c r="E2671" s="28">
        <v>150</v>
      </c>
      <c r="F2671" s="27">
        <f t="shared" ca="1" si="85"/>
        <v>7500</v>
      </c>
    </row>
    <row r="2672" spans="1:6" ht="14.25" customHeight="1" x14ac:dyDescent="0.25">
      <c r="A2672" s="25" t="s">
        <v>261</v>
      </c>
      <c r="B2672" s="26" t="str">
        <f ca="1">IFERROR(INDEX(UNSPSCDes,MATCH(INDIRECT(ADDRESS(ROW(),COLUMN()-1,4)),UNSPSCCode,0)),IF(INDIRECT(ADDRESS(ROW(),COLUMN()-1,4))="27111507","Cortadores de metal",""))</f>
        <v>Cortadores de metal</v>
      </c>
      <c r="C2672" s="58" t="str">
        <f>IFERROR(VLOOKUP("UD",'Informacion '!P:Q,2,FALSE),"")</f>
        <v>Unidad</v>
      </c>
      <c r="D2672" s="25">
        <v>100</v>
      </c>
      <c r="E2672" s="28">
        <v>35</v>
      </c>
      <c r="F2672" s="27">
        <f t="shared" ca="1" si="85"/>
        <v>3500</v>
      </c>
    </row>
    <row r="2673" spans="1:6" ht="14.25" customHeight="1" x14ac:dyDescent="0.25">
      <c r="A2673" s="25" t="s">
        <v>1078</v>
      </c>
      <c r="B2673" s="26" t="str">
        <f ca="1">IFERROR(INDEX(UNSPSCDes,MATCH(INDIRECT(ADDRESS(ROW(),COLUMN()-1,4)),UNSPSCCode,0)),IF(INDIRECT(ADDRESS(ROW(),COLUMN()-1,4))="30103206","Rejilla de plástico",""))</f>
        <v>Rejilla de plástico</v>
      </c>
      <c r="C2673" s="58" t="str">
        <f>IFERROR(VLOOKUP("UD",'Informacion '!P:Q,2,FALSE),"")</f>
        <v>Unidad</v>
      </c>
      <c r="D2673" s="25">
        <v>15</v>
      </c>
      <c r="E2673" s="28">
        <v>750</v>
      </c>
      <c r="F2673" s="27">
        <f t="shared" ca="1" si="85"/>
        <v>11250</v>
      </c>
    </row>
    <row r="2674" spans="1:6" ht="14.25" customHeight="1" x14ac:dyDescent="0.25">
      <c r="A2674" s="25" t="s">
        <v>2</v>
      </c>
      <c r="B2674" s="26" t="str">
        <f ca="1">IFERROR(INDEX(UNSPSCDes,MATCH(INDIRECT(ADDRESS(ROW(),COLUMN()-1,4)),UNSPSCCode,0)),IF(INDIRECT(ADDRESS(ROW(),COLUMN()-1,4))="15121524","Aceites de templado",""))</f>
        <v>Aceites de templado</v>
      </c>
      <c r="C2674" s="58" t="str">
        <f>IFERROR(VLOOKUP("UD",'Informacion '!P:Q,2,FALSE),"")</f>
        <v>Unidad</v>
      </c>
      <c r="D2674" s="25">
        <v>15</v>
      </c>
      <c r="E2674" s="28">
        <v>240</v>
      </c>
      <c r="F2674" s="27">
        <f t="shared" ca="1" si="85"/>
        <v>3600</v>
      </c>
    </row>
    <row r="2675" spans="1:6" ht="14.25" customHeight="1" x14ac:dyDescent="0.25">
      <c r="A2675" s="25" t="s">
        <v>405</v>
      </c>
      <c r="B2675" s="26" t="str">
        <f ca="1">IFERROR(INDEX(UNSPSCDes,MATCH(INDIRECT(ADDRESS(ROW(),COLUMN()-1,4)),UNSPSCCode,0)),IF(INDIRECT(ADDRESS(ROW(),COLUMN()-1,4))="40101502","Extractores de aire",""))</f>
        <v>Extractores de aire</v>
      </c>
      <c r="C2675" s="58" t="str">
        <f>IFERROR(VLOOKUP("UD",'Informacion '!P:Q,2,FALSE),"")</f>
        <v>Unidad</v>
      </c>
      <c r="D2675" s="25">
        <v>5</v>
      </c>
      <c r="E2675" s="28">
        <v>6596.85</v>
      </c>
      <c r="F2675" s="27">
        <f t="shared" ca="1" si="85"/>
        <v>32984.25</v>
      </c>
    </row>
    <row r="2676" spans="1:6" ht="14.25" customHeight="1" x14ac:dyDescent="0.25">
      <c r="A2676" s="25" t="s">
        <v>683</v>
      </c>
      <c r="B2676" s="26" t="str">
        <f ca="1">IFERROR(INDEX(UNSPSCDes,MATCH(INDIRECT(ADDRESS(ROW(),COLUMN()-1,4)),UNSPSCCode,0)),IF(INDIRECT(ADDRESS(ROW(),COLUMN()-1,4))="27111712","Extractores",""))</f>
        <v>Extractores</v>
      </c>
      <c r="C2676" s="58" t="str">
        <f>IFERROR(VLOOKUP("UD",'Informacion '!P:Q,2,FALSE),"")</f>
        <v>Unidad</v>
      </c>
      <c r="D2676" s="25">
        <v>2</v>
      </c>
      <c r="E2676" s="28">
        <v>2051.2399999999998</v>
      </c>
      <c r="F2676" s="27">
        <f t="shared" ca="1" si="85"/>
        <v>4102.4799999999996</v>
      </c>
    </row>
    <row r="2677" spans="1:6" ht="14.25" customHeight="1" x14ac:dyDescent="0.25">
      <c r="A2677" s="25" t="s">
        <v>1110</v>
      </c>
      <c r="B2677" s="26" t="str">
        <f ca="1">IFERROR(INDEX(UNSPSCDes,MATCH(INDIRECT(ADDRESS(ROW(),COLUMN()-1,4)),UNSPSCCode,0)),IF(INDIRECT(ADDRESS(ROW(),COLUMN()-1,4))="30161706","Pisos de baldosa o piedra",""))</f>
        <v>Pisos de baldosa o piedra</v>
      </c>
      <c r="C2677" s="58" t="str">
        <f>IFERROR(VLOOKUP("M2",'Informacion '!P:Q,2,FALSE),"")</f>
        <v>Metro cuadrado</v>
      </c>
      <c r="D2677" s="25">
        <v>30</v>
      </c>
      <c r="E2677" s="28">
        <v>202.36</v>
      </c>
      <c r="F2677" s="27">
        <f t="shared" ca="1" si="85"/>
        <v>6070.8</v>
      </c>
    </row>
    <row r="2678" spans="1:6" ht="14.25" customHeight="1" x14ac:dyDescent="0.25">
      <c r="A2678" s="25" t="s">
        <v>46</v>
      </c>
      <c r="B2678" s="26" t="str">
        <f ca="1">IFERROR(INDEX(UNSPSCDes,MATCH(INDIRECT(ADDRESS(ROW(),COLUMN()-1,4)),UNSPSCCode,0)),IF(INDIRECT(ADDRESS(ROW(),COLUMN()-1,4))="27111509","Barrenas",""))</f>
        <v>Barrenas</v>
      </c>
      <c r="C2678" s="58" t="str">
        <f>IFERROR(VLOOKUP("UD",'Informacion '!P:Q,2,FALSE),"")</f>
        <v>Unidad</v>
      </c>
      <c r="D2678" s="25">
        <v>2</v>
      </c>
      <c r="E2678" s="28">
        <v>750.17</v>
      </c>
      <c r="F2678" s="27">
        <f t="shared" ca="1" si="85"/>
        <v>1500.34</v>
      </c>
    </row>
    <row r="2679" spans="1:6" ht="14.25" customHeight="1" x14ac:dyDescent="0.25">
      <c r="A2679" s="25" t="s">
        <v>46</v>
      </c>
      <c r="B2679" s="26" t="str">
        <f ca="1">IFERROR(INDEX(UNSPSCDes,MATCH(INDIRECT(ADDRESS(ROW(),COLUMN()-1,4)),UNSPSCCode,0)),IF(INDIRECT(ADDRESS(ROW(),COLUMN()-1,4))="27111509","Barrenas",""))</f>
        <v>Barrenas</v>
      </c>
      <c r="C2679" s="58" t="str">
        <f>IFERROR(VLOOKUP("UD",'Informacion '!P:Q,2,FALSE),"")</f>
        <v>Unidad</v>
      </c>
      <c r="D2679" s="25">
        <v>5</v>
      </c>
      <c r="E2679" s="28">
        <v>1048.3900000000001</v>
      </c>
      <c r="F2679" s="27">
        <f t="shared" ca="1" si="85"/>
        <v>5241.9500000000007</v>
      </c>
    </row>
    <row r="2680" spans="1:6" ht="14.25" customHeight="1" x14ac:dyDescent="0.25">
      <c r="A2680" s="25" t="s">
        <v>48</v>
      </c>
      <c r="B2680" s="26" t="str">
        <f ca="1">IFERROR(INDEX(UNSPSCDes,MATCH(INDIRECT(ADDRESS(ROW(),COLUMN()-1,4)),UNSPSCCode,0)),IF(INDIRECT(ADDRESS(ROW(),COLUMN()-1,4))="39121306","Cajas de conmutadores",""))</f>
        <v>Cajas de conmutadores</v>
      </c>
      <c r="C2680" s="58" t="str">
        <f>IFERROR(VLOOKUP("UD",'Informacion '!P:Q,2,FALSE),"")</f>
        <v>Unidad</v>
      </c>
      <c r="D2680" s="25">
        <v>15</v>
      </c>
      <c r="E2680" s="28">
        <v>128.77000000000001</v>
      </c>
      <c r="F2680" s="27">
        <f t="shared" ca="1" si="85"/>
        <v>1931.5500000000002</v>
      </c>
    </row>
    <row r="2681" spans="1:6" ht="14.25" customHeight="1" x14ac:dyDescent="0.25">
      <c r="A2681" s="25" t="s">
        <v>609</v>
      </c>
      <c r="B2681" s="26" t="str">
        <f ca="1">IFERROR(INDEX(UNSPSCDes,MATCH(INDIRECT(ADDRESS(ROW(),COLUMN()-1,4)),UNSPSCCode,0)),IF(INDIRECT(ADDRESS(ROW(),COLUMN()-1,4))="39121205","Canaletas para cables",""))</f>
        <v>Canaletas para cables</v>
      </c>
      <c r="C2681" s="58" t="str">
        <f>IFERROR(VLOOKUP("UD",'Informacion '!P:Q,2,FALSE),"")</f>
        <v>Unidad</v>
      </c>
      <c r="D2681" s="25">
        <v>15</v>
      </c>
      <c r="E2681" s="28">
        <v>161.75</v>
      </c>
      <c r="F2681" s="27">
        <f t="shared" ca="1" si="85"/>
        <v>2426.25</v>
      </c>
    </row>
    <row r="2682" spans="1:6" ht="14.25" customHeight="1" x14ac:dyDescent="0.25">
      <c r="A2682" s="25" t="s">
        <v>1138</v>
      </c>
      <c r="B2682" s="26" t="str">
        <f ca="1">IFERROR(INDEX(UNSPSCDes,MATCH(INDIRECT(ADDRESS(ROW(),COLUMN()-1,4)),UNSPSCCode,0)),IF(INDIRECT(ADDRESS(ROW(),COLUMN()-1,4))="31162402","Cerraduras",""))</f>
        <v>Cerraduras</v>
      </c>
      <c r="C2682" s="58" t="str">
        <f>IFERROR(VLOOKUP("UD",'Informacion '!P:Q,2,FALSE),"")</f>
        <v>Unidad</v>
      </c>
      <c r="D2682" s="25">
        <v>5</v>
      </c>
      <c r="E2682" s="28">
        <v>800</v>
      </c>
      <c r="F2682" s="27">
        <f t="shared" ref="F2682:F2689" ca="1" si="86">INDIRECT(ADDRESS(ROW(),COLUMN()-2,4))*INDIRECT(ADDRESS(ROW(),COLUMN()-1,4))</f>
        <v>4000</v>
      </c>
    </row>
    <row r="2683" spans="1:6" ht="14.25" customHeight="1" x14ac:dyDescent="0.25">
      <c r="A2683" s="25" t="s">
        <v>857</v>
      </c>
      <c r="B2683" s="26" t="str">
        <f ca="1">IFERROR(INDEX(UNSPSCDes,MATCH(INDIRECT(ADDRESS(ROW(),COLUMN()-1,4)),UNSPSCCode,0)),IF(INDIRECT(ADDRESS(ROW(),COLUMN()-1,4))="30151703","Canaletas",""))</f>
        <v>Canaletas</v>
      </c>
      <c r="C2683" s="58" t="str">
        <f>IFERROR(VLOOKUP("FT",'Informacion '!P:Q,2,FALSE),"")</f>
        <v>Pie</v>
      </c>
      <c r="D2683" s="25">
        <v>200</v>
      </c>
      <c r="E2683" s="28">
        <v>35</v>
      </c>
      <c r="F2683" s="27">
        <f t="shared" ca="1" si="86"/>
        <v>7000</v>
      </c>
    </row>
    <row r="2684" spans="1:6" ht="14.25" customHeight="1" x14ac:dyDescent="0.25">
      <c r="A2684" s="25" t="s">
        <v>1142</v>
      </c>
      <c r="B2684" s="26" t="str">
        <f ca="1">IFERROR(INDEX(UNSPSCDes,MATCH(INDIRECT(ADDRESS(ROW(),COLUMN()-1,4)),UNSPSCCode,0)),IF(INDIRECT(ADDRESS(ROW(),COLUMN()-1,4))="15121902","Grasa",""))</f>
        <v>Grasa</v>
      </c>
      <c r="C2684" s="58" t="str">
        <f>IFERROR(VLOOKUP("UD",'Informacion '!P:Q,2,FALSE),"")</f>
        <v>Unidad</v>
      </c>
      <c r="D2684" s="25">
        <v>30</v>
      </c>
      <c r="E2684" s="28">
        <v>300</v>
      </c>
      <c r="F2684" s="27">
        <f t="shared" ca="1" si="86"/>
        <v>9000</v>
      </c>
    </row>
    <row r="2685" spans="1:6" ht="14.25" customHeight="1" x14ac:dyDescent="0.25">
      <c r="A2685" s="25" t="s">
        <v>110</v>
      </c>
      <c r="B2685" s="26" t="str">
        <f ca="1">IFERROR(INDEX(UNSPSCDes,MATCH(INDIRECT(ADDRESS(ROW(),COLUMN()-1,4)),UNSPSCCode,0)),IF(INDIRECT(ADDRESS(ROW(),COLUMN()-1,4))="27111709","Extractor de tornillos",""))</f>
        <v>Extractor de tornillos</v>
      </c>
      <c r="C2685" s="58" t="str">
        <f>IFERROR(VLOOKUP("UD",'Informacion '!P:Q,2,FALSE),"")</f>
        <v>Unidad</v>
      </c>
      <c r="D2685" s="25">
        <v>3</v>
      </c>
      <c r="E2685" s="28">
        <v>245.73</v>
      </c>
      <c r="F2685" s="27">
        <f t="shared" ca="1" si="86"/>
        <v>737.18999999999994</v>
      </c>
    </row>
    <row r="2686" spans="1:6" ht="14.25" customHeight="1" x14ac:dyDescent="0.25">
      <c r="A2686" s="25" t="s">
        <v>960</v>
      </c>
      <c r="B2686" s="26" t="str">
        <f ca="1">IFERROR(INDEX(UNSPSCDes,MATCH(INDIRECT(ADDRESS(ROW(),COLUMN()-1,4)),UNSPSCCode,0)),IF(INDIRECT(ADDRESS(ROW(),COLUMN()-1,4))="24111813","Tanques de lavado",""))</f>
        <v>Tanques de lavado</v>
      </c>
      <c r="C2686" s="58" t="str">
        <f>IFERROR(VLOOKUP("UD",'Informacion '!P:Q,2,FALSE),"")</f>
        <v>Unidad</v>
      </c>
      <c r="D2686" s="25">
        <v>1</v>
      </c>
      <c r="E2686" s="28">
        <v>7291.95</v>
      </c>
      <c r="F2686" s="27">
        <f t="shared" ca="1" si="86"/>
        <v>7291.95</v>
      </c>
    </row>
    <row r="2687" spans="1:6" ht="14.25" customHeight="1" x14ac:dyDescent="0.25">
      <c r="A2687" s="25" t="s">
        <v>774</v>
      </c>
      <c r="B2687" s="26" t="str">
        <f ca="1">IFERROR(INDEX(UNSPSCDes,MATCH(INDIRECT(ADDRESS(ROW(),COLUMN()-1,4)),UNSPSCCode,0)),IF(INDIRECT(ADDRESS(ROW(),COLUMN()-1,4))="31162104","Anclajes de tornillo",""))</f>
        <v>Anclajes de tornillo</v>
      </c>
      <c r="C2687" s="58" t="str">
        <f>IFERROR(VLOOKUP("UD",'Informacion '!P:Q,2,FALSE),"")</f>
        <v>Unidad</v>
      </c>
      <c r="D2687" s="25">
        <v>500</v>
      </c>
      <c r="E2687" s="28">
        <v>1.5</v>
      </c>
      <c r="F2687" s="27">
        <f t="shared" ca="1" si="86"/>
        <v>750</v>
      </c>
    </row>
    <row r="2688" spans="1:6" ht="14.25" customHeight="1" x14ac:dyDescent="0.25">
      <c r="A2688" s="25" t="s">
        <v>790</v>
      </c>
      <c r="B2688" s="26" t="str">
        <f ca="1">IFERROR(INDEX(UNSPSCDes,MATCH(INDIRECT(ADDRESS(ROW(),COLUMN()-1,4)),UNSPSCCode,0)),IF(INDIRECT(ADDRESS(ROW(),COLUMN()-1,4))="26111711","Baterías de litio",""))</f>
        <v>Baterías de litio</v>
      </c>
      <c r="C2688" s="58" t="str">
        <f>IFERROR(VLOOKUP("UD",'Informacion '!P:Q,2,FALSE),"")</f>
        <v>Unidad</v>
      </c>
      <c r="D2688" s="25">
        <v>12</v>
      </c>
      <c r="E2688" s="28">
        <v>250</v>
      </c>
      <c r="F2688" s="27">
        <f t="shared" ca="1" si="86"/>
        <v>3000</v>
      </c>
    </row>
    <row r="2689" spans="1:10" ht="14.25" customHeight="1" x14ac:dyDescent="0.25">
      <c r="A2689" s="25" t="s">
        <v>415</v>
      </c>
      <c r="B2689" s="26" t="str">
        <f ca="1">IFERROR(INDEX(UNSPSCDes,MATCH(INDIRECT(ADDRESS(ROW(),COLUMN()-1,4)),UNSPSCCode,0)),IF(INDIRECT(ADDRESS(ROW(),COLUMN()-1,4))="31161807","Arandelas planas",""))</f>
        <v>Arandelas planas</v>
      </c>
      <c r="C2689" s="58" t="str">
        <f>IFERROR(VLOOKUP("UD",'Informacion '!P:Q,2,FALSE),"")</f>
        <v>Unidad</v>
      </c>
      <c r="D2689" s="25">
        <v>2</v>
      </c>
      <c r="E2689" s="28">
        <v>73.67</v>
      </c>
      <c r="F2689" s="27">
        <f t="shared" ca="1" si="86"/>
        <v>147.34</v>
      </c>
    </row>
    <row r="2690" spans="1:10" ht="14.25" customHeight="1" x14ac:dyDescent="0.25">
      <c r="E2690" s="30" t="s">
        <v>816</v>
      </c>
      <c r="F2690" s="31">
        <f ca="1">SUM(Table144[MONTO TOTAL ESTIMADO])</f>
        <v>1271890.3700000001</v>
      </c>
      <c r="H2690" s="21" t="str">
        <f>C2611</f>
        <v>Bienes</v>
      </c>
      <c r="I2690" s="21" t="str">
        <f>E2611</f>
        <v>No</v>
      </c>
      <c r="J2690" s="21" t="str">
        <f>D2611</f>
        <v>Compras Menores</v>
      </c>
    </row>
    <row r="2692" spans="1:10" ht="33.950000000000003" customHeight="1" x14ac:dyDescent="0.25">
      <c r="A2692" s="22" t="s">
        <v>1051</v>
      </c>
      <c r="B2692" s="22" t="s">
        <v>11</v>
      </c>
      <c r="C2692" s="22" t="s">
        <v>751</v>
      </c>
      <c r="D2692" s="22" t="s">
        <v>930</v>
      </c>
      <c r="E2692" s="22" t="s">
        <v>699</v>
      </c>
      <c r="F2692" s="22" t="s">
        <v>710</v>
      </c>
    </row>
    <row r="2693" spans="1:10" ht="14.25" customHeight="1" x14ac:dyDescent="0.25">
      <c r="A2693" s="23" t="s">
        <v>572</v>
      </c>
      <c r="B2693" s="23" t="s">
        <v>572</v>
      </c>
      <c r="C2693" s="23" t="s">
        <v>1155</v>
      </c>
      <c r="D2693" s="23" t="s">
        <v>1128</v>
      </c>
      <c r="E2693" s="23" t="s">
        <v>1156</v>
      </c>
      <c r="F2693" s="23" t="s">
        <v>436</v>
      </c>
    </row>
    <row r="2694" spans="1:10" ht="14.25" customHeight="1" x14ac:dyDescent="0.25">
      <c r="A2694" s="68" t="s">
        <v>965</v>
      </c>
      <c r="B2694" s="24" t="s">
        <v>543</v>
      </c>
      <c r="C2694" s="54">
        <v>46099</v>
      </c>
      <c r="D2694" s="68" t="s">
        <v>598</v>
      </c>
      <c r="E2694" s="56" t="s">
        <v>858</v>
      </c>
      <c r="F2694" s="57" t="s">
        <v>184</v>
      </c>
    </row>
    <row r="2695" spans="1:10" ht="14.25" customHeight="1" x14ac:dyDescent="0.25">
      <c r="A2695" s="69"/>
      <c r="B2695" s="24" t="s">
        <v>112</v>
      </c>
      <c r="C2695" s="55">
        <f>IF(C2694="","",IF(AND(MONTH(C2694)&gt;=1,MONTH(C2694)&lt;=3),1,IF(AND(MONTH(C2694)&gt;=4,MONTH(C2694)&lt;=6),2,IF(AND(MONTH(C2694)&gt;=7,MONTH(C2694)&lt;=9),3,4))))</f>
        <v>1</v>
      </c>
      <c r="D2695" s="69"/>
      <c r="E2695" s="56" t="s">
        <v>143</v>
      </c>
      <c r="F2695" s="57"/>
    </row>
    <row r="2696" spans="1:10" ht="14.25" customHeight="1" x14ac:dyDescent="0.25">
      <c r="A2696" s="69"/>
      <c r="B2696" s="24" t="s">
        <v>844</v>
      </c>
      <c r="C2696" s="54">
        <v>46134</v>
      </c>
      <c r="D2696" s="69"/>
      <c r="E2696" s="56" t="s">
        <v>183</v>
      </c>
      <c r="F2696" s="57"/>
    </row>
    <row r="2697" spans="1:10" ht="14.25" customHeight="1" x14ac:dyDescent="0.25">
      <c r="A2697" s="69"/>
      <c r="B2697" s="24" t="s">
        <v>112</v>
      </c>
      <c r="C2697" s="55">
        <f>IF(C2696="","",IF(AND(MONTH(C2696)&gt;=1,MONTH(C2696)&lt;=3),1,IF(AND(MONTH(C2696)&gt;=4,MONTH(C2696)&lt;=6),2,IF(AND(MONTH(C2696)&gt;=7,MONTH(C2696)&lt;=9),3,4))))</f>
        <v>2</v>
      </c>
      <c r="D2697" s="69"/>
      <c r="E2697" s="56" t="s">
        <v>865</v>
      </c>
      <c r="F2697" s="57"/>
    </row>
    <row r="2699" spans="1:10" ht="14.25" customHeight="1" x14ac:dyDescent="0.25">
      <c r="A2699" s="29" t="s">
        <v>1017</v>
      </c>
      <c r="B2699" s="29" t="s">
        <v>1042</v>
      </c>
      <c r="C2699" s="29" t="s">
        <v>1011</v>
      </c>
      <c r="D2699" s="29" t="s">
        <v>985</v>
      </c>
      <c r="E2699" s="29" t="s">
        <v>449</v>
      </c>
      <c r="F2699" s="29" t="s">
        <v>989</v>
      </c>
    </row>
    <row r="2700" spans="1:10" ht="14.25" customHeight="1" x14ac:dyDescent="0.25">
      <c r="A2700" s="25" t="s">
        <v>967</v>
      </c>
      <c r="B2700" s="26" t="str">
        <f ca="1">IFERROR(INDEX(UNSPSCDes,MATCH(INDIRECT(ADDRESS(ROW(),COLUMN()-1,4)),UNSPSCCode,0)),IF(INDIRECT(ADDRESS(ROW(),COLUMN()-1,4))="50202301","Agua",""))</f>
        <v>Agua</v>
      </c>
      <c r="C2700" s="58" t="str">
        <f>IFERROR(VLOOKUP("UD",'Informacion '!P:Q,2,FALSE),"")</f>
        <v>Unidad</v>
      </c>
      <c r="D2700" s="25">
        <v>12000</v>
      </c>
      <c r="E2700" s="28">
        <v>60</v>
      </c>
      <c r="F2700" s="27">
        <f ca="1">INDIRECT(ADDRESS(ROW(),COLUMN()-2,4))*INDIRECT(ADDRESS(ROW(),COLUMN()-1,4))</f>
        <v>720000</v>
      </c>
    </row>
    <row r="2701" spans="1:10" ht="14.25" customHeight="1" x14ac:dyDescent="0.25">
      <c r="A2701" s="25" t="s">
        <v>967</v>
      </c>
      <c r="B2701" s="26" t="str">
        <f ca="1">IFERROR(INDEX(UNSPSCDes,MATCH(INDIRECT(ADDRESS(ROW(),COLUMN()-1,4)),UNSPSCCode,0)),IF(INDIRECT(ADDRESS(ROW(),COLUMN()-1,4))="50202301","Agua",""))</f>
        <v>Agua</v>
      </c>
      <c r="C2701" s="58" t="str">
        <f>IFERROR(VLOOKUP("UD",'Informacion '!P:Q,2,FALSE),"")</f>
        <v>Unidad</v>
      </c>
      <c r="D2701" s="25">
        <v>350</v>
      </c>
      <c r="E2701" s="28">
        <v>150</v>
      </c>
      <c r="F2701" s="27">
        <f ca="1">INDIRECT(ADDRESS(ROW(),COLUMN()-2,4))*INDIRECT(ADDRESS(ROW(),COLUMN()-1,4))</f>
        <v>52500</v>
      </c>
    </row>
    <row r="2702" spans="1:10" ht="14.25" customHeight="1" x14ac:dyDescent="0.25">
      <c r="A2702" s="25" t="s">
        <v>967</v>
      </c>
      <c r="B2702" s="26" t="str">
        <f ca="1">IFERROR(INDEX(UNSPSCDes,MATCH(INDIRECT(ADDRESS(ROW(),COLUMN()-1,4)),UNSPSCCode,0)),IF(INDIRECT(ADDRESS(ROW(),COLUMN()-1,4))="50202301","Agua",""))</f>
        <v>Agua</v>
      </c>
      <c r="C2702" s="58" t="str">
        <f>IFERROR(VLOOKUP("UD",'Informacion '!P:Q,2,FALSE),"")</f>
        <v>Unidad</v>
      </c>
      <c r="D2702" s="25">
        <v>400</v>
      </c>
      <c r="E2702" s="28">
        <v>200</v>
      </c>
      <c r="F2702" s="27">
        <f ca="1">INDIRECT(ADDRESS(ROW(),COLUMN()-2,4))*INDIRECT(ADDRESS(ROW(),COLUMN()-1,4))</f>
        <v>80000</v>
      </c>
    </row>
    <row r="2703" spans="1:10" ht="14.25" customHeight="1" x14ac:dyDescent="0.25">
      <c r="E2703" s="30" t="s">
        <v>816</v>
      </c>
      <c r="F2703" s="31">
        <f ca="1">SUM(Table145[MONTO TOTAL ESTIMADO])</f>
        <v>852500</v>
      </c>
      <c r="H2703" s="21" t="str">
        <f>C2693</f>
        <v>Bienes</v>
      </c>
      <c r="I2703" s="21" t="str">
        <f>E2693</f>
        <v>No</v>
      </c>
      <c r="J2703" s="21" t="str">
        <f>D2693</f>
        <v>Compras Menores</v>
      </c>
    </row>
    <row r="2705" spans="1:10" ht="33.950000000000003" customHeight="1" x14ac:dyDescent="0.25">
      <c r="A2705" s="22" t="s">
        <v>1051</v>
      </c>
      <c r="B2705" s="22" t="s">
        <v>11</v>
      </c>
      <c r="C2705" s="22" t="s">
        <v>751</v>
      </c>
      <c r="D2705" s="22" t="s">
        <v>930</v>
      </c>
      <c r="E2705" s="22" t="s">
        <v>699</v>
      </c>
      <c r="F2705" s="22" t="s">
        <v>710</v>
      </c>
    </row>
    <row r="2706" spans="1:10" ht="14.25" customHeight="1" x14ac:dyDescent="0.25">
      <c r="A2706" s="23" t="s">
        <v>1096</v>
      </c>
      <c r="B2706" s="23" t="s">
        <v>1096</v>
      </c>
      <c r="C2706" s="23" t="s">
        <v>1155</v>
      </c>
      <c r="D2706" s="23" t="s">
        <v>1128</v>
      </c>
      <c r="E2706" s="23" t="s">
        <v>1156</v>
      </c>
      <c r="F2706" s="23" t="s">
        <v>436</v>
      </c>
    </row>
    <row r="2707" spans="1:10" ht="14.25" customHeight="1" x14ac:dyDescent="0.25">
      <c r="A2707" s="68" t="s">
        <v>965</v>
      </c>
      <c r="B2707" s="24" t="s">
        <v>543</v>
      </c>
      <c r="C2707" s="54">
        <v>46064</v>
      </c>
      <c r="D2707" s="68" t="s">
        <v>598</v>
      </c>
      <c r="E2707" s="56" t="s">
        <v>858</v>
      </c>
      <c r="F2707" s="57"/>
    </row>
    <row r="2708" spans="1:10" ht="14.25" customHeight="1" x14ac:dyDescent="0.25">
      <c r="A2708" s="69"/>
      <c r="B2708" s="24" t="s">
        <v>112</v>
      </c>
      <c r="C2708" s="55">
        <f>IF(C2707="","",IF(AND(MONTH(C2707)&gt;=1,MONTH(C2707)&lt;=3),1,IF(AND(MONTH(C2707)&gt;=4,MONTH(C2707)&lt;=6),2,IF(AND(MONTH(C2707)&gt;=7,MONTH(C2707)&lt;=9),3,4))))</f>
        <v>1</v>
      </c>
      <c r="D2708" s="69"/>
      <c r="E2708" s="56" t="s">
        <v>143</v>
      </c>
      <c r="F2708" s="57"/>
    </row>
    <row r="2709" spans="1:10" ht="14.25" customHeight="1" x14ac:dyDescent="0.25">
      <c r="A2709" s="69"/>
      <c r="B2709" s="24" t="s">
        <v>844</v>
      </c>
      <c r="C2709" s="54">
        <v>46111</v>
      </c>
      <c r="D2709" s="69"/>
      <c r="E2709" s="56" t="s">
        <v>183</v>
      </c>
      <c r="F2709" s="57"/>
    </row>
    <row r="2710" spans="1:10" ht="14.25" customHeight="1" x14ac:dyDescent="0.25">
      <c r="A2710" s="69"/>
      <c r="B2710" s="24" t="s">
        <v>112</v>
      </c>
      <c r="C2710" s="55">
        <f>IF(C2709="","",IF(AND(MONTH(C2709)&gt;=1,MONTH(C2709)&lt;=3),1,IF(AND(MONTH(C2709)&gt;=4,MONTH(C2709)&lt;=6),2,IF(AND(MONTH(C2709)&gt;=7,MONTH(C2709)&lt;=9),3,4))))</f>
        <v>1</v>
      </c>
      <c r="D2710" s="69"/>
      <c r="E2710" s="56" t="s">
        <v>865</v>
      </c>
      <c r="F2710" s="57"/>
    </row>
    <row r="2712" spans="1:10" ht="14.25" customHeight="1" x14ac:dyDescent="0.25">
      <c r="A2712" s="29" t="s">
        <v>1017</v>
      </c>
      <c r="B2712" s="29" t="s">
        <v>1042</v>
      </c>
      <c r="C2712" s="29" t="s">
        <v>1011</v>
      </c>
      <c r="D2712" s="29" t="s">
        <v>985</v>
      </c>
      <c r="E2712" s="29" t="s">
        <v>449</v>
      </c>
      <c r="F2712" s="29" t="s">
        <v>989</v>
      </c>
    </row>
    <row r="2713" spans="1:10" ht="14.25" customHeight="1" x14ac:dyDescent="0.25">
      <c r="A2713" s="25" t="s">
        <v>236</v>
      </c>
      <c r="B2713" s="26" t="str">
        <f ca="1">IFERROR(INDEX(UNSPSCDes,MATCH(INDIRECT(ADDRESS(ROW(),COLUMN()-1,4)),UNSPSCCode,0)),IF(INDIRECT(ADDRESS(ROW(),COLUMN()-1,4))="55121804","Gafetes o porta gafetes",""))</f>
        <v>Gafetes o porta gafetes</v>
      </c>
      <c r="C2713" s="58" t="str">
        <f>IFERROR(VLOOKUP("UD",'Informacion '!P:Q,2,FALSE),"")</f>
        <v>Unidad</v>
      </c>
      <c r="D2713" s="25">
        <v>1000</v>
      </c>
      <c r="E2713" s="28">
        <v>100</v>
      </c>
      <c r="F2713" s="27">
        <f ca="1">INDIRECT(ADDRESS(ROW(),COLUMN()-2,4))*INDIRECT(ADDRESS(ROW(),COLUMN()-1,4))</f>
        <v>100000</v>
      </c>
    </row>
    <row r="2714" spans="1:10" ht="14.25" customHeight="1" x14ac:dyDescent="0.25">
      <c r="A2714" s="25" t="s">
        <v>950</v>
      </c>
      <c r="B2714" s="26" t="str">
        <f ca="1">IFERROR(INDEX(UNSPSCDes,MATCH(INDIRECT(ADDRESS(ROW(),COLUMN()-1,4)),UNSPSCCode,0)),IF(INDIRECT(ADDRESS(ROW(),COLUMN()-1,4))="55121807","Porta productos de identificación o accesorios",""))</f>
        <v>Porta productos de identificación o accesorios</v>
      </c>
      <c r="C2714" s="58" t="str">
        <f>IFERROR(VLOOKUP("UD",'Informacion '!P:Q,2,FALSE),"")</f>
        <v>Unidad</v>
      </c>
      <c r="D2714" s="25">
        <v>500</v>
      </c>
      <c r="E2714" s="28">
        <v>150</v>
      </c>
      <c r="F2714" s="27">
        <f ca="1">INDIRECT(ADDRESS(ROW(),COLUMN()-2,4))*INDIRECT(ADDRESS(ROW(),COLUMN()-1,4))</f>
        <v>75000</v>
      </c>
    </row>
    <row r="2715" spans="1:10" ht="14.25" customHeight="1" x14ac:dyDescent="0.25">
      <c r="A2715" s="25" t="s">
        <v>236</v>
      </c>
      <c r="B2715" s="26" t="str">
        <f ca="1">IFERROR(INDEX(UNSPSCDes,MATCH(INDIRECT(ADDRESS(ROW(),COLUMN()-1,4)),UNSPSCCode,0)),IF(INDIRECT(ADDRESS(ROW(),COLUMN()-1,4))="55121804","Gafetes o porta gafetes",""))</f>
        <v>Gafetes o porta gafetes</v>
      </c>
      <c r="C2715" s="58" t="str">
        <f>IFERROR(VLOOKUP("UD",'Informacion '!P:Q,2,FALSE),"")</f>
        <v>Unidad</v>
      </c>
      <c r="D2715" s="25">
        <v>1000</v>
      </c>
      <c r="E2715" s="28">
        <v>18</v>
      </c>
      <c r="F2715" s="27">
        <f ca="1">INDIRECT(ADDRESS(ROW(),COLUMN()-2,4))*INDIRECT(ADDRESS(ROW(),COLUMN()-1,4))</f>
        <v>18000</v>
      </c>
    </row>
    <row r="2716" spans="1:10" ht="14.25" customHeight="1" x14ac:dyDescent="0.25">
      <c r="E2716" s="30" t="s">
        <v>816</v>
      </c>
      <c r="F2716" s="31">
        <f ca="1">SUM(Table146[MONTO TOTAL ESTIMADO])</f>
        <v>193000</v>
      </c>
      <c r="H2716" s="21" t="str">
        <f>C2706</f>
        <v>Bienes</v>
      </c>
      <c r="I2716" s="21" t="str">
        <f>E2706</f>
        <v>No</v>
      </c>
      <c r="J2716" s="21" t="str">
        <f>D2706</f>
        <v>Compras Menores</v>
      </c>
    </row>
    <row r="2718" spans="1:10" ht="33.950000000000003" customHeight="1" x14ac:dyDescent="0.25">
      <c r="A2718" s="22" t="s">
        <v>1051</v>
      </c>
      <c r="B2718" s="22" t="s">
        <v>11</v>
      </c>
      <c r="C2718" s="22" t="s">
        <v>751</v>
      </c>
      <c r="D2718" s="22" t="s">
        <v>930</v>
      </c>
      <c r="E2718" s="22" t="s">
        <v>699</v>
      </c>
      <c r="F2718" s="22" t="s">
        <v>710</v>
      </c>
    </row>
    <row r="2719" spans="1:10" ht="14.25" customHeight="1" x14ac:dyDescent="0.25">
      <c r="A2719" s="23" t="s">
        <v>1006</v>
      </c>
      <c r="B2719" s="23" t="s">
        <v>1006</v>
      </c>
      <c r="C2719" s="23" t="s">
        <v>1155</v>
      </c>
      <c r="D2719" s="23" t="s">
        <v>654</v>
      </c>
      <c r="E2719" s="23" t="s">
        <v>1156</v>
      </c>
      <c r="F2719" s="23" t="s">
        <v>436</v>
      </c>
    </row>
    <row r="2720" spans="1:10" ht="14.25" customHeight="1" x14ac:dyDescent="0.25">
      <c r="A2720" s="68" t="s">
        <v>965</v>
      </c>
      <c r="B2720" s="24" t="s">
        <v>543</v>
      </c>
      <c r="C2720" s="54">
        <v>46143</v>
      </c>
      <c r="D2720" s="68" t="s">
        <v>598</v>
      </c>
      <c r="E2720" s="56" t="s">
        <v>858</v>
      </c>
      <c r="F2720" s="57" t="s">
        <v>184</v>
      </c>
    </row>
    <row r="2721" spans="1:10" ht="14.25" customHeight="1" x14ac:dyDescent="0.25">
      <c r="A2721" s="69"/>
      <c r="B2721" s="24" t="s">
        <v>112</v>
      </c>
      <c r="C2721" s="55">
        <f>IF(C2720="","",IF(AND(MONTH(C2720)&gt;=1,MONTH(C2720)&lt;=3),1,IF(AND(MONTH(C2720)&gt;=4,MONTH(C2720)&lt;=6),2,IF(AND(MONTH(C2720)&gt;=7,MONTH(C2720)&lt;=9),3,4))))</f>
        <v>2</v>
      </c>
      <c r="D2721" s="69"/>
      <c r="E2721" s="56" t="s">
        <v>143</v>
      </c>
      <c r="F2721" s="57"/>
    </row>
    <row r="2722" spans="1:10" ht="14.25" customHeight="1" x14ac:dyDescent="0.25">
      <c r="A2722" s="69"/>
      <c r="B2722" s="24" t="s">
        <v>844</v>
      </c>
      <c r="C2722" s="54">
        <v>46173</v>
      </c>
      <c r="D2722" s="69"/>
      <c r="E2722" s="56" t="s">
        <v>183</v>
      </c>
      <c r="F2722" s="57"/>
    </row>
    <row r="2723" spans="1:10" ht="14.25" customHeight="1" x14ac:dyDescent="0.25">
      <c r="A2723" s="69"/>
      <c r="B2723" s="24" t="s">
        <v>112</v>
      </c>
      <c r="C2723" s="55">
        <f>IF(C2722="","",IF(AND(MONTH(C2722)&gt;=1,MONTH(C2722)&lt;=3),1,IF(AND(MONTH(C2722)&gt;=4,MONTH(C2722)&lt;=6),2,IF(AND(MONTH(C2722)&gt;=7,MONTH(C2722)&lt;=9),3,4))))</f>
        <v>2</v>
      </c>
      <c r="D2723" s="69"/>
      <c r="E2723" s="56" t="s">
        <v>865</v>
      </c>
      <c r="F2723" s="57"/>
    </row>
    <row r="2725" spans="1:10" ht="14.25" customHeight="1" x14ac:dyDescent="0.25">
      <c r="A2725" s="29" t="s">
        <v>1017</v>
      </c>
      <c r="B2725" s="29" t="s">
        <v>1042</v>
      </c>
      <c r="C2725" s="29" t="s">
        <v>1011</v>
      </c>
      <c r="D2725" s="29" t="s">
        <v>985</v>
      </c>
      <c r="E2725" s="29" t="s">
        <v>449</v>
      </c>
      <c r="F2725" s="29" t="s">
        <v>989</v>
      </c>
    </row>
    <row r="2726" spans="1:10" ht="14.25" customHeight="1" x14ac:dyDescent="0.25">
      <c r="A2726" s="25" t="s">
        <v>607</v>
      </c>
      <c r="B2726" s="26" t="str">
        <f ca="1">IFERROR(INDEX(UNSPSCDes,MATCH(INDIRECT(ADDRESS(ROW(),COLUMN()-1,4)),UNSPSCCode,0)),IF(INDIRECT(ADDRESS(ROW(),COLUMN()-1,4))="55121727","Letreros",""))</f>
        <v>Letreros</v>
      </c>
      <c r="C2726" s="58" t="str">
        <f>IFERROR(VLOOKUP("UD",'Informacion '!P:Q,2,FALSE),"")</f>
        <v>Unidad</v>
      </c>
      <c r="D2726" s="25">
        <v>6</v>
      </c>
      <c r="E2726" s="28">
        <v>15000</v>
      </c>
      <c r="F2726" s="27">
        <f ca="1">INDIRECT(ADDRESS(ROW(),COLUMN()-2,4))*INDIRECT(ADDRESS(ROW(),COLUMN()-1,4))</f>
        <v>90000</v>
      </c>
    </row>
    <row r="2727" spans="1:10" ht="14.25" customHeight="1" x14ac:dyDescent="0.25">
      <c r="E2727" s="30" t="s">
        <v>816</v>
      </c>
      <c r="F2727" s="31">
        <f ca="1">SUM(Table147[MONTO TOTAL ESTIMADO])</f>
        <v>90000</v>
      </c>
      <c r="H2727" s="21" t="str">
        <f>C2719</f>
        <v>Bienes</v>
      </c>
      <c r="I2727" s="21" t="str">
        <f>E2719</f>
        <v>No</v>
      </c>
      <c r="J2727" s="21" t="str">
        <f>D2719</f>
        <v>Compras por debajo del Umbral</v>
      </c>
    </row>
    <row r="2729" spans="1:10" ht="33.950000000000003" customHeight="1" x14ac:dyDescent="0.25">
      <c r="A2729" s="22" t="s">
        <v>1051</v>
      </c>
      <c r="B2729" s="22" t="s">
        <v>11</v>
      </c>
      <c r="C2729" s="22" t="s">
        <v>751</v>
      </c>
      <c r="D2729" s="22" t="s">
        <v>930</v>
      </c>
      <c r="E2729" s="22" t="s">
        <v>699</v>
      </c>
      <c r="F2729" s="22" t="s">
        <v>710</v>
      </c>
    </row>
    <row r="2730" spans="1:10" ht="14.25" customHeight="1" x14ac:dyDescent="0.25">
      <c r="A2730" s="23" t="s">
        <v>1024</v>
      </c>
      <c r="B2730" s="23" t="s">
        <v>1024</v>
      </c>
      <c r="C2730" s="23" t="s">
        <v>1155</v>
      </c>
      <c r="D2730" s="23" t="s">
        <v>1128</v>
      </c>
      <c r="E2730" s="23" t="s">
        <v>1156</v>
      </c>
      <c r="F2730" s="23" t="s">
        <v>436</v>
      </c>
    </row>
    <row r="2731" spans="1:10" ht="14.25" customHeight="1" x14ac:dyDescent="0.25">
      <c r="A2731" s="68" t="s">
        <v>965</v>
      </c>
      <c r="B2731" s="24" t="s">
        <v>543</v>
      </c>
      <c r="C2731" s="54">
        <v>46138</v>
      </c>
      <c r="D2731" s="68" t="s">
        <v>598</v>
      </c>
      <c r="E2731" s="56" t="s">
        <v>858</v>
      </c>
      <c r="F2731" s="57" t="s">
        <v>184</v>
      </c>
    </row>
    <row r="2732" spans="1:10" ht="14.25" customHeight="1" x14ac:dyDescent="0.25">
      <c r="A2732" s="69"/>
      <c r="B2732" s="24" t="s">
        <v>112</v>
      </c>
      <c r="C2732" s="55">
        <f>IF(C2731="","",IF(AND(MONTH(C2731)&gt;=1,MONTH(C2731)&lt;=3),1,IF(AND(MONTH(C2731)&gt;=4,MONTH(C2731)&lt;=6),2,IF(AND(MONTH(C2731)&gt;=7,MONTH(C2731)&lt;=9),3,4))))</f>
        <v>2</v>
      </c>
      <c r="D2732" s="69"/>
      <c r="E2732" s="56" t="s">
        <v>143</v>
      </c>
      <c r="F2732" s="57"/>
    </row>
    <row r="2733" spans="1:10" ht="14.25" customHeight="1" x14ac:dyDescent="0.25">
      <c r="A2733" s="69"/>
      <c r="B2733" s="24" t="s">
        <v>844</v>
      </c>
      <c r="C2733" s="54">
        <v>46153</v>
      </c>
      <c r="D2733" s="69"/>
      <c r="E2733" s="56" t="s">
        <v>183</v>
      </c>
      <c r="F2733" s="57"/>
    </row>
    <row r="2734" spans="1:10" ht="14.25" customHeight="1" x14ac:dyDescent="0.25">
      <c r="A2734" s="69"/>
      <c r="B2734" s="24" t="s">
        <v>112</v>
      </c>
      <c r="C2734" s="55">
        <f>IF(C2733="","",IF(AND(MONTH(C2733)&gt;=1,MONTH(C2733)&lt;=3),1,IF(AND(MONTH(C2733)&gt;=4,MONTH(C2733)&lt;=6),2,IF(AND(MONTH(C2733)&gt;=7,MONTH(C2733)&lt;=9),3,4))))</f>
        <v>2</v>
      </c>
      <c r="D2734" s="69"/>
      <c r="E2734" s="56" t="s">
        <v>865</v>
      </c>
      <c r="F2734" s="57"/>
    </row>
    <row r="2736" spans="1:10" ht="14.25" customHeight="1" x14ac:dyDescent="0.25">
      <c r="A2736" s="29" t="s">
        <v>1017</v>
      </c>
      <c r="B2736" s="29" t="s">
        <v>1042</v>
      </c>
      <c r="C2736" s="29" t="s">
        <v>1011</v>
      </c>
      <c r="D2736" s="29" t="s">
        <v>985</v>
      </c>
      <c r="E2736" s="29" t="s">
        <v>449</v>
      </c>
      <c r="F2736" s="29" t="s">
        <v>989</v>
      </c>
    </row>
    <row r="2737" spans="1:10" ht="14.25" customHeight="1" x14ac:dyDescent="0.25">
      <c r="A2737" s="25" t="s">
        <v>849</v>
      </c>
      <c r="B2737" s="26" t="str">
        <f ca="1">IFERROR(INDEX(UNSPSCDes,MATCH(INDIRECT(ADDRESS(ROW(),COLUMN()-1,4)),UNSPSCCode,0)),IF(INDIRECT(ADDRESS(ROW(),COLUMN()-1,4))="24121503","Cajas para empacar",""))</f>
        <v>Cajas para empacar</v>
      </c>
      <c r="C2737" s="58" t="str">
        <f>IFERROR(VLOOKUP("UD",'Informacion '!P:Q,2,FALSE),"")</f>
        <v>Unidad</v>
      </c>
      <c r="D2737" s="25">
        <v>1500</v>
      </c>
      <c r="E2737" s="28">
        <v>188.8</v>
      </c>
      <c r="F2737" s="27">
        <f ca="1">INDIRECT(ADDRESS(ROW(),COLUMN()-2,4))*INDIRECT(ADDRESS(ROW(),COLUMN()-1,4))</f>
        <v>283200</v>
      </c>
    </row>
    <row r="2738" spans="1:10" ht="14.25" customHeight="1" x14ac:dyDescent="0.25">
      <c r="E2738" s="30" t="s">
        <v>816</v>
      </c>
      <c r="F2738" s="31">
        <f ca="1">SUM(Table148[MONTO TOTAL ESTIMADO])</f>
        <v>283200</v>
      </c>
      <c r="H2738" s="21" t="str">
        <f>C2730</f>
        <v>Bienes</v>
      </c>
      <c r="I2738" s="21" t="str">
        <f>E2730</f>
        <v>No</v>
      </c>
      <c r="J2738" s="21" t="str">
        <f>D2730</f>
        <v>Compras Menores</v>
      </c>
    </row>
    <row r="2740" spans="1:10" ht="33.950000000000003" customHeight="1" x14ac:dyDescent="0.25">
      <c r="A2740" s="22" t="s">
        <v>1051</v>
      </c>
      <c r="B2740" s="22" t="s">
        <v>11</v>
      </c>
      <c r="C2740" s="22" t="s">
        <v>751</v>
      </c>
      <c r="D2740" s="22" t="s">
        <v>930</v>
      </c>
      <c r="E2740" s="22" t="s">
        <v>699</v>
      </c>
      <c r="F2740" s="22" t="s">
        <v>710</v>
      </c>
    </row>
    <row r="2741" spans="1:10" ht="14.25" customHeight="1" x14ac:dyDescent="0.25">
      <c r="A2741" s="23" t="s">
        <v>975</v>
      </c>
      <c r="B2741" s="23" t="s">
        <v>975</v>
      </c>
      <c r="C2741" s="23" t="s">
        <v>1155</v>
      </c>
      <c r="D2741" s="23" t="s">
        <v>116</v>
      </c>
      <c r="E2741" s="23" t="s">
        <v>561</v>
      </c>
      <c r="F2741" s="23" t="s">
        <v>436</v>
      </c>
    </row>
    <row r="2742" spans="1:10" ht="14.25" customHeight="1" x14ac:dyDescent="0.25">
      <c r="A2742" s="68" t="s">
        <v>965</v>
      </c>
      <c r="B2742" s="24" t="s">
        <v>543</v>
      </c>
      <c r="C2742" s="54">
        <v>46085</v>
      </c>
      <c r="D2742" s="68" t="s">
        <v>598</v>
      </c>
      <c r="E2742" s="56" t="s">
        <v>858</v>
      </c>
      <c r="F2742" s="57" t="s">
        <v>184</v>
      </c>
    </row>
    <row r="2743" spans="1:10" ht="14.25" customHeight="1" x14ac:dyDescent="0.25">
      <c r="A2743" s="69"/>
      <c r="B2743" s="24" t="s">
        <v>112</v>
      </c>
      <c r="C2743" s="55">
        <f>IF(C2742="","",IF(AND(MONTH(C2742)&gt;=1,MONTH(C2742)&lt;=3),1,IF(AND(MONTH(C2742)&gt;=4,MONTH(C2742)&lt;=6),2,IF(AND(MONTH(C2742)&gt;=7,MONTH(C2742)&lt;=9),3,4))))</f>
        <v>1</v>
      </c>
      <c r="D2743" s="69"/>
      <c r="E2743" s="56" t="s">
        <v>143</v>
      </c>
      <c r="F2743" s="57"/>
    </row>
    <row r="2744" spans="1:10" ht="14.25" customHeight="1" x14ac:dyDescent="0.25">
      <c r="A2744" s="69"/>
      <c r="B2744" s="24" t="s">
        <v>844</v>
      </c>
      <c r="C2744" s="54">
        <v>46111</v>
      </c>
      <c r="D2744" s="69"/>
      <c r="E2744" s="56" t="s">
        <v>183</v>
      </c>
      <c r="F2744" s="57"/>
    </row>
    <row r="2745" spans="1:10" ht="14.25" customHeight="1" x14ac:dyDescent="0.25">
      <c r="A2745" s="69"/>
      <c r="B2745" s="24" t="s">
        <v>112</v>
      </c>
      <c r="C2745" s="55">
        <f>IF(C2744="","",IF(AND(MONTH(C2744)&gt;=1,MONTH(C2744)&lt;=3),1,IF(AND(MONTH(C2744)&gt;=4,MONTH(C2744)&lt;=6),2,IF(AND(MONTH(C2744)&gt;=7,MONTH(C2744)&lt;=9),3,4))))</f>
        <v>1</v>
      </c>
      <c r="D2745" s="69"/>
      <c r="E2745" s="56" t="s">
        <v>865</v>
      </c>
      <c r="F2745" s="57"/>
    </row>
    <row r="2747" spans="1:10" ht="14.25" customHeight="1" x14ac:dyDescent="0.25">
      <c r="A2747" s="29" t="s">
        <v>1017</v>
      </c>
      <c r="B2747" s="29" t="s">
        <v>1042</v>
      </c>
      <c r="C2747" s="29" t="s">
        <v>1011</v>
      </c>
      <c r="D2747" s="29" t="s">
        <v>985</v>
      </c>
      <c r="E2747" s="29" t="s">
        <v>449</v>
      </c>
      <c r="F2747" s="29" t="s">
        <v>989</v>
      </c>
    </row>
    <row r="2748" spans="1:10" ht="14.25" customHeight="1" x14ac:dyDescent="0.25">
      <c r="A2748" s="25" t="s">
        <v>727</v>
      </c>
      <c r="B2748" s="26" t="str">
        <f ca="1">IFERROR(INDEX(UNSPSCDes,MATCH(INDIRECT(ADDRESS(ROW(),COLUMN()-1,4)),UNSPSCCode,0)),IF(INDIRECT(ADDRESS(ROW(),COLUMN()-1,4))="50161814","Azúcar o sustituto de azúcar, confite",""))</f>
        <v>Azúcar o sustituto de azúcar, confite</v>
      </c>
      <c r="C2748" s="58" t="str">
        <f>IFERROR(VLOOKUP("CAJ",'Informacion '!P:Q,2,FALSE),"")</f>
        <v>Caja</v>
      </c>
      <c r="D2748" s="25">
        <v>50</v>
      </c>
      <c r="E2748" s="28">
        <v>420</v>
      </c>
      <c r="F2748" s="27">
        <f t="shared" ref="F2748:F2771" ca="1" si="87">INDIRECT(ADDRESS(ROW(),COLUMN()-2,4))*INDIRECT(ADDRESS(ROW(),COLUMN()-1,4))</f>
        <v>21000</v>
      </c>
    </row>
    <row r="2749" spans="1:10" ht="14.25" customHeight="1" x14ac:dyDescent="0.25">
      <c r="A2749" s="25" t="s">
        <v>727</v>
      </c>
      <c r="B2749" s="26" t="str">
        <f ca="1">IFERROR(INDEX(UNSPSCDes,MATCH(INDIRECT(ADDRESS(ROW(),COLUMN()-1,4)),UNSPSCCode,0)),IF(INDIRECT(ADDRESS(ROW(),COLUMN()-1,4))="50161814","Azúcar o sustituto de azúcar, confite",""))</f>
        <v>Azúcar o sustituto de azúcar, confite</v>
      </c>
      <c r="C2749" s="58" t="str">
        <f>IFERROR(VLOOKUP("CAJ",'Informacion '!P:Q,2,FALSE),"")</f>
        <v>Caja</v>
      </c>
      <c r="D2749" s="25">
        <v>50</v>
      </c>
      <c r="E2749" s="28">
        <v>300</v>
      </c>
      <c r="F2749" s="27">
        <f t="shared" ca="1" si="87"/>
        <v>15000</v>
      </c>
    </row>
    <row r="2750" spans="1:10" ht="14.25" customHeight="1" x14ac:dyDescent="0.25">
      <c r="A2750" s="25" t="s">
        <v>866</v>
      </c>
      <c r="B2750" s="26" t="str">
        <f ca="1">IFERROR(INDEX(UNSPSCDes,MATCH(INDIRECT(ADDRESS(ROW(),COLUMN()-1,4)),UNSPSCCode,0)),IF(INDIRECT(ADDRESS(ROW(),COLUMN()-1,4))="50201712","Bebidas de té",""))</f>
        <v>Bebidas de té</v>
      </c>
      <c r="C2750" s="58" t="str">
        <f>IFERROR(VLOOKUP("UD",'Informacion '!P:Q,2,FALSE),"")</f>
        <v>Unidad</v>
      </c>
      <c r="D2750" s="25">
        <v>35</v>
      </c>
      <c r="E2750" s="28">
        <v>370</v>
      </c>
      <c r="F2750" s="27">
        <f t="shared" ca="1" si="87"/>
        <v>12950</v>
      </c>
    </row>
    <row r="2751" spans="1:10" ht="14.25" customHeight="1" x14ac:dyDescent="0.25">
      <c r="A2751" s="25" t="s">
        <v>866</v>
      </c>
      <c r="B2751" s="26" t="str">
        <f ca="1">IFERROR(INDEX(UNSPSCDes,MATCH(INDIRECT(ADDRESS(ROW(),COLUMN()-1,4)),UNSPSCCode,0)),IF(INDIRECT(ADDRESS(ROW(),COLUMN()-1,4))="50201712","Bebidas de té",""))</f>
        <v>Bebidas de té</v>
      </c>
      <c r="C2751" s="58" t="str">
        <f>IFERROR(VLOOKUP("UD",'Informacion '!P:Q,2,FALSE),"")</f>
        <v>Unidad</v>
      </c>
      <c r="D2751" s="25">
        <v>35</v>
      </c>
      <c r="E2751" s="28">
        <v>630</v>
      </c>
      <c r="F2751" s="27">
        <f t="shared" ca="1" si="87"/>
        <v>22050</v>
      </c>
    </row>
    <row r="2752" spans="1:10" ht="14.25" customHeight="1" x14ac:dyDescent="0.25">
      <c r="A2752" s="25" t="s">
        <v>614</v>
      </c>
      <c r="B2752" s="26" t="str">
        <f ca="1">IFERROR(INDEX(UNSPSCDes,MATCH(INDIRECT(ADDRESS(ROW(),COLUMN()-1,4)),UNSPSCCode,0)),IF(INDIRECT(ADDRESS(ROW(),COLUMN()-1,4))="50201706","Café",""))</f>
        <v>Café</v>
      </c>
      <c r="C2752" s="58" t="str">
        <f>IFERROR(VLOOKUP("PAQ",'Informacion '!P:Q,2,FALSE),"")</f>
        <v>Paquete</v>
      </c>
      <c r="D2752" s="25">
        <v>2000</v>
      </c>
      <c r="E2752" s="28">
        <v>300</v>
      </c>
      <c r="F2752" s="27">
        <f t="shared" ca="1" si="87"/>
        <v>600000</v>
      </c>
    </row>
    <row r="2753" spans="1:6" ht="14.25" customHeight="1" x14ac:dyDescent="0.25">
      <c r="A2753" s="25" t="s">
        <v>500</v>
      </c>
      <c r="B2753" s="26" t="str">
        <f ca="1">IFERROR(INDEX(UNSPSCDes,MATCH(INDIRECT(ADDRESS(ROW(),COLUMN()-1,4)),UNSPSCCode,0)),IF(INDIRECT(ADDRESS(ROW(),COLUMN()-1,4))="50201714","Cremas no lácteas",""))</f>
        <v>Cremas no lácteas</v>
      </c>
      <c r="C2753" s="58" t="str">
        <f>IFERROR(VLOOKUP("UD",'Informacion '!P:Q,2,FALSE),"")</f>
        <v>Unidad</v>
      </c>
      <c r="D2753" s="25">
        <v>200</v>
      </c>
      <c r="E2753" s="28">
        <v>425</v>
      </c>
      <c r="F2753" s="27">
        <f t="shared" ca="1" si="87"/>
        <v>85000</v>
      </c>
    </row>
    <row r="2754" spans="1:6" ht="14.25" customHeight="1" x14ac:dyDescent="0.25">
      <c r="A2754" s="25" t="s">
        <v>727</v>
      </c>
      <c r="B2754" s="26" t="str">
        <f ca="1">IFERROR(INDEX(UNSPSCDes,MATCH(INDIRECT(ADDRESS(ROW(),COLUMN()-1,4)),UNSPSCCode,0)),IF(INDIRECT(ADDRESS(ROW(),COLUMN()-1,4))="50161814","Azúcar o sustituto de azúcar, confite",""))</f>
        <v>Azúcar o sustituto de azúcar, confite</v>
      </c>
      <c r="C2754" s="58" t="str">
        <f>IFERROR(VLOOKUP("UD",'Informacion '!P:Q,2,FALSE),"")</f>
        <v>Unidad</v>
      </c>
      <c r="D2754" s="25">
        <v>300</v>
      </c>
      <c r="E2754" s="28">
        <v>205</v>
      </c>
      <c r="F2754" s="27">
        <f t="shared" ca="1" si="87"/>
        <v>61500</v>
      </c>
    </row>
    <row r="2755" spans="1:6" ht="14.25" customHeight="1" x14ac:dyDescent="0.25">
      <c r="A2755" s="25" t="s">
        <v>727</v>
      </c>
      <c r="B2755" s="26" t="str">
        <f ca="1">IFERROR(INDEX(UNSPSCDes,MATCH(INDIRECT(ADDRESS(ROW(),COLUMN()-1,4)),UNSPSCCode,0)),IF(INDIRECT(ADDRESS(ROW(),COLUMN()-1,4))="50161814","Azúcar o sustituto de azúcar, confite",""))</f>
        <v>Azúcar o sustituto de azúcar, confite</v>
      </c>
      <c r="C2755" s="58" t="str">
        <f>IFERROR(VLOOKUP("UD",'Informacion '!P:Q,2,FALSE),"")</f>
        <v>Unidad</v>
      </c>
      <c r="D2755" s="25">
        <v>200</v>
      </c>
      <c r="E2755" s="28">
        <v>176</v>
      </c>
      <c r="F2755" s="27">
        <f t="shared" ca="1" si="87"/>
        <v>35200</v>
      </c>
    </row>
    <row r="2756" spans="1:6" ht="14.25" customHeight="1" x14ac:dyDescent="0.25">
      <c r="A2756" s="25" t="s">
        <v>291</v>
      </c>
      <c r="B2756" s="26" t="str">
        <f t="shared" ref="B2756:B2761" ca="1" si="88">IFERROR(INDEX(UNSPSCDes,MATCH(INDIRECT(ADDRESS(ROW(),COLUMN()-1,4)),UNSPSCCode,0)),IF(INDIRECT(ADDRESS(ROW(),COLUMN()-1,4))="50201711","Té instantáneo",""))</f>
        <v>Té instantáneo</v>
      </c>
      <c r="C2756" s="58" t="str">
        <f>IFERROR(VLOOKUP("CAJ",'Informacion '!P:Q,2,FALSE),"")</f>
        <v>Caja</v>
      </c>
      <c r="D2756" s="25">
        <v>15</v>
      </c>
      <c r="E2756" s="28">
        <v>400</v>
      </c>
      <c r="F2756" s="27">
        <f t="shared" ca="1" si="87"/>
        <v>6000</v>
      </c>
    </row>
    <row r="2757" spans="1:6" ht="14.25" customHeight="1" x14ac:dyDescent="0.25">
      <c r="A2757" s="25" t="s">
        <v>291</v>
      </c>
      <c r="B2757" s="26" t="str">
        <f t="shared" ca="1" si="88"/>
        <v>Té instantáneo</v>
      </c>
      <c r="C2757" s="58" t="str">
        <f>IFERROR(VLOOKUP("CAJ",'Informacion '!P:Q,2,FALSE),"")</f>
        <v>Caja</v>
      </c>
      <c r="D2757" s="25">
        <v>15</v>
      </c>
      <c r="E2757" s="28">
        <v>400</v>
      </c>
      <c r="F2757" s="27">
        <f t="shared" ca="1" si="87"/>
        <v>6000</v>
      </c>
    </row>
    <row r="2758" spans="1:6" ht="14.25" customHeight="1" x14ac:dyDescent="0.25">
      <c r="A2758" s="25" t="s">
        <v>291</v>
      </c>
      <c r="B2758" s="26" t="str">
        <f t="shared" ca="1" si="88"/>
        <v>Té instantáneo</v>
      </c>
      <c r="C2758" s="58" t="str">
        <f>IFERROR(VLOOKUP("CAJ",'Informacion '!P:Q,2,FALSE),"")</f>
        <v>Caja</v>
      </c>
      <c r="D2758" s="25">
        <v>15</v>
      </c>
      <c r="E2758" s="28">
        <v>400</v>
      </c>
      <c r="F2758" s="27">
        <f t="shared" ca="1" si="87"/>
        <v>6000</v>
      </c>
    </row>
    <row r="2759" spans="1:6" ht="14.25" customHeight="1" x14ac:dyDescent="0.25">
      <c r="A2759" s="25" t="s">
        <v>291</v>
      </c>
      <c r="B2759" s="26" t="str">
        <f t="shared" ca="1" si="88"/>
        <v>Té instantáneo</v>
      </c>
      <c r="C2759" s="58" t="str">
        <f>IFERROR(VLOOKUP("CAJ",'Informacion '!P:Q,2,FALSE),"")</f>
        <v>Caja</v>
      </c>
      <c r="D2759" s="25">
        <v>15</v>
      </c>
      <c r="E2759" s="28">
        <v>400</v>
      </c>
      <c r="F2759" s="27">
        <f t="shared" ca="1" si="87"/>
        <v>6000</v>
      </c>
    </row>
    <row r="2760" spans="1:6" ht="14.25" customHeight="1" x14ac:dyDescent="0.25">
      <c r="A2760" s="25" t="s">
        <v>291</v>
      </c>
      <c r="B2760" s="26" t="str">
        <f t="shared" ca="1" si="88"/>
        <v>Té instantáneo</v>
      </c>
      <c r="C2760" s="58" t="str">
        <f>IFERROR(VLOOKUP("CAJ",'Informacion '!P:Q,2,FALSE),"")</f>
        <v>Caja</v>
      </c>
      <c r="D2760" s="25">
        <v>15</v>
      </c>
      <c r="E2760" s="28">
        <v>400</v>
      </c>
      <c r="F2760" s="27">
        <f t="shared" ca="1" si="87"/>
        <v>6000</v>
      </c>
    </row>
    <row r="2761" spans="1:6" ht="14.25" customHeight="1" x14ac:dyDescent="0.25">
      <c r="A2761" s="25" t="s">
        <v>291</v>
      </c>
      <c r="B2761" s="26" t="str">
        <f t="shared" ca="1" si="88"/>
        <v>Té instantáneo</v>
      </c>
      <c r="C2761" s="58" t="str">
        <f>IFERROR(VLOOKUP("CAJ",'Informacion '!P:Q,2,FALSE),"")</f>
        <v>Caja</v>
      </c>
      <c r="D2761" s="25">
        <v>15</v>
      </c>
      <c r="E2761" s="28">
        <v>400</v>
      </c>
      <c r="F2761" s="27">
        <f t="shared" ca="1" si="87"/>
        <v>6000</v>
      </c>
    </row>
    <row r="2762" spans="1:6" ht="14.25" customHeight="1" x14ac:dyDescent="0.25">
      <c r="A2762" s="25" t="s">
        <v>1158</v>
      </c>
      <c r="B2762" s="26" t="str">
        <f ca="1">IFERROR(INDEX(UNSPSCDes,MATCH(INDIRECT(ADDRESS(ROW(),COLUMN()-1,4)),UNSPSCCode,0)),IF(INDIRECT(ADDRESS(ROW(),COLUMN()-1,4))="50181905","Galletas de dulce",""))</f>
        <v>Galletas de dulce</v>
      </c>
      <c r="C2762" s="58" t="str">
        <f>IFERROR(VLOOKUP("CAJ",'Informacion '!P:Q,2,FALSE),"")</f>
        <v>Caja</v>
      </c>
      <c r="D2762" s="25">
        <v>75</v>
      </c>
      <c r="E2762" s="28">
        <v>1050</v>
      </c>
      <c r="F2762" s="27">
        <f t="shared" ca="1" si="87"/>
        <v>78750</v>
      </c>
    </row>
    <row r="2763" spans="1:6" ht="14.25" customHeight="1" x14ac:dyDescent="0.25">
      <c r="A2763" s="25" t="s">
        <v>1158</v>
      </c>
      <c r="B2763" s="26" t="str">
        <f ca="1">IFERROR(INDEX(UNSPSCDes,MATCH(INDIRECT(ADDRESS(ROW(),COLUMN()-1,4)),UNSPSCCode,0)),IF(INDIRECT(ADDRESS(ROW(),COLUMN()-1,4))="50181905","Galletas de dulce",""))</f>
        <v>Galletas de dulce</v>
      </c>
      <c r="C2763" s="58" t="str">
        <f>IFERROR(VLOOKUP("CAJ",'Informacion '!P:Q,2,FALSE),"")</f>
        <v>Caja</v>
      </c>
      <c r="D2763" s="25">
        <v>75</v>
      </c>
      <c r="E2763" s="28">
        <v>2000</v>
      </c>
      <c r="F2763" s="27">
        <f t="shared" ca="1" si="87"/>
        <v>150000</v>
      </c>
    </row>
    <row r="2764" spans="1:6" ht="14.25" customHeight="1" x14ac:dyDescent="0.25">
      <c r="A2764" s="25" t="s">
        <v>1158</v>
      </c>
      <c r="B2764" s="26" t="str">
        <f ca="1">IFERROR(INDEX(UNSPSCDes,MATCH(INDIRECT(ADDRESS(ROW(),COLUMN()-1,4)),UNSPSCCode,0)),IF(INDIRECT(ADDRESS(ROW(),COLUMN()-1,4))="50181905","Galletas de dulce",""))</f>
        <v>Galletas de dulce</v>
      </c>
      <c r="C2764" s="58" t="str">
        <f>IFERROR(VLOOKUP("CAJ",'Informacion '!P:Q,2,FALSE),"")</f>
        <v>Caja</v>
      </c>
      <c r="D2764" s="25">
        <v>75</v>
      </c>
      <c r="E2764" s="28">
        <v>2000</v>
      </c>
      <c r="F2764" s="27">
        <f t="shared" ca="1" si="87"/>
        <v>150000</v>
      </c>
    </row>
    <row r="2765" spans="1:6" ht="14.25" customHeight="1" x14ac:dyDescent="0.25">
      <c r="A2765" s="25" t="s">
        <v>395</v>
      </c>
      <c r="B2765" s="26" t="str">
        <f ca="1">IFERROR(INDEX(UNSPSCDes,MATCH(INDIRECT(ADDRESS(ROW(),COLUMN()-1,4)),UNSPSCCode,0)),IF(INDIRECT(ADDRESS(ROW(),COLUMN()-1,4))="50192110","Nueces o fruta disecada",""))</f>
        <v>Nueces o fruta disecada</v>
      </c>
      <c r="C2765" s="58" t="str">
        <f>IFERROR(VLOOKUP("UD",'Informacion '!P:Q,2,FALSE),"")</f>
        <v>Unidad</v>
      </c>
      <c r="D2765" s="25">
        <v>100</v>
      </c>
      <c r="E2765" s="28">
        <v>350</v>
      </c>
      <c r="F2765" s="27">
        <f t="shared" ca="1" si="87"/>
        <v>35000</v>
      </c>
    </row>
    <row r="2766" spans="1:6" ht="14.25" customHeight="1" x14ac:dyDescent="0.25">
      <c r="A2766" s="25" t="s">
        <v>395</v>
      </c>
      <c r="B2766" s="26" t="str">
        <f ca="1">IFERROR(INDEX(UNSPSCDes,MATCH(INDIRECT(ADDRESS(ROW(),COLUMN()-1,4)),UNSPSCCode,0)),IF(INDIRECT(ADDRESS(ROW(),COLUMN()-1,4))="50192110","Nueces o fruta disecada",""))</f>
        <v>Nueces o fruta disecada</v>
      </c>
      <c r="C2766" s="58" t="str">
        <f>IFERROR(VLOOKUP("UD",'Informacion '!P:Q,2,FALSE),"")</f>
        <v>Unidad</v>
      </c>
      <c r="D2766" s="25">
        <v>100</v>
      </c>
      <c r="E2766" s="28">
        <v>1566.67</v>
      </c>
      <c r="F2766" s="27">
        <f t="shared" ca="1" si="87"/>
        <v>156667</v>
      </c>
    </row>
    <row r="2767" spans="1:6" ht="14.25" customHeight="1" x14ac:dyDescent="0.25">
      <c r="A2767" s="25" t="s">
        <v>395</v>
      </c>
      <c r="B2767" s="26" t="str">
        <f ca="1">IFERROR(INDEX(UNSPSCDes,MATCH(INDIRECT(ADDRESS(ROW(),COLUMN()-1,4)),UNSPSCCode,0)),IF(INDIRECT(ADDRESS(ROW(),COLUMN()-1,4))="50192110","Nueces o fruta disecada",""))</f>
        <v>Nueces o fruta disecada</v>
      </c>
      <c r="C2767" s="58" t="str">
        <f>IFERROR(VLOOKUP("UD",'Informacion '!P:Q,2,FALSE),"")</f>
        <v>Unidad</v>
      </c>
      <c r="D2767" s="25">
        <v>100</v>
      </c>
      <c r="E2767" s="28">
        <v>1166.67</v>
      </c>
      <c r="F2767" s="27">
        <f t="shared" ca="1" si="87"/>
        <v>116667</v>
      </c>
    </row>
    <row r="2768" spans="1:6" ht="14.25" customHeight="1" x14ac:dyDescent="0.25">
      <c r="A2768" s="25" t="s">
        <v>395</v>
      </c>
      <c r="B2768" s="26" t="str">
        <f ca="1">IFERROR(INDEX(UNSPSCDes,MATCH(INDIRECT(ADDRESS(ROW(),COLUMN()-1,4)),UNSPSCCode,0)),IF(INDIRECT(ADDRESS(ROW(),COLUMN()-1,4))="50192110","Nueces o fruta disecada",""))</f>
        <v>Nueces o fruta disecada</v>
      </c>
      <c r="C2768" s="58" t="str">
        <f>IFERROR(VLOOKUP("UD",'Informacion '!P:Q,2,FALSE),"")</f>
        <v>Unidad</v>
      </c>
      <c r="D2768" s="25">
        <v>100</v>
      </c>
      <c r="E2768" s="28">
        <v>933.33</v>
      </c>
      <c r="F2768" s="27">
        <f t="shared" ca="1" si="87"/>
        <v>93333</v>
      </c>
    </row>
    <row r="2769" spans="1:10" ht="14.25" customHeight="1" x14ac:dyDescent="0.25">
      <c r="A2769" s="25" t="s">
        <v>395</v>
      </c>
      <c r="B2769" s="26" t="str">
        <f ca="1">IFERROR(INDEX(UNSPSCDes,MATCH(INDIRECT(ADDRESS(ROW(),COLUMN()-1,4)),UNSPSCCode,0)),IF(INDIRECT(ADDRESS(ROW(),COLUMN()-1,4))="50192110","Nueces o fruta disecada",""))</f>
        <v>Nueces o fruta disecada</v>
      </c>
      <c r="C2769" s="58" t="str">
        <f>IFERROR(VLOOKUP("CAJ",'Informacion '!P:Q,2,FALSE),"")</f>
        <v>Caja</v>
      </c>
      <c r="D2769" s="25">
        <v>100</v>
      </c>
      <c r="E2769" s="28">
        <v>333.33</v>
      </c>
      <c r="F2769" s="27">
        <f t="shared" ca="1" si="87"/>
        <v>33333</v>
      </c>
    </row>
    <row r="2770" spans="1:10" ht="14.25" customHeight="1" x14ac:dyDescent="0.25">
      <c r="A2770" s="25" t="s">
        <v>147</v>
      </c>
      <c r="B2770" s="26" t="str">
        <f ca="1">IFERROR(INDEX(UNSPSCDes,MATCH(INDIRECT(ADDRESS(ROW(),COLUMN()-1,4)),UNSPSCCode,0)),IF(INDIRECT(ADDRESS(ROW(),COLUMN()-1,4))="50181909","Galletas de soda",""))</f>
        <v>Galletas de soda</v>
      </c>
      <c r="C2770" s="58" t="str">
        <f>IFERROR(VLOOKUP("PAQ",'Informacion '!P:Q,2,FALSE),"")</f>
        <v>Paquete</v>
      </c>
      <c r="D2770" s="25">
        <v>75</v>
      </c>
      <c r="E2770" s="28">
        <v>200</v>
      </c>
      <c r="F2770" s="27">
        <f t="shared" ca="1" si="87"/>
        <v>15000</v>
      </c>
    </row>
    <row r="2771" spans="1:10" ht="14.25" customHeight="1" x14ac:dyDescent="0.25">
      <c r="A2771" s="25" t="s">
        <v>395</v>
      </c>
      <c r="B2771" s="26" t="str">
        <f ca="1">IFERROR(INDEX(UNSPSCDes,MATCH(INDIRECT(ADDRESS(ROW(),COLUMN()-1,4)),UNSPSCCode,0)),IF(INDIRECT(ADDRESS(ROW(),COLUMN()-1,4))="50192110","Nueces o fruta disecada",""))</f>
        <v>Nueces o fruta disecada</v>
      </c>
      <c r="C2771" s="58" t="str">
        <f>IFERROR(VLOOKUP("CAJ",'Informacion '!P:Q,2,FALSE),"")</f>
        <v>Caja</v>
      </c>
      <c r="D2771" s="25">
        <v>100</v>
      </c>
      <c r="E2771" s="28">
        <v>1100</v>
      </c>
      <c r="F2771" s="27">
        <f t="shared" ca="1" si="87"/>
        <v>110000</v>
      </c>
    </row>
    <row r="2772" spans="1:10" ht="14.25" customHeight="1" x14ac:dyDescent="0.25">
      <c r="E2772" s="30" t="s">
        <v>816</v>
      </c>
      <c r="F2772" s="31">
        <f ca="1">SUM(Table149[MONTO TOTAL ESTIMADO])</f>
        <v>1827450</v>
      </c>
      <c r="H2772" s="21" t="str">
        <f>C2741</f>
        <v>Bienes</v>
      </c>
      <c r="I2772" s="21" t="str">
        <f>E2741</f>
        <v>Sí</v>
      </c>
      <c r="J2772" s="21" t="str">
        <f>D2741</f>
        <v>Comparacion de Precios</v>
      </c>
    </row>
    <row r="2774" spans="1:10" ht="33.950000000000003" customHeight="1" x14ac:dyDescent="0.25">
      <c r="A2774" s="22" t="s">
        <v>1051</v>
      </c>
      <c r="B2774" s="22" t="s">
        <v>11</v>
      </c>
      <c r="C2774" s="22" t="s">
        <v>751</v>
      </c>
      <c r="D2774" s="22" t="s">
        <v>930</v>
      </c>
      <c r="E2774" s="22" t="s">
        <v>699</v>
      </c>
      <c r="F2774" s="22" t="s">
        <v>710</v>
      </c>
    </row>
    <row r="2775" spans="1:10" ht="14.25" customHeight="1" x14ac:dyDescent="0.25">
      <c r="A2775" s="23" t="s">
        <v>513</v>
      </c>
      <c r="B2775" s="23" t="s">
        <v>513</v>
      </c>
      <c r="C2775" s="23" t="s">
        <v>1155</v>
      </c>
      <c r="D2775" s="23" t="s">
        <v>654</v>
      </c>
      <c r="E2775" s="23" t="s">
        <v>1156</v>
      </c>
      <c r="F2775" s="23" t="s">
        <v>436</v>
      </c>
    </row>
    <row r="2776" spans="1:10" ht="14.25" customHeight="1" x14ac:dyDescent="0.25">
      <c r="A2776" s="68" t="s">
        <v>965</v>
      </c>
      <c r="B2776" s="24" t="s">
        <v>543</v>
      </c>
      <c r="C2776" s="54">
        <v>46153</v>
      </c>
      <c r="D2776" s="68" t="s">
        <v>598</v>
      </c>
      <c r="E2776" s="56" t="s">
        <v>858</v>
      </c>
      <c r="F2776" s="57"/>
    </row>
    <row r="2777" spans="1:10" ht="14.25" customHeight="1" x14ac:dyDescent="0.25">
      <c r="A2777" s="69"/>
      <c r="B2777" s="24" t="s">
        <v>112</v>
      </c>
      <c r="C2777" s="55">
        <f>IF(C2776="","",IF(AND(MONTH(C2776)&gt;=1,MONTH(C2776)&lt;=3),1,IF(AND(MONTH(C2776)&gt;=4,MONTH(C2776)&lt;=6),2,IF(AND(MONTH(C2776)&gt;=7,MONTH(C2776)&lt;=9),3,4))))</f>
        <v>2</v>
      </c>
      <c r="D2777" s="69"/>
      <c r="E2777" s="56" t="s">
        <v>143</v>
      </c>
      <c r="F2777" s="57"/>
    </row>
    <row r="2778" spans="1:10" ht="14.25" customHeight="1" x14ac:dyDescent="0.25">
      <c r="A2778" s="69"/>
      <c r="B2778" s="24" t="s">
        <v>844</v>
      </c>
      <c r="C2778" s="54">
        <v>46155</v>
      </c>
      <c r="D2778" s="69"/>
      <c r="E2778" s="56" t="s">
        <v>183</v>
      </c>
      <c r="F2778" s="57"/>
    </row>
    <row r="2779" spans="1:10" ht="14.25" customHeight="1" x14ac:dyDescent="0.25">
      <c r="A2779" s="69"/>
      <c r="B2779" s="24" t="s">
        <v>112</v>
      </c>
      <c r="C2779" s="55">
        <f>IF(C2778="","",IF(AND(MONTH(C2778)&gt;=1,MONTH(C2778)&lt;=3),1,IF(AND(MONTH(C2778)&gt;=4,MONTH(C2778)&lt;=6),2,IF(AND(MONTH(C2778)&gt;=7,MONTH(C2778)&lt;=9),3,4))))</f>
        <v>2</v>
      </c>
      <c r="D2779" s="69"/>
      <c r="E2779" s="56" t="s">
        <v>865</v>
      </c>
      <c r="F2779" s="57"/>
    </row>
    <row r="2781" spans="1:10" ht="14.25" customHeight="1" x14ac:dyDescent="0.25">
      <c r="A2781" s="29" t="s">
        <v>1017</v>
      </c>
      <c r="B2781" s="29" t="s">
        <v>1042</v>
      </c>
      <c r="C2781" s="29" t="s">
        <v>1011</v>
      </c>
      <c r="D2781" s="29" t="s">
        <v>985</v>
      </c>
      <c r="E2781" s="29" t="s">
        <v>449</v>
      </c>
      <c r="F2781" s="29" t="s">
        <v>989</v>
      </c>
    </row>
    <row r="2782" spans="1:10" ht="14.25" customHeight="1" x14ac:dyDescent="0.25">
      <c r="A2782" s="25" t="s">
        <v>386</v>
      </c>
      <c r="B2782" s="26" t="str">
        <f ca="1">IFERROR(INDEX(UNSPSCDes,MATCH(INDIRECT(ADDRESS(ROW(),COLUMN()-1,4)),UNSPSCCode,0)),IF(INDIRECT(ADDRESS(ROW(),COLUMN()-1,4))="60131105","Silbatos",""))</f>
        <v>Silbatos</v>
      </c>
      <c r="C2782" s="58" t="str">
        <f>IFERROR(VLOOKUP("UD",'Informacion '!P:Q,2,FALSE),"")</f>
        <v>Unidad</v>
      </c>
      <c r="D2782" s="25">
        <v>300</v>
      </c>
      <c r="E2782" s="28">
        <v>100</v>
      </c>
      <c r="F2782" s="27">
        <f ca="1">INDIRECT(ADDRESS(ROW(),COLUMN()-2,4))*INDIRECT(ADDRESS(ROW(),COLUMN()-1,4))</f>
        <v>30000</v>
      </c>
    </row>
    <row r="2783" spans="1:10" ht="14.25" customHeight="1" x14ac:dyDescent="0.25">
      <c r="E2783" s="30" t="s">
        <v>816</v>
      </c>
      <c r="F2783" s="31">
        <f ca="1">SUM(Table150[MONTO TOTAL ESTIMADO])</f>
        <v>30000</v>
      </c>
      <c r="H2783" s="21" t="str">
        <f>C2775</f>
        <v>Bienes</v>
      </c>
      <c r="I2783" s="21" t="str">
        <f>E2775</f>
        <v>No</v>
      </c>
      <c r="J2783" s="21" t="str">
        <f>D2775</f>
        <v>Compras por debajo del Umbral</v>
      </c>
    </row>
    <row r="2785" spans="1:10" ht="33.950000000000003" customHeight="1" x14ac:dyDescent="0.25">
      <c r="A2785" s="22" t="s">
        <v>1051</v>
      </c>
      <c r="B2785" s="22" t="s">
        <v>11</v>
      </c>
      <c r="C2785" s="22" t="s">
        <v>751</v>
      </c>
      <c r="D2785" s="22" t="s">
        <v>930</v>
      </c>
      <c r="E2785" s="22" t="s">
        <v>699</v>
      </c>
      <c r="F2785" s="22" t="s">
        <v>710</v>
      </c>
    </row>
    <row r="2786" spans="1:10" ht="14.25" customHeight="1" x14ac:dyDescent="0.25">
      <c r="A2786" s="23" t="s">
        <v>514</v>
      </c>
      <c r="B2786" s="23" t="s">
        <v>514</v>
      </c>
      <c r="C2786" s="23" t="s">
        <v>438</v>
      </c>
      <c r="D2786" s="23" t="s">
        <v>473</v>
      </c>
      <c r="E2786" s="23" t="s">
        <v>1156</v>
      </c>
      <c r="F2786" s="23" t="s">
        <v>436</v>
      </c>
    </row>
    <row r="2787" spans="1:10" ht="14.25" customHeight="1" x14ac:dyDescent="0.25">
      <c r="A2787" s="68" t="s">
        <v>965</v>
      </c>
      <c r="B2787" s="24" t="s">
        <v>543</v>
      </c>
      <c r="C2787" s="54">
        <v>46068</v>
      </c>
      <c r="D2787" s="68" t="s">
        <v>598</v>
      </c>
      <c r="E2787" s="56" t="s">
        <v>858</v>
      </c>
      <c r="F2787" s="57"/>
    </row>
    <row r="2788" spans="1:10" ht="14.25" customHeight="1" x14ac:dyDescent="0.25">
      <c r="A2788" s="69"/>
      <c r="B2788" s="24" t="s">
        <v>112</v>
      </c>
      <c r="C2788" s="55">
        <f>IF(C2787="","",IF(AND(MONTH(C2787)&gt;=1,MONTH(C2787)&lt;=3),1,IF(AND(MONTH(C2787)&gt;=4,MONTH(C2787)&lt;=6),2,IF(AND(MONTH(C2787)&gt;=7,MONTH(C2787)&lt;=9),3,4))))</f>
        <v>1</v>
      </c>
      <c r="D2788" s="69"/>
      <c r="E2788" s="56" t="s">
        <v>143</v>
      </c>
      <c r="F2788" s="57"/>
    </row>
    <row r="2789" spans="1:10" ht="14.25" customHeight="1" x14ac:dyDescent="0.25">
      <c r="A2789" s="69"/>
      <c r="B2789" s="24" t="s">
        <v>844</v>
      </c>
      <c r="C2789" s="54">
        <v>46098</v>
      </c>
      <c r="D2789" s="69"/>
      <c r="E2789" s="56" t="s">
        <v>183</v>
      </c>
      <c r="F2789" s="57"/>
    </row>
    <row r="2790" spans="1:10" ht="14.25" customHeight="1" x14ac:dyDescent="0.25">
      <c r="A2790" s="69"/>
      <c r="B2790" s="24" t="s">
        <v>112</v>
      </c>
      <c r="C2790" s="55">
        <f>IF(C2789="","",IF(AND(MONTH(C2789)&gt;=1,MONTH(C2789)&lt;=3),1,IF(AND(MONTH(C2789)&gt;=4,MONTH(C2789)&lt;=6),2,IF(AND(MONTH(C2789)&gt;=7,MONTH(C2789)&lt;=9),3,4))))</f>
        <v>1</v>
      </c>
      <c r="D2790" s="69"/>
      <c r="E2790" s="56" t="s">
        <v>865</v>
      </c>
      <c r="F2790" s="57"/>
    </row>
    <row r="2792" spans="1:10" ht="14.25" customHeight="1" x14ac:dyDescent="0.25">
      <c r="A2792" s="29" t="s">
        <v>1017</v>
      </c>
      <c r="B2792" s="29" t="s">
        <v>1042</v>
      </c>
      <c r="C2792" s="29" t="s">
        <v>1011</v>
      </c>
      <c r="D2792" s="29" t="s">
        <v>985</v>
      </c>
      <c r="E2792" s="29" t="s">
        <v>449</v>
      </c>
      <c r="F2792" s="29" t="s">
        <v>989</v>
      </c>
    </row>
    <row r="2793" spans="1:10" ht="14.25" customHeight="1" x14ac:dyDescent="0.25">
      <c r="A2793" s="25" t="s">
        <v>594</v>
      </c>
      <c r="B2793" s="26" t="str">
        <f ca="1">IFERROR(INDEX(UNSPSCDes,MATCH(INDIRECT(ADDRESS(ROW(),COLUMN()-1,4)),UNSPSCCode,0)),IF(INDIRECT(ADDRESS(ROW(),COLUMN()-1,4))="80131502","Arrendamiento de instalaciones comerciales o industriales",""))</f>
        <v>Arrendamiento de instalaciones comerciales o industriales</v>
      </c>
      <c r="C2793" s="58" t="str">
        <f>IFERROR(VLOOKUP("UD",'Informacion '!P:Q,2,FALSE),"")</f>
        <v>Unidad</v>
      </c>
      <c r="D2793" s="25">
        <v>24</v>
      </c>
      <c r="E2793" s="28">
        <v>2719250.22</v>
      </c>
      <c r="F2793" s="27">
        <f ca="1">INDIRECT(ADDRESS(ROW(),COLUMN()-2,4))*INDIRECT(ADDRESS(ROW(),COLUMN()-1,4))</f>
        <v>65262005.280000001</v>
      </c>
    </row>
    <row r="2794" spans="1:10" ht="14.25" customHeight="1" x14ac:dyDescent="0.25">
      <c r="E2794" s="30" t="s">
        <v>816</v>
      </c>
      <c r="F2794" s="31">
        <f ca="1">SUM(Table151[MONTO TOTAL ESTIMADO])</f>
        <v>65262005.280000001</v>
      </c>
      <c r="H2794" s="21" t="str">
        <f>C2786</f>
        <v>Servicios</v>
      </c>
      <c r="I2794" s="21" t="str">
        <f>E2786</f>
        <v>No</v>
      </c>
      <c r="J2794" s="21" t="str">
        <f>D2786</f>
        <v>Excepción - Proveedor Único</v>
      </c>
    </row>
    <row r="2796" spans="1:10" ht="33.950000000000003" customHeight="1" x14ac:dyDescent="0.25">
      <c r="A2796" s="22" t="s">
        <v>1051</v>
      </c>
      <c r="B2796" s="22" t="s">
        <v>11</v>
      </c>
      <c r="C2796" s="22" t="s">
        <v>751</v>
      </c>
      <c r="D2796" s="22" t="s">
        <v>930</v>
      </c>
      <c r="E2796" s="22" t="s">
        <v>699</v>
      </c>
      <c r="F2796" s="22" t="s">
        <v>710</v>
      </c>
    </row>
    <row r="2797" spans="1:10" ht="14.25" customHeight="1" x14ac:dyDescent="0.25">
      <c r="A2797" s="23" t="s">
        <v>797</v>
      </c>
      <c r="B2797" s="23" t="s">
        <v>797</v>
      </c>
      <c r="C2797" s="23" t="s">
        <v>438</v>
      </c>
      <c r="D2797" s="23" t="s">
        <v>1128</v>
      </c>
      <c r="E2797" s="23" t="s">
        <v>1156</v>
      </c>
      <c r="F2797" s="23" t="s">
        <v>436</v>
      </c>
    </row>
    <row r="2798" spans="1:10" ht="14.25" customHeight="1" x14ac:dyDescent="0.25">
      <c r="A2798" s="68" t="s">
        <v>965</v>
      </c>
      <c r="B2798" s="24" t="s">
        <v>543</v>
      </c>
      <c r="C2798" s="54">
        <v>46099</v>
      </c>
      <c r="D2798" s="68" t="s">
        <v>598</v>
      </c>
      <c r="E2798" s="56" t="s">
        <v>858</v>
      </c>
      <c r="F2798" s="57"/>
    </row>
    <row r="2799" spans="1:10" ht="14.25" customHeight="1" x14ac:dyDescent="0.25">
      <c r="A2799" s="69"/>
      <c r="B2799" s="24" t="s">
        <v>112</v>
      </c>
      <c r="C2799" s="55">
        <f>IF(C2798="","",IF(AND(MONTH(C2798)&gt;=1,MONTH(C2798)&lt;=3),1,IF(AND(MONTH(C2798)&gt;=4,MONTH(C2798)&lt;=6),2,IF(AND(MONTH(C2798)&gt;=7,MONTH(C2798)&lt;=9),3,4))))</f>
        <v>1</v>
      </c>
      <c r="D2799" s="69"/>
      <c r="E2799" s="56" t="s">
        <v>143</v>
      </c>
      <c r="F2799" s="57"/>
    </row>
    <row r="2800" spans="1:10" ht="14.25" customHeight="1" x14ac:dyDescent="0.25">
      <c r="A2800" s="69"/>
      <c r="B2800" s="24" t="s">
        <v>844</v>
      </c>
      <c r="C2800" s="54">
        <v>46112</v>
      </c>
      <c r="D2800" s="69"/>
      <c r="E2800" s="56" t="s">
        <v>183</v>
      </c>
      <c r="F2800" s="57"/>
    </row>
    <row r="2801" spans="1:10" ht="14.25" customHeight="1" x14ac:dyDescent="0.25">
      <c r="A2801" s="69"/>
      <c r="B2801" s="24" t="s">
        <v>112</v>
      </c>
      <c r="C2801" s="55">
        <f>IF(C2800="","",IF(AND(MONTH(C2800)&gt;=1,MONTH(C2800)&lt;=3),1,IF(AND(MONTH(C2800)&gt;=4,MONTH(C2800)&lt;=6),2,IF(AND(MONTH(C2800)&gt;=7,MONTH(C2800)&lt;=9),3,4))))</f>
        <v>1</v>
      </c>
      <c r="D2801" s="69"/>
      <c r="E2801" s="56" t="s">
        <v>865</v>
      </c>
      <c r="F2801" s="57"/>
    </row>
    <row r="2803" spans="1:10" ht="14.25" customHeight="1" x14ac:dyDescent="0.25">
      <c r="A2803" s="29" t="s">
        <v>1017</v>
      </c>
      <c r="B2803" s="29" t="s">
        <v>1042</v>
      </c>
      <c r="C2803" s="29" t="s">
        <v>1011</v>
      </c>
      <c r="D2803" s="29" t="s">
        <v>985</v>
      </c>
      <c r="E2803" s="29" t="s">
        <v>449</v>
      </c>
      <c r="F2803" s="29" t="s">
        <v>989</v>
      </c>
    </row>
    <row r="2804" spans="1:10" ht="14.25" customHeight="1" x14ac:dyDescent="0.25">
      <c r="A2804" s="25" t="s">
        <v>1154</v>
      </c>
      <c r="B2804" s="26" t="str">
        <f ca="1">IFERROR(INDEX(UNSPSCDes,MATCH(INDIRECT(ADDRESS(ROW(),COLUMN()-1,4)),UNSPSCCode,0)),IF(INDIRECT(ADDRESS(ROW(),COLUMN()-1,4))="78180103","Servicios de cambio de fluidos de aceite o de la transmisión",""))</f>
        <v>Servicios de cambio de fluidos de aceite o de la transmisión</v>
      </c>
      <c r="C2804" s="58" t="str">
        <f>IFERROR(VLOOKUP("UD",'Informacion '!P:Q,2,FALSE),"")</f>
        <v>Unidad</v>
      </c>
      <c r="D2804" s="25">
        <v>1</v>
      </c>
      <c r="E2804" s="28">
        <v>1500000</v>
      </c>
      <c r="F2804" s="27">
        <f ca="1">INDIRECT(ADDRESS(ROW(),COLUMN()-2,4))*INDIRECT(ADDRESS(ROW(),COLUMN()-1,4))</f>
        <v>1500000</v>
      </c>
    </row>
    <row r="2805" spans="1:10" ht="14.25" customHeight="1" x14ac:dyDescent="0.25">
      <c r="A2805" s="25" t="s">
        <v>312</v>
      </c>
      <c r="B2805" s="26" t="str">
        <f ca="1">IFERROR(INDEX(UNSPSCDes,MATCH(INDIRECT(ADDRESS(ROW(),COLUMN()-1,4)),UNSPSCCode,0)),IF(INDIRECT(ADDRESS(ROW(),COLUMN()-1,4))="78180107","Reparación y mantenimiento de automóvil y de camiones ligeros",""))</f>
        <v>Reparación y mantenimiento de automóvil y de camiones ligeros</v>
      </c>
      <c r="C2805" s="58" t="str">
        <f>IFERROR(VLOOKUP("UD",'Informacion '!P:Q,2,FALSE),"")</f>
        <v>Unidad</v>
      </c>
      <c r="D2805" s="25">
        <v>1</v>
      </c>
      <c r="E2805" s="28">
        <v>280000</v>
      </c>
      <c r="F2805" s="27">
        <f ca="1">INDIRECT(ADDRESS(ROW(),COLUMN()-2,4))*INDIRECT(ADDRESS(ROW(),COLUMN()-1,4))</f>
        <v>280000</v>
      </c>
    </row>
    <row r="2806" spans="1:10" ht="14.25" customHeight="1" x14ac:dyDescent="0.25">
      <c r="E2806" s="30" t="s">
        <v>816</v>
      </c>
      <c r="F2806" s="31">
        <f ca="1">SUM(Table152[MONTO TOTAL ESTIMADO])</f>
        <v>1780000</v>
      </c>
      <c r="H2806" s="21" t="str">
        <f>C2797</f>
        <v>Servicios</v>
      </c>
      <c r="I2806" s="21" t="str">
        <f>E2797</f>
        <v>No</v>
      </c>
      <c r="J2806" s="21" t="str">
        <f>D2797</f>
        <v>Compras Menores</v>
      </c>
    </row>
    <row r="2808" spans="1:10" ht="33.950000000000003" customHeight="1" x14ac:dyDescent="0.25">
      <c r="A2808" s="22" t="s">
        <v>1051</v>
      </c>
      <c r="B2808" s="22" t="s">
        <v>11</v>
      </c>
      <c r="C2808" s="22" t="s">
        <v>751</v>
      </c>
      <c r="D2808" s="22" t="s">
        <v>930</v>
      </c>
      <c r="E2808" s="22" t="s">
        <v>699</v>
      </c>
      <c r="F2808" s="22" t="s">
        <v>710</v>
      </c>
    </row>
    <row r="2809" spans="1:10" ht="14.25" customHeight="1" x14ac:dyDescent="0.25">
      <c r="A2809" s="23" t="s">
        <v>818</v>
      </c>
      <c r="B2809" s="23" t="s">
        <v>818</v>
      </c>
      <c r="C2809" s="23" t="s">
        <v>438</v>
      </c>
      <c r="D2809" s="23" t="s">
        <v>146</v>
      </c>
      <c r="E2809" s="23" t="s">
        <v>1156</v>
      </c>
      <c r="F2809" s="23" t="s">
        <v>436</v>
      </c>
    </row>
    <row r="2810" spans="1:10" ht="14.25" customHeight="1" x14ac:dyDescent="0.25">
      <c r="A2810" s="68" t="s">
        <v>965</v>
      </c>
      <c r="B2810" s="24" t="s">
        <v>543</v>
      </c>
      <c r="C2810" s="54">
        <v>46127</v>
      </c>
      <c r="D2810" s="68" t="s">
        <v>598</v>
      </c>
      <c r="E2810" s="56" t="s">
        <v>858</v>
      </c>
      <c r="F2810" s="57" t="s">
        <v>184</v>
      </c>
    </row>
    <row r="2811" spans="1:10" ht="14.25" customHeight="1" x14ac:dyDescent="0.25">
      <c r="A2811" s="69"/>
      <c r="B2811" s="24" t="s">
        <v>112</v>
      </c>
      <c r="C2811" s="55">
        <f>IF(C2810="","",IF(AND(MONTH(C2810)&gt;=1,MONTH(C2810)&lt;=3),1,IF(AND(MONTH(C2810)&gt;=4,MONTH(C2810)&lt;=6),2,IF(AND(MONTH(C2810)&gt;=7,MONTH(C2810)&lt;=9),3,4))))</f>
        <v>2</v>
      </c>
      <c r="D2811" s="69"/>
      <c r="E2811" s="56" t="s">
        <v>143</v>
      </c>
      <c r="F2811" s="57"/>
    </row>
    <row r="2812" spans="1:10" ht="14.25" customHeight="1" x14ac:dyDescent="0.25">
      <c r="A2812" s="69"/>
      <c r="B2812" s="24" t="s">
        <v>844</v>
      </c>
      <c r="C2812" s="54">
        <v>46203</v>
      </c>
      <c r="D2812" s="69"/>
      <c r="E2812" s="56" t="s">
        <v>183</v>
      </c>
      <c r="F2812" s="57"/>
    </row>
    <row r="2813" spans="1:10" ht="14.25" customHeight="1" x14ac:dyDescent="0.25">
      <c r="A2813" s="69"/>
      <c r="B2813" s="24" t="s">
        <v>112</v>
      </c>
      <c r="C2813" s="55">
        <f>IF(C2812="","",IF(AND(MONTH(C2812)&gt;=1,MONTH(C2812)&lt;=3),1,IF(AND(MONTH(C2812)&gt;=4,MONTH(C2812)&lt;=6),2,IF(AND(MONTH(C2812)&gt;=7,MONTH(C2812)&lt;=9),3,4))))</f>
        <v>2</v>
      </c>
      <c r="D2813" s="69"/>
      <c r="E2813" s="56" t="s">
        <v>865</v>
      </c>
      <c r="F2813" s="57"/>
    </row>
    <row r="2815" spans="1:10" ht="14.25" customHeight="1" x14ac:dyDescent="0.25">
      <c r="A2815" s="29" t="s">
        <v>1017</v>
      </c>
      <c r="B2815" s="29" t="s">
        <v>1042</v>
      </c>
      <c r="C2815" s="29" t="s">
        <v>1011</v>
      </c>
      <c r="D2815" s="29" t="s">
        <v>985</v>
      </c>
      <c r="E2815" s="29" t="s">
        <v>449</v>
      </c>
      <c r="F2815" s="29" t="s">
        <v>989</v>
      </c>
    </row>
    <row r="2816" spans="1:10" ht="14.25" customHeight="1" x14ac:dyDescent="0.25">
      <c r="A2816" s="25" t="s">
        <v>1154</v>
      </c>
      <c r="B2816" s="26" t="str">
        <f t="shared" ref="B2816:B2821" ca="1" si="89">IFERROR(INDEX(UNSPSCDes,MATCH(INDIRECT(ADDRESS(ROW(),COLUMN()-1,4)),UNSPSCCode,0)),IF(INDIRECT(ADDRESS(ROW(),COLUMN()-1,4))="78180103","Servicios de cambio de fluidos de aceite o de la transmisión",""))</f>
        <v>Servicios de cambio de fluidos de aceite o de la transmisión</v>
      </c>
      <c r="C2816" s="58" t="str">
        <f>IFERROR(VLOOKUP("UD",'Informacion '!P:Q,2,FALSE),"")</f>
        <v>Unidad</v>
      </c>
      <c r="D2816" s="25">
        <v>1</v>
      </c>
      <c r="E2816" s="28">
        <v>5500000</v>
      </c>
      <c r="F2816" s="27">
        <f t="shared" ref="F2816:F2821" ca="1" si="90">INDIRECT(ADDRESS(ROW(),COLUMN()-2,4))*INDIRECT(ADDRESS(ROW(),COLUMN()-1,4))</f>
        <v>5500000</v>
      </c>
    </row>
    <row r="2817" spans="1:10" ht="14.25" customHeight="1" x14ac:dyDescent="0.25">
      <c r="A2817" s="25" t="s">
        <v>1154</v>
      </c>
      <c r="B2817" s="26" t="str">
        <f t="shared" ca="1" si="89"/>
        <v>Servicios de cambio de fluidos de aceite o de la transmisión</v>
      </c>
      <c r="C2817" s="58" t="str">
        <f>IFERROR(VLOOKUP("UD",'Informacion '!P:Q,2,FALSE),"")</f>
        <v>Unidad</v>
      </c>
      <c r="D2817" s="25">
        <v>1</v>
      </c>
      <c r="E2817" s="28">
        <v>3000000</v>
      </c>
      <c r="F2817" s="27">
        <f t="shared" ca="1" si="90"/>
        <v>3000000</v>
      </c>
    </row>
    <row r="2818" spans="1:10" ht="14.25" customHeight="1" x14ac:dyDescent="0.25">
      <c r="A2818" s="25" t="s">
        <v>1154</v>
      </c>
      <c r="B2818" s="26" t="str">
        <f t="shared" ca="1" si="89"/>
        <v>Servicios de cambio de fluidos de aceite o de la transmisión</v>
      </c>
      <c r="C2818" s="58" t="str">
        <f>IFERROR(VLOOKUP("UD",'Informacion '!P:Q,2,FALSE),"")</f>
        <v>Unidad</v>
      </c>
      <c r="D2818" s="25">
        <v>1</v>
      </c>
      <c r="E2818" s="28">
        <v>2000000</v>
      </c>
      <c r="F2818" s="27">
        <f t="shared" ca="1" si="90"/>
        <v>2000000</v>
      </c>
    </row>
    <row r="2819" spans="1:10" ht="14.25" customHeight="1" x14ac:dyDescent="0.25">
      <c r="A2819" s="25" t="s">
        <v>1154</v>
      </c>
      <c r="B2819" s="26" t="str">
        <f t="shared" ca="1" si="89"/>
        <v>Servicios de cambio de fluidos de aceite o de la transmisión</v>
      </c>
      <c r="C2819" s="58" t="str">
        <f>IFERROR(VLOOKUP("UD",'Informacion '!P:Q,2,FALSE),"")</f>
        <v>Unidad</v>
      </c>
      <c r="D2819" s="25">
        <v>1</v>
      </c>
      <c r="E2819" s="28">
        <v>950000</v>
      </c>
      <c r="F2819" s="27">
        <f t="shared" ca="1" si="90"/>
        <v>950000</v>
      </c>
    </row>
    <row r="2820" spans="1:10" ht="14.25" customHeight="1" x14ac:dyDescent="0.25">
      <c r="A2820" s="25" t="s">
        <v>1154</v>
      </c>
      <c r="B2820" s="26" t="str">
        <f t="shared" ca="1" si="89"/>
        <v>Servicios de cambio de fluidos de aceite o de la transmisión</v>
      </c>
      <c r="C2820" s="58" t="str">
        <f>IFERROR(VLOOKUP("UD",'Informacion '!P:Q,2,FALSE),"")</f>
        <v>Unidad</v>
      </c>
      <c r="D2820" s="25">
        <v>1</v>
      </c>
      <c r="E2820" s="28">
        <v>850000</v>
      </c>
      <c r="F2820" s="27">
        <f t="shared" ca="1" si="90"/>
        <v>850000</v>
      </c>
    </row>
    <row r="2821" spans="1:10" ht="14.25" customHeight="1" x14ac:dyDescent="0.25">
      <c r="A2821" s="25" t="s">
        <v>1154</v>
      </c>
      <c r="B2821" s="26" t="str">
        <f t="shared" ca="1" si="89"/>
        <v>Servicios de cambio de fluidos de aceite o de la transmisión</v>
      </c>
      <c r="C2821" s="58" t="str">
        <f>IFERROR(VLOOKUP("UD",'Informacion '!P:Q,2,FALSE),"")</f>
        <v>Unidad</v>
      </c>
      <c r="D2821" s="25">
        <v>1</v>
      </c>
      <c r="E2821" s="28">
        <v>13000000</v>
      </c>
      <c r="F2821" s="27">
        <f t="shared" ca="1" si="90"/>
        <v>13000000</v>
      </c>
    </row>
    <row r="2822" spans="1:10" ht="14.25" customHeight="1" x14ac:dyDescent="0.25">
      <c r="E2822" s="30" t="s">
        <v>816</v>
      </c>
      <c r="F2822" s="31">
        <f ca="1">SUM(Table153[MONTO TOTAL ESTIMADO])</f>
        <v>25300000</v>
      </c>
      <c r="H2822" s="21" t="str">
        <f>C2809</f>
        <v>Servicios</v>
      </c>
      <c r="I2822" s="21" t="str">
        <f>E2809</f>
        <v>No</v>
      </c>
      <c r="J2822" s="21" t="str">
        <f>D2809</f>
        <v>Licitacion Publica</v>
      </c>
    </row>
    <row r="2824" spans="1:10" ht="33.950000000000003" customHeight="1" x14ac:dyDescent="0.25">
      <c r="A2824" s="22" t="s">
        <v>1051</v>
      </c>
      <c r="B2824" s="22" t="s">
        <v>11</v>
      </c>
      <c r="C2824" s="22" t="s">
        <v>751</v>
      </c>
      <c r="D2824" s="22" t="s">
        <v>930</v>
      </c>
      <c r="E2824" s="22" t="s">
        <v>699</v>
      </c>
      <c r="F2824" s="22" t="s">
        <v>710</v>
      </c>
    </row>
    <row r="2825" spans="1:10" ht="14.25" customHeight="1" x14ac:dyDescent="0.25">
      <c r="A2825" s="23" t="s">
        <v>109</v>
      </c>
      <c r="B2825" s="23" t="s">
        <v>109</v>
      </c>
      <c r="C2825" s="23" t="s">
        <v>438</v>
      </c>
      <c r="D2825" s="23" t="s">
        <v>654</v>
      </c>
      <c r="E2825" s="23" t="s">
        <v>1156</v>
      </c>
      <c r="F2825" s="23" t="s">
        <v>436</v>
      </c>
    </row>
    <row r="2826" spans="1:10" ht="14.25" customHeight="1" x14ac:dyDescent="0.25">
      <c r="A2826" s="68" t="s">
        <v>965</v>
      </c>
      <c r="B2826" s="24" t="s">
        <v>543</v>
      </c>
      <c r="C2826" s="54">
        <v>46059</v>
      </c>
      <c r="D2826" s="68" t="s">
        <v>598</v>
      </c>
      <c r="E2826" s="56" t="s">
        <v>858</v>
      </c>
      <c r="F2826" s="57" t="s">
        <v>184</v>
      </c>
    </row>
    <row r="2827" spans="1:10" ht="14.25" customHeight="1" x14ac:dyDescent="0.25">
      <c r="A2827" s="69"/>
      <c r="B2827" s="24" t="s">
        <v>112</v>
      </c>
      <c r="C2827" s="55">
        <f>IF(C2826="","",IF(AND(MONTH(C2826)&gt;=1,MONTH(C2826)&lt;=3),1,IF(AND(MONTH(C2826)&gt;=4,MONTH(C2826)&lt;=6),2,IF(AND(MONTH(C2826)&gt;=7,MONTH(C2826)&lt;=9),3,4))))</f>
        <v>1</v>
      </c>
      <c r="D2827" s="69"/>
      <c r="E2827" s="56" t="s">
        <v>143</v>
      </c>
      <c r="F2827" s="57"/>
    </row>
    <row r="2828" spans="1:10" ht="14.25" customHeight="1" x14ac:dyDescent="0.25">
      <c r="A2828" s="69"/>
      <c r="B2828" s="24" t="s">
        <v>844</v>
      </c>
      <c r="C2828" s="54">
        <v>46070</v>
      </c>
      <c r="D2828" s="69"/>
      <c r="E2828" s="56" t="s">
        <v>183</v>
      </c>
      <c r="F2828" s="57"/>
    </row>
    <row r="2829" spans="1:10" ht="14.25" customHeight="1" x14ac:dyDescent="0.25">
      <c r="A2829" s="69"/>
      <c r="B2829" s="24" t="s">
        <v>112</v>
      </c>
      <c r="C2829" s="55">
        <f>IF(C2828="","",IF(AND(MONTH(C2828)&gt;=1,MONTH(C2828)&lt;=3),1,IF(AND(MONTH(C2828)&gt;=4,MONTH(C2828)&lt;=6),2,IF(AND(MONTH(C2828)&gt;=7,MONTH(C2828)&lt;=9),3,4))))</f>
        <v>1</v>
      </c>
      <c r="D2829" s="69"/>
      <c r="E2829" s="56" t="s">
        <v>865</v>
      </c>
      <c r="F2829" s="57"/>
    </row>
    <row r="2831" spans="1:10" ht="14.25" customHeight="1" x14ac:dyDescent="0.25">
      <c r="A2831" s="29" t="s">
        <v>1017</v>
      </c>
      <c r="B2831" s="29" t="s">
        <v>1042</v>
      </c>
      <c r="C2831" s="29" t="s">
        <v>1011</v>
      </c>
      <c r="D2831" s="29" t="s">
        <v>985</v>
      </c>
      <c r="E2831" s="29" t="s">
        <v>449</v>
      </c>
      <c r="F2831" s="29" t="s">
        <v>989</v>
      </c>
    </row>
    <row r="2832" spans="1:10" ht="14.25" customHeight="1" x14ac:dyDescent="0.25">
      <c r="A2832" s="25" t="s">
        <v>264</v>
      </c>
      <c r="B2832" s="26" t="str">
        <f ca="1">IFERROR(INDEX(UNSPSCDes,MATCH(INDIRECT(ADDRESS(ROW(),COLUMN()-1,4)),UNSPSCCode,0)),IF(INDIRECT(ADDRESS(ROW(),COLUMN()-1,4))="46171505","Llaves",""))</f>
        <v>Llaves</v>
      </c>
      <c r="C2832" s="58" t="str">
        <f>IFERROR(VLOOKUP("UD",'Informacion '!P:Q,2,FALSE),"")</f>
        <v>Unidad</v>
      </c>
      <c r="D2832" s="25">
        <v>35</v>
      </c>
      <c r="E2832" s="28">
        <v>5500</v>
      </c>
      <c r="F2832" s="27">
        <f ca="1">INDIRECT(ADDRESS(ROW(),COLUMN()-2,4))*INDIRECT(ADDRESS(ROW(),COLUMN()-1,4))</f>
        <v>192500</v>
      </c>
    </row>
    <row r="2833" spans="1:10" ht="14.25" customHeight="1" x14ac:dyDescent="0.25">
      <c r="E2833" s="30" t="s">
        <v>816</v>
      </c>
      <c r="F2833" s="31">
        <f ca="1">SUM(Table154[MONTO TOTAL ESTIMADO])</f>
        <v>192500</v>
      </c>
      <c r="H2833" s="21" t="str">
        <f>C2825</f>
        <v>Servicios</v>
      </c>
      <c r="I2833" s="21" t="str">
        <f>E2825</f>
        <v>No</v>
      </c>
      <c r="J2833" s="21" t="str">
        <f>D2825</f>
        <v>Compras por debajo del Umbral</v>
      </c>
    </row>
    <row r="2835" spans="1:10" ht="33.950000000000003" customHeight="1" x14ac:dyDescent="0.25">
      <c r="A2835" s="22" t="s">
        <v>1051</v>
      </c>
      <c r="B2835" s="22" t="s">
        <v>11</v>
      </c>
      <c r="C2835" s="22" t="s">
        <v>751</v>
      </c>
      <c r="D2835" s="22" t="s">
        <v>930</v>
      </c>
      <c r="E2835" s="22" t="s">
        <v>699</v>
      </c>
      <c r="F2835" s="22" t="s">
        <v>710</v>
      </c>
    </row>
    <row r="2836" spans="1:10" ht="14.25" customHeight="1" x14ac:dyDescent="0.25">
      <c r="A2836" s="23" t="s">
        <v>776</v>
      </c>
      <c r="B2836" s="23" t="s">
        <v>776</v>
      </c>
      <c r="C2836" s="23" t="s">
        <v>1015</v>
      </c>
      <c r="D2836" s="23" t="s">
        <v>146</v>
      </c>
      <c r="E2836" s="23" t="s">
        <v>1156</v>
      </c>
      <c r="F2836" s="23" t="s">
        <v>436</v>
      </c>
    </row>
    <row r="2837" spans="1:10" ht="14.25" customHeight="1" x14ac:dyDescent="0.25">
      <c r="A2837" s="68" t="s">
        <v>965</v>
      </c>
      <c r="B2837" s="24" t="s">
        <v>543</v>
      </c>
      <c r="C2837" s="54">
        <v>46066</v>
      </c>
      <c r="D2837" s="68" t="s">
        <v>598</v>
      </c>
      <c r="E2837" s="56" t="s">
        <v>858</v>
      </c>
      <c r="F2837" s="57" t="s">
        <v>184</v>
      </c>
    </row>
    <row r="2838" spans="1:10" ht="14.25" customHeight="1" x14ac:dyDescent="0.25">
      <c r="A2838" s="69"/>
      <c r="B2838" s="24" t="s">
        <v>112</v>
      </c>
      <c r="C2838" s="55">
        <f>IF(C2837="","",IF(AND(MONTH(C2837)&gt;=1,MONTH(C2837)&lt;=3),1,IF(AND(MONTH(C2837)&gt;=4,MONTH(C2837)&lt;=6),2,IF(AND(MONTH(C2837)&gt;=7,MONTH(C2837)&lt;=9),3,4))))</f>
        <v>1</v>
      </c>
      <c r="D2838" s="69"/>
      <c r="E2838" s="56" t="s">
        <v>143</v>
      </c>
      <c r="F2838" s="57"/>
    </row>
    <row r="2839" spans="1:10" ht="14.25" customHeight="1" x14ac:dyDescent="0.25">
      <c r="A2839" s="69"/>
      <c r="B2839" s="24" t="s">
        <v>844</v>
      </c>
      <c r="C2839" s="54">
        <v>46083</v>
      </c>
      <c r="D2839" s="69"/>
      <c r="E2839" s="56" t="s">
        <v>183</v>
      </c>
      <c r="F2839" s="57"/>
    </row>
    <row r="2840" spans="1:10" ht="14.25" customHeight="1" x14ac:dyDescent="0.25">
      <c r="A2840" s="69"/>
      <c r="B2840" s="24" t="s">
        <v>112</v>
      </c>
      <c r="C2840" s="55">
        <f>IF(C2839="","",IF(AND(MONTH(C2839)&gt;=1,MONTH(C2839)&lt;=3),1,IF(AND(MONTH(C2839)&gt;=4,MONTH(C2839)&lt;=6),2,IF(AND(MONTH(C2839)&gt;=7,MONTH(C2839)&lt;=9),3,4))))</f>
        <v>1</v>
      </c>
      <c r="D2840" s="69"/>
      <c r="E2840" s="56" t="s">
        <v>865</v>
      </c>
      <c r="F2840" s="57"/>
    </row>
    <row r="2842" spans="1:10" ht="14.25" customHeight="1" x14ac:dyDescent="0.25">
      <c r="A2842" s="29" t="s">
        <v>1017</v>
      </c>
      <c r="B2842" s="29" t="s">
        <v>1042</v>
      </c>
      <c r="C2842" s="29" t="s">
        <v>1011</v>
      </c>
      <c r="D2842" s="29" t="s">
        <v>985</v>
      </c>
      <c r="E2842" s="29" t="s">
        <v>449</v>
      </c>
      <c r="F2842" s="29" t="s">
        <v>989</v>
      </c>
    </row>
    <row r="2843" spans="1:10" ht="14.25" customHeight="1" x14ac:dyDescent="0.25">
      <c r="A2843" s="25" t="s">
        <v>664</v>
      </c>
      <c r="B2843" s="26" t="str">
        <f ca="1">IFERROR(INDEX(UNSPSCDes,MATCH(INDIRECT(ADDRESS(ROW(),COLUMN()-1,4)),UNSPSCCode,0)),IF(INDIRECT(ADDRESS(ROW(),COLUMN()-1,4))="80101508","Servicios de asesoramiento sobre  inteligencia empresarial",""))</f>
        <v>Servicios de asesoramiento sobre  inteligencia empresarial</v>
      </c>
      <c r="C2843" s="58" t="str">
        <f>IFERROR(VLOOKUP("UD",'Informacion '!P:Q,2,FALSE),"")</f>
        <v>Unidad</v>
      </c>
      <c r="D2843" s="25">
        <v>1</v>
      </c>
      <c r="E2843" s="28">
        <v>2000000</v>
      </c>
      <c r="F2843" s="27">
        <f ca="1">INDIRECT(ADDRESS(ROW(),COLUMN()-2,4))*INDIRECT(ADDRESS(ROW(),COLUMN()-1,4))</f>
        <v>2000000</v>
      </c>
    </row>
    <row r="2844" spans="1:10" ht="14.25" customHeight="1" x14ac:dyDescent="0.25">
      <c r="A2844" s="25" t="s">
        <v>664</v>
      </c>
      <c r="B2844" s="26" t="str">
        <f ca="1">IFERROR(INDEX(UNSPSCDes,MATCH(INDIRECT(ADDRESS(ROW(),COLUMN()-1,4)),UNSPSCCode,0)),IF(INDIRECT(ADDRESS(ROW(),COLUMN()-1,4))="80101508","Servicios de asesoramiento sobre  inteligencia empresarial",""))</f>
        <v>Servicios de asesoramiento sobre  inteligencia empresarial</v>
      </c>
      <c r="C2844" s="58" t="str">
        <f>IFERROR(VLOOKUP("UD",'Informacion '!P:Q,2,FALSE),"")</f>
        <v>Unidad</v>
      </c>
      <c r="D2844" s="25">
        <v>1</v>
      </c>
      <c r="E2844" s="28">
        <v>3000000</v>
      </c>
      <c r="F2844" s="27">
        <f ca="1">INDIRECT(ADDRESS(ROW(),COLUMN()-2,4))*INDIRECT(ADDRESS(ROW(),COLUMN()-1,4))</f>
        <v>3000000</v>
      </c>
    </row>
    <row r="2845" spans="1:10" ht="14.25" customHeight="1" x14ac:dyDescent="0.25">
      <c r="A2845" s="25" t="s">
        <v>664</v>
      </c>
      <c r="B2845" s="26" t="str">
        <f ca="1">IFERROR(INDEX(UNSPSCDes,MATCH(INDIRECT(ADDRESS(ROW(),COLUMN()-1,4)),UNSPSCCode,0)),IF(INDIRECT(ADDRESS(ROW(),COLUMN()-1,4))="80101508","Servicios de asesoramiento sobre  inteligencia empresarial",""))</f>
        <v>Servicios de asesoramiento sobre  inteligencia empresarial</v>
      </c>
      <c r="C2845" s="58" t="str">
        <f>IFERROR(VLOOKUP("UD",'Informacion '!P:Q,2,FALSE),"")</f>
        <v>Unidad</v>
      </c>
      <c r="D2845" s="25">
        <v>1</v>
      </c>
      <c r="E2845" s="28">
        <v>3000000</v>
      </c>
      <c r="F2845" s="27">
        <f ca="1">INDIRECT(ADDRESS(ROW(),COLUMN()-2,4))*INDIRECT(ADDRESS(ROW(),COLUMN()-1,4))</f>
        <v>3000000</v>
      </c>
    </row>
    <row r="2846" spans="1:10" ht="14.25" customHeight="1" x14ac:dyDescent="0.25">
      <c r="E2846" s="30" t="s">
        <v>816</v>
      </c>
      <c r="F2846" s="31">
        <f ca="1">SUM(Table155[MONTO TOTAL ESTIMADO])</f>
        <v>8000000</v>
      </c>
      <c r="H2846" s="21" t="str">
        <f>C2836</f>
        <v>Servicios: Consultorías</v>
      </c>
      <c r="I2846" s="21" t="str">
        <f>E2836</f>
        <v>No</v>
      </c>
      <c r="J2846" s="21" t="str">
        <f>D2836</f>
        <v>Licitacion Publica</v>
      </c>
    </row>
    <row r="2848" spans="1:10" ht="33.950000000000003" customHeight="1" x14ac:dyDescent="0.25">
      <c r="A2848" s="22" t="s">
        <v>1051</v>
      </c>
      <c r="B2848" s="22" t="s">
        <v>11</v>
      </c>
      <c r="C2848" s="22" t="s">
        <v>751</v>
      </c>
      <c r="D2848" s="22" t="s">
        <v>930</v>
      </c>
      <c r="E2848" s="22" t="s">
        <v>699</v>
      </c>
      <c r="F2848" s="22" t="s">
        <v>710</v>
      </c>
    </row>
    <row r="2849" spans="1:6" ht="14.25" customHeight="1" x14ac:dyDescent="0.25">
      <c r="A2849" s="23" t="s">
        <v>340</v>
      </c>
      <c r="B2849" s="23" t="s">
        <v>340</v>
      </c>
      <c r="C2849" s="23" t="s">
        <v>1155</v>
      </c>
      <c r="D2849" s="23" t="s">
        <v>1128</v>
      </c>
      <c r="E2849" s="23" t="s">
        <v>561</v>
      </c>
      <c r="F2849" s="23" t="s">
        <v>436</v>
      </c>
    </row>
    <row r="2850" spans="1:6" ht="14.25" customHeight="1" x14ac:dyDescent="0.25">
      <c r="A2850" s="68" t="s">
        <v>965</v>
      </c>
      <c r="B2850" s="24" t="s">
        <v>543</v>
      </c>
      <c r="C2850" s="54">
        <v>46058</v>
      </c>
      <c r="D2850" s="68" t="s">
        <v>598</v>
      </c>
      <c r="E2850" s="56" t="s">
        <v>858</v>
      </c>
      <c r="F2850" s="57"/>
    </row>
    <row r="2851" spans="1:6" ht="14.25" customHeight="1" x14ac:dyDescent="0.25">
      <c r="A2851" s="69"/>
      <c r="B2851" s="24" t="s">
        <v>112</v>
      </c>
      <c r="C2851" s="55">
        <f>IF(C2850="","",IF(AND(MONTH(C2850)&gt;=1,MONTH(C2850)&lt;=3),1,IF(AND(MONTH(C2850)&gt;=4,MONTH(C2850)&lt;=6),2,IF(AND(MONTH(C2850)&gt;=7,MONTH(C2850)&lt;=9),3,4))))</f>
        <v>1</v>
      </c>
      <c r="D2851" s="69"/>
      <c r="E2851" s="56" t="s">
        <v>143</v>
      </c>
      <c r="F2851" s="57"/>
    </row>
    <row r="2852" spans="1:6" ht="14.25" customHeight="1" x14ac:dyDescent="0.25">
      <c r="A2852" s="69"/>
      <c r="B2852" s="24" t="s">
        <v>844</v>
      </c>
      <c r="C2852" s="54">
        <v>46112</v>
      </c>
      <c r="D2852" s="69"/>
      <c r="E2852" s="56" t="s">
        <v>183</v>
      </c>
      <c r="F2852" s="57"/>
    </row>
    <row r="2853" spans="1:6" ht="14.25" customHeight="1" x14ac:dyDescent="0.25">
      <c r="A2853" s="69"/>
      <c r="B2853" s="24" t="s">
        <v>112</v>
      </c>
      <c r="C2853" s="55">
        <f>IF(C2852="","",IF(AND(MONTH(C2852)&gt;=1,MONTH(C2852)&lt;=3),1,IF(AND(MONTH(C2852)&gt;=4,MONTH(C2852)&lt;=6),2,IF(AND(MONTH(C2852)&gt;=7,MONTH(C2852)&lt;=9),3,4))))</f>
        <v>1</v>
      </c>
      <c r="D2853" s="69"/>
      <c r="E2853" s="56" t="s">
        <v>865</v>
      </c>
      <c r="F2853" s="57"/>
    </row>
    <row r="2855" spans="1:6" ht="14.25" customHeight="1" x14ac:dyDescent="0.25">
      <c r="A2855" s="29" t="s">
        <v>1017</v>
      </c>
      <c r="B2855" s="29" t="s">
        <v>1042</v>
      </c>
      <c r="C2855" s="29" t="s">
        <v>1011</v>
      </c>
      <c r="D2855" s="29" t="s">
        <v>985</v>
      </c>
      <c r="E2855" s="29" t="s">
        <v>449</v>
      </c>
      <c r="F2855" s="29" t="s">
        <v>989</v>
      </c>
    </row>
    <row r="2856" spans="1:6" ht="14.25" customHeight="1" x14ac:dyDescent="0.25">
      <c r="A2856" s="25" t="s">
        <v>202</v>
      </c>
      <c r="B2856" s="26" t="str">
        <f ca="1">IFERROR(INDEX(UNSPSCDes,MATCH(INDIRECT(ADDRESS(ROW(),COLUMN()-1,4)),UNSPSCCode,0)),IF(INDIRECT(ADDRESS(ROW(),COLUMN()-1,4))="44111503","Organizadores o bandejas para el escritorio",""))</f>
        <v>Organizadores o bandejas para el escritorio</v>
      </c>
      <c r="C2856" s="58" t="str">
        <f>IFERROR(VLOOKUP("UD",'Informacion '!P:Q,2,FALSE),"")</f>
        <v>Unidad</v>
      </c>
      <c r="D2856" s="25">
        <v>100</v>
      </c>
      <c r="E2856" s="28">
        <v>208.86</v>
      </c>
      <c r="F2856" s="27">
        <f t="shared" ref="F2856:F2887" ca="1" si="91">INDIRECT(ADDRESS(ROW(),COLUMN()-2,4))*INDIRECT(ADDRESS(ROW(),COLUMN()-1,4))</f>
        <v>20886</v>
      </c>
    </row>
    <row r="2857" spans="1:6" ht="14.25" customHeight="1" x14ac:dyDescent="0.25">
      <c r="A2857" s="25" t="s">
        <v>417</v>
      </c>
      <c r="B2857" s="26" t="str">
        <f ca="1">IFERROR(INDEX(UNSPSCDes,MATCH(INDIRECT(ADDRESS(ROW(),COLUMN()-1,4)),UNSPSCCode,0)),IF(INDIRECT(ADDRESS(ROW(),COLUMN()-1,4))="44122101","Cauchos",""))</f>
        <v>Cauchos</v>
      </c>
      <c r="C2857" s="58" t="str">
        <f>IFERROR(VLOOKUP("CAJ",'Informacion '!P:Q,2,FALSE),"")</f>
        <v>Caja</v>
      </c>
      <c r="D2857" s="25">
        <v>50</v>
      </c>
      <c r="E2857" s="28">
        <v>34.22</v>
      </c>
      <c r="F2857" s="27">
        <f t="shared" ca="1" si="91"/>
        <v>1711</v>
      </c>
    </row>
    <row r="2858" spans="1:6" ht="14.25" customHeight="1" x14ac:dyDescent="0.25">
      <c r="A2858" s="25" t="s">
        <v>409</v>
      </c>
      <c r="B2858" s="26" t="str">
        <f ca="1">IFERROR(INDEX(UNSPSCDes,MATCH(INDIRECT(ADDRESS(ROW(),COLUMN()-1,4)),UNSPSCCode,0)),IF(INDIRECT(ADDRESS(ROW(),COLUMN()-1,4))="44121804","Borradores",""))</f>
        <v>Borradores</v>
      </c>
      <c r="C2858" s="58" t="str">
        <f>IFERROR(VLOOKUP("UD",'Informacion '!P:Q,2,FALSE),"")</f>
        <v>Unidad</v>
      </c>
      <c r="D2858" s="25">
        <v>75</v>
      </c>
      <c r="E2858" s="28">
        <v>141.06</v>
      </c>
      <c r="F2858" s="27">
        <f t="shared" ca="1" si="91"/>
        <v>10579.5</v>
      </c>
    </row>
    <row r="2859" spans="1:6" ht="14.25" customHeight="1" x14ac:dyDescent="0.25">
      <c r="A2859" s="25" t="s">
        <v>77</v>
      </c>
      <c r="B2859" s="26" t="str">
        <f ca="1">IFERROR(INDEX(UNSPSCDes,MATCH(INDIRECT(ADDRESS(ROW(),COLUMN()-1,4)),UNSPSCCode,0)),IF(INDIRECT(ADDRESS(ROW(),COLUMN()-1,4))="44122003","Carpetas",""))</f>
        <v>Carpetas</v>
      </c>
      <c r="C2859" s="58" t="str">
        <f>IFERROR(VLOOKUP("UD",'Informacion '!P:Q,2,FALSE),"")</f>
        <v>Unidad</v>
      </c>
      <c r="D2859" s="25">
        <v>100</v>
      </c>
      <c r="E2859" s="28">
        <v>191.16</v>
      </c>
      <c r="F2859" s="27">
        <f t="shared" ca="1" si="91"/>
        <v>19116</v>
      </c>
    </row>
    <row r="2860" spans="1:6" ht="14.25" customHeight="1" x14ac:dyDescent="0.25">
      <c r="A2860" s="25" t="s">
        <v>77</v>
      </c>
      <c r="B2860" s="26" t="str">
        <f ca="1">IFERROR(INDEX(UNSPSCDes,MATCH(INDIRECT(ADDRESS(ROW(),COLUMN()-1,4)),UNSPSCCode,0)),IF(INDIRECT(ADDRESS(ROW(),COLUMN()-1,4))="44122003","Carpetas",""))</f>
        <v>Carpetas</v>
      </c>
      <c r="C2860" s="58" t="str">
        <f>IFERROR(VLOOKUP("UD",'Informacion '!P:Q,2,FALSE),"")</f>
        <v>Unidad</v>
      </c>
      <c r="D2860" s="25">
        <v>100</v>
      </c>
      <c r="E2860" s="28">
        <v>206.05</v>
      </c>
      <c r="F2860" s="27">
        <f t="shared" ca="1" si="91"/>
        <v>20605</v>
      </c>
    </row>
    <row r="2861" spans="1:6" ht="14.25" customHeight="1" x14ac:dyDescent="0.25">
      <c r="A2861" s="25" t="s">
        <v>431</v>
      </c>
      <c r="B2861" s="26" t="str">
        <f ca="1">IFERROR(INDEX(UNSPSCDes,MATCH(INDIRECT(ADDRESS(ROW(),COLUMN()-1,4)),UNSPSCCode,0)),IF(INDIRECT(ADDRESS(ROW(),COLUMN()-1,4))="31201512","Cinta transparente",""))</f>
        <v>Cinta transparente</v>
      </c>
      <c r="C2861" s="58" t="str">
        <f>IFERROR(VLOOKUP("UD",'Informacion '!P:Q,2,FALSE),"")</f>
        <v>Unidad</v>
      </c>
      <c r="D2861" s="25">
        <v>100</v>
      </c>
      <c r="E2861" s="28">
        <v>51.92</v>
      </c>
      <c r="F2861" s="27">
        <f t="shared" ca="1" si="91"/>
        <v>5192</v>
      </c>
    </row>
    <row r="2862" spans="1:6" ht="14.25" customHeight="1" x14ac:dyDescent="0.25">
      <c r="A2862" s="25" t="s">
        <v>431</v>
      </c>
      <c r="B2862" s="26" t="str">
        <f ca="1">IFERROR(INDEX(UNSPSCDes,MATCH(INDIRECT(ADDRESS(ROW(),COLUMN()-1,4)),UNSPSCCode,0)),IF(INDIRECT(ADDRESS(ROW(),COLUMN()-1,4))="31201512","Cinta transparente",""))</f>
        <v>Cinta transparente</v>
      </c>
      <c r="C2862" s="58" t="str">
        <f>IFERROR(VLOOKUP("PAQ",'Informacion '!P:Q,2,FALSE),"")</f>
        <v>Paquete</v>
      </c>
      <c r="D2862" s="25">
        <v>100</v>
      </c>
      <c r="E2862" s="28">
        <v>1233.01</v>
      </c>
      <c r="F2862" s="27">
        <f t="shared" ca="1" si="91"/>
        <v>123301</v>
      </c>
    </row>
    <row r="2863" spans="1:6" ht="14.25" customHeight="1" x14ac:dyDescent="0.25">
      <c r="A2863" s="25" t="s">
        <v>400</v>
      </c>
      <c r="B2863" s="26" t="str">
        <f ca="1">IFERROR(INDEX(UNSPSCDes,MATCH(INDIRECT(ADDRESS(ROW(),COLUMN()-1,4)),UNSPSCCode,0)),IF(INDIRECT(ADDRESS(ROW(),COLUMN()-1,4))="44122106","Alfileres o taches",""))</f>
        <v>Alfileres o taches</v>
      </c>
      <c r="C2863" s="58" t="str">
        <f>IFERROR(VLOOKUP("CAJ",'Informacion '!P:Q,2,FALSE),"")</f>
        <v>Caja</v>
      </c>
      <c r="D2863" s="25">
        <v>100</v>
      </c>
      <c r="E2863" s="28">
        <v>77.55</v>
      </c>
      <c r="F2863" s="27">
        <f t="shared" ca="1" si="91"/>
        <v>7755</v>
      </c>
    </row>
    <row r="2864" spans="1:6" ht="14.25" customHeight="1" x14ac:dyDescent="0.25">
      <c r="A2864" s="25" t="s">
        <v>431</v>
      </c>
      <c r="B2864" s="26" t="str">
        <f ca="1">IFERROR(INDEX(UNSPSCDes,MATCH(INDIRECT(ADDRESS(ROW(),COLUMN()-1,4)),UNSPSCCode,0)),IF(INDIRECT(ADDRESS(ROW(),COLUMN()-1,4))="31201512","Cinta transparente",""))</f>
        <v>Cinta transparente</v>
      </c>
      <c r="C2864" s="58" t="str">
        <f>IFERROR(VLOOKUP("UD",'Informacion '!P:Q,2,FALSE),"")</f>
        <v>Unidad</v>
      </c>
      <c r="D2864" s="25">
        <v>100</v>
      </c>
      <c r="E2864" s="28">
        <v>33.57</v>
      </c>
      <c r="F2864" s="27">
        <f t="shared" ca="1" si="91"/>
        <v>3357</v>
      </c>
    </row>
    <row r="2865" spans="1:6" ht="14.25" customHeight="1" x14ac:dyDescent="0.25">
      <c r="A2865" s="25" t="s">
        <v>429</v>
      </c>
      <c r="B2865" s="26" t="str">
        <f ca="1">IFERROR(INDEX(UNSPSCDes,MATCH(INDIRECT(ADDRESS(ROW(),COLUMN()-1,4)),UNSPSCCode,0)),IF(INDIRECT(ADDRESS(ROW(),COLUMN()-1,4))="31201505","Cinta doble faz",""))</f>
        <v>Cinta doble faz</v>
      </c>
      <c r="C2865" s="58" t="str">
        <f>IFERROR(VLOOKUP("PAQ",'Informacion '!P:Q,2,FALSE),"")</f>
        <v>Paquete</v>
      </c>
      <c r="D2865" s="25">
        <v>100</v>
      </c>
      <c r="E2865" s="28">
        <v>1144.05</v>
      </c>
      <c r="F2865" s="27">
        <f t="shared" ca="1" si="91"/>
        <v>114405</v>
      </c>
    </row>
    <row r="2866" spans="1:6" ht="14.25" customHeight="1" x14ac:dyDescent="0.25">
      <c r="A2866" s="25" t="s">
        <v>1089</v>
      </c>
      <c r="B2866" s="26" t="str">
        <f ca="1">IFERROR(INDEX(UNSPSCDes,MATCH(INDIRECT(ADDRESS(ROW(),COLUMN()-1,4)),UNSPSCCode,0)),IF(INDIRECT(ADDRESS(ROW(),COLUMN()-1,4))="44122105","Clips para carpetas o bulldog",""))</f>
        <v>Clips para carpetas o bulldog</v>
      </c>
      <c r="C2866" s="58" t="str">
        <f>IFERROR(VLOOKUP("CAJ",'Informacion '!P:Q,2,FALSE),"")</f>
        <v>Caja</v>
      </c>
      <c r="D2866" s="25">
        <v>100</v>
      </c>
      <c r="E2866" s="28">
        <v>206.05</v>
      </c>
      <c r="F2866" s="27">
        <f t="shared" ca="1" si="91"/>
        <v>20605</v>
      </c>
    </row>
    <row r="2867" spans="1:6" ht="14.25" customHeight="1" x14ac:dyDescent="0.25">
      <c r="A2867" s="25" t="s">
        <v>894</v>
      </c>
      <c r="B2867" s="26" t="str">
        <f ca="1">IFERROR(INDEX(UNSPSCDes,MATCH(INDIRECT(ADDRESS(ROW(),COLUMN()-1,4)),UNSPSCCode,0)),IF(INDIRECT(ADDRESS(ROW(),COLUMN()-1,4))="44122104","Clips para papel",""))</f>
        <v>Clips para papel</v>
      </c>
      <c r="C2867" s="58" t="str">
        <f>IFERROR(VLOOKUP("CAJ",'Informacion '!P:Q,2,FALSE),"")</f>
        <v>Caja</v>
      </c>
      <c r="D2867" s="25">
        <v>100</v>
      </c>
      <c r="E2867" s="28">
        <v>46.08</v>
      </c>
      <c r="F2867" s="27">
        <f t="shared" ca="1" si="91"/>
        <v>4608</v>
      </c>
    </row>
    <row r="2868" spans="1:6" ht="14.25" customHeight="1" x14ac:dyDescent="0.25">
      <c r="A2868" s="25" t="s">
        <v>894</v>
      </c>
      <c r="B2868" s="26" t="str">
        <f ca="1">IFERROR(INDEX(UNSPSCDes,MATCH(INDIRECT(ADDRESS(ROW(),COLUMN()-1,4)),UNSPSCCode,0)),IF(INDIRECT(ADDRESS(ROW(),COLUMN()-1,4))="44122104","Clips para papel",""))</f>
        <v>Clips para papel</v>
      </c>
      <c r="C2868" s="58" t="str">
        <f>IFERROR(VLOOKUP("CAJ",'Informacion '!P:Q,2,FALSE),"")</f>
        <v>Caja</v>
      </c>
      <c r="D2868" s="25">
        <v>100</v>
      </c>
      <c r="E2868" s="28">
        <v>23.06</v>
      </c>
      <c r="F2868" s="27">
        <f t="shared" ca="1" si="91"/>
        <v>2306</v>
      </c>
    </row>
    <row r="2869" spans="1:6" ht="14.25" customHeight="1" x14ac:dyDescent="0.25">
      <c r="A2869" s="25" t="s">
        <v>894</v>
      </c>
      <c r="B2869" s="26" t="str">
        <f ca="1">IFERROR(INDEX(UNSPSCDes,MATCH(INDIRECT(ADDRESS(ROW(),COLUMN()-1,4)),UNSPSCCode,0)),IF(INDIRECT(ADDRESS(ROW(),COLUMN()-1,4))="44122104","Clips para papel",""))</f>
        <v>Clips para papel</v>
      </c>
      <c r="C2869" s="58" t="str">
        <f>IFERROR(VLOOKUP("CAJ",'Informacion '!P:Q,2,FALSE),"")</f>
        <v>Caja</v>
      </c>
      <c r="D2869" s="25">
        <v>100</v>
      </c>
      <c r="E2869" s="28">
        <v>17.7</v>
      </c>
      <c r="F2869" s="27">
        <f t="shared" ca="1" si="91"/>
        <v>1770</v>
      </c>
    </row>
    <row r="2870" spans="1:6" ht="14.25" customHeight="1" x14ac:dyDescent="0.25">
      <c r="A2870" s="25" t="s">
        <v>675</v>
      </c>
      <c r="B2870" s="26" t="str">
        <f ca="1">IFERROR(INDEX(UNSPSCDes,MATCH(INDIRECT(ADDRESS(ROW(),COLUMN()-1,4)),UNSPSCCode,0)),IF(INDIRECT(ADDRESS(ROW(),COLUMN()-1,4))="27112819","Cuchillas de corte para encuadernación",""))</f>
        <v>Cuchillas de corte para encuadernación</v>
      </c>
      <c r="C2870" s="58" t="str">
        <f>IFERROR(VLOOKUP("UD",'Informacion '!P:Q,2,FALSE),"")</f>
        <v>Unidad</v>
      </c>
      <c r="D2870" s="25">
        <v>25</v>
      </c>
      <c r="E2870" s="28">
        <v>230.01</v>
      </c>
      <c r="F2870" s="27">
        <f t="shared" ca="1" si="91"/>
        <v>5750.25</v>
      </c>
    </row>
    <row r="2871" spans="1:6" ht="14.25" customHeight="1" x14ac:dyDescent="0.25">
      <c r="A2871" s="25" t="s">
        <v>719</v>
      </c>
      <c r="B2871" s="26" t="str">
        <f ca="1">IFERROR(INDEX(UNSPSCDes,MATCH(INDIRECT(ADDRESS(ROW(),COLUMN()-1,4)),UNSPSCCode,0)),IF(INDIRECT(ADDRESS(ROW(),COLUMN()-1,4))="44121605","Dispensadores de cinta",""))</f>
        <v>Dispensadores de cinta</v>
      </c>
      <c r="C2871" s="58" t="str">
        <f>IFERROR(VLOOKUP("UD",'Informacion '!P:Q,2,FALSE),"")</f>
        <v>Unidad</v>
      </c>
      <c r="D2871" s="25">
        <v>100</v>
      </c>
      <c r="E2871" s="28">
        <v>167.56</v>
      </c>
      <c r="F2871" s="27">
        <f t="shared" ca="1" si="91"/>
        <v>16756</v>
      </c>
    </row>
    <row r="2872" spans="1:6" ht="14.25" customHeight="1" x14ac:dyDescent="0.25">
      <c r="A2872" s="25" t="s">
        <v>417</v>
      </c>
      <c r="B2872" s="26" t="str">
        <f ca="1">IFERROR(INDEX(UNSPSCDes,MATCH(INDIRECT(ADDRESS(ROW(),COLUMN()-1,4)),UNSPSCCode,0)),IF(INDIRECT(ADDRESS(ROW(),COLUMN()-1,4))="44122101","Cauchos",""))</f>
        <v>Cauchos</v>
      </c>
      <c r="C2872" s="58" t="str">
        <f>IFERROR(VLOOKUP("CAJ",'Informacion '!P:Q,2,FALSE),"")</f>
        <v>Caja</v>
      </c>
      <c r="D2872" s="25">
        <v>300</v>
      </c>
      <c r="E2872" s="28">
        <v>65</v>
      </c>
      <c r="F2872" s="27">
        <f t="shared" ca="1" si="91"/>
        <v>19500</v>
      </c>
    </row>
    <row r="2873" spans="1:6" ht="14.25" customHeight="1" x14ac:dyDescent="0.25">
      <c r="A2873" s="25" t="s">
        <v>1202</v>
      </c>
      <c r="B2873" s="26" t="str">
        <f ca="1">IFERROR(INDEX(UNSPSCDes,MATCH(INDIRECT(ADDRESS(ROW(),COLUMN()-1,4)),UNSPSCCode,0)),IF(INDIRECT(ADDRESS(ROW(),COLUMN()-1,4))="60121526","Bolígrafos para caligrafía",""))</f>
        <v>Bolígrafos para caligrafía</v>
      </c>
      <c r="C2873" s="58" t="str">
        <f>IFERROR(VLOOKUP("CAJ",'Informacion '!P:Q,2,FALSE),"")</f>
        <v>Caja</v>
      </c>
      <c r="D2873" s="25">
        <v>1200</v>
      </c>
      <c r="E2873" s="28">
        <v>40</v>
      </c>
      <c r="F2873" s="27">
        <f t="shared" ca="1" si="91"/>
        <v>48000</v>
      </c>
    </row>
    <row r="2874" spans="1:6" ht="14.25" customHeight="1" x14ac:dyDescent="0.25">
      <c r="A2874" s="25" t="s">
        <v>499</v>
      </c>
      <c r="B2874" s="26" t="str">
        <f ca="1">IFERROR(INDEX(UNSPSCDes,MATCH(INDIRECT(ADDRESS(ROW(),COLUMN()-1,4)),UNSPSCCode,0)),IF(INDIRECT(ADDRESS(ROW(),COLUMN()-1,4))="44122011","Folders",""))</f>
        <v>Folders</v>
      </c>
      <c r="C2874" s="58" t="str">
        <f>IFERROR(VLOOKUP("CAJ",'Informacion '!P:Q,2,FALSE),"")</f>
        <v>Caja</v>
      </c>
      <c r="D2874" s="25">
        <v>100</v>
      </c>
      <c r="E2874" s="28">
        <v>1680</v>
      </c>
      <c r="F2874" s="27">
        <f t="shared" ca="1" si="91"/>
        <v>168000</v>
      </c>
    </row>
    <row r="2875" spans="1:6" ht="14.25" customHeight="1" x14ac:dyDescent="0.25">
      <c r="A2875" s="25" t="s">
        <v>499</v>
      </c>
      <c r="B2875" s="26" t="str">
        <f ca="1">IFERROR(INDEX(UNSPSCDes,MATCH(INDIRECT(ADDRESS(ROW(),COLUMN()-1,4)),UNSPSCCode,0)),IF(INDIRECT(ADDRESS(ROW(),COLUMN()-1,4))="44122011","Folders",""))</f>
        <v>Folders</v>
      </c>
      <c r="C2875" s="58" t="str">
        <f>IFERROR(VLOOKUP("CAJ",'Informacion '!P:Q,2,FALSE),"")</f>
        <v>Caja</v>
      </c>
      <c r="D2875" s="25">
        <v>100</v>
      </c>
      <c r="E2875" s="28">
        <v>1955.83</v>
      </c>
      <c r="F2875" s="27">
        <f t="shared" ca="1" si="91"/>
        <v>195583</v>
      </c>
    </row>
    <row r="2876" spans="1:6" ht="14.25" customHeight="1" x14ac:dyDescent="0.25">
      <c r="A2876" s="25" t="s">
        <v>499</v>
      </c>
      <c r="B2876" s="26" t="str">
        <f ca="1">IFERROR(INDEX(UNSPSCDes,MATCH(INDIRECT(ADDRESS(ROW(),COLUMN()-1,4)),UNSPSCCode,0)),IF(INDIRECT(ADDRESS(ROW(),COLUMN()-1,4))="44122011","Folders",""))</f>
        <v>Folders</v>
      </c>
      <c r="C2876" s="58" t="str">
        <f>IFERROR(VLOOKUP("CAJ",'Informacion '!P:Q,2,FALSE),"")</f>
        <v>Caja</v>
      </c>
      <c r="D2876" s="25">
        <v>100</v>
      </c>
      <c r="E2876" s="28">
        <v>446.04</v>
      </c>
      <c r="F2876" s="27">
        <f t="shared" ca="1" si="91"/>
        <v>44604</v>
      </c>
    </row>
    <row r="2877" spans="1:6" ht="14.25" customHeight="1" x14ac:dyDescent="0.25">
      <c r="A2877" s="25" t="s">
        <v>474</v>
      </c>
      <c r="B2877" s="26" t="str">
        <f ca="1">IFERROR(INDEX(UNSPSCDes,MATCH(INDIRECT(ADDRESS(ROW(),COLUMN()-1,4)),UNSPSCCode,0)),IF(INDIRECT(ADDRESS(ROW(),COLUMN()-1,4))="60121532","Borradores de goma moldeable",""))</f>
        <v>Borradores de goma moldeable</v>
      </c>
      <c r="C2877" s="58" t="str">
        <f>IFERROR(VLOOKUP("UD",'Informacion '!P:Q,2,FALSE),"")</f>
        <v>Unidad</v>
      </c>
      <c r="D2877" s="25">
        <v>100</v>
      </c>
      <c r="E2877" s="28">
        <v>54.28</v>
      </c>
      <c r="F2877" s="27">
        <f t="shared" ca="1" si="91"/>
        <v>5428</v>
      </c>
    </row>
    <row r="2878" spans="1:6" ht="14.25" customHeight="1" x14ac:dyDescent="0.25">
      <c r="A2878" s="25" t="s">
        <v>419</v>
      </c>
      <c r="B2878" s="26" t="str">
        <f ca="1">IFERROR(INDEX(UNSPSCDes,MATCH(INDIRECT(ADDRESS(ROW(),COLUMN()-1,4)),UNSPSCCode,0)),IF(INDIRECT(ADDRESS(ROW(),COLUMN()-1,4))="44101707","Unidades de grapadoras",""))</f>
        <v>Unidades de grapadoras</v>
      </c>
      <c r="C2878" s="58" t="str">
        <f>IFERROR(VLOOKUP("UD",'Informacion '!P:Q,2,FALSE),"")</f>
        <v>Unidad</v>
      </c>
      <c r="D2878" s="25">
        <v>100</v>
      </c>
      <c r="E2878" s="28">
        <v>464.92</v>
      </c>
      <c r="F2878" s="27">
        <f t="shared" ca="1" si="91"/>
        <v>46492</v>
      </c>
    </row>
    <row r="2879" spans="1:6" ht="14.25" customHeight="1" x14ac:dyDescent="0.25">
      <c r="A2879" s="25" t="s">
        <v>332</v>
      </c>
      <c r="B2879" s="26" t="str">
        <f ca="1">IFERROR(INDEX(UNSPSCDes,MATCH(INDIRECT(ADDRESS(ROW(),COLUMN()-1,4)),UNSPSCCode,0)),IF(INDIRECT(ADDRESS(ROW(),COLUMN()-1,4))="60121522","Bolígrafos de base acuosa",""))</f>
        <v>Bolígrafos de base acuosa</v>
      </c>
      <c r="C2879" s="58" t="str">
        <f>IFERROR(VLOOKUP("CAJ",'Informacion '!P:Q,2,FALSE),"")</f>
        <v>Caja</v>
      </c>
      <c r="D2879" s="25">
        <v>100</v>
      </c>
      <c r="E2879" s="28">
        <v>120</v>
      </c>
      <c r="F2879" s="27">
        <f t="shared" ca="1" si="91"/>
        <v>12000</v>
      </c>
    </row>
    <row r="2880" spans="1:6" ht="14.25" customHeight="1" x14ac:dyDescent="0.25">
      <c r="A2880" s="25" t="s">
        <v>800</v>
      </c>
      <c r="B2880" s="26" t="str">
        <f ca="1">IFERROR(INDEX(UNSPSCDes,MATCH(INDIRECT(ADDRESS(ROW(),COLUMN()-1,4)),UNSPSCCode,0)),IF(INDIRECT(ADDRESS(ROW(),COLUMN()-1,4))="44121706","Lápices de madera",""))</f>
        <v>Lápices de madera</v>
      </c>
      <c r="C2880" s="58" t="str">
        <f>IFERROR(VLOOKUP("CAJ",'Informacion '!P:Q,2,FALSE),"")</f>
        <v>Caja</v>
      </c>
      <c r="D2880" s="25">
        <v>150</v>
      </c>
      <c r="E2880" s="28">
        <v>70</v>
      </c>
      <c r="F2880" s="27">
        <f t="shared" ca="1" si="91"/>
        <v>10500</v>
      </c>
    </row>
    <row r="2881" spans="1:6" ht="14.25" customHeight="1" x14ac:dyDescent="0.25">
      <c r="A2881" s="25" t="s">
        <v>663</v>
      </c>
      <c r="B2881" s="26" t="str">
        <f ca="1">IFERROR(INDEX(UNSPSCDes,MATCH(INDIRECT(ADDRESS(ROW(),COLUMN()-1,4)),UNSPSCCode,0)),IF(INDIRECT(ADDRESS(ROW(),COLUMN()-1,4))="30102015","Lámina de plástico",""))</f>
        <v>Lámina de plástico</v>
      </c>
      <c r="C2881" s="58" t="str">
        <f>IFERROR(VLOOKUP("CAJ",'Informacion '!P:Q,2,FALSE),"")</f>
        <v>Caja</v>
      </c>
      <c r="D2881" s="25">
        <v>1</v>
      </c>
      <c r="E2881" s="28">
        <v>500</v>
      </c>
      <c r="F2881" s="27">
        <f t="shared" ca="1" si="91"/>
        <v>500</v>
      </c>
    </row>
    <row r="2882" spans="1:6" ht="14.25" customHeight="1" x14ac:dyDescent="0.25">
      <c r="A2882" s="25" t="s">
        <v>208</v>
      </c>
      <c r="B2882" s="26" t="str">
        <f ca="1">IFERROR(INDEX(UNSPSCDes,MATCH(INDIRECT(ADDRESS(ROW(),COLUMN()-1,4)),UNSPSCCode,0)),IF(INDIRECT(ADDRESS(ROW(),COLUMN()-1,4))="14111810","Formatos o libros de personal",""))</f>
        <v>Formatos o libros de personal</v>
      </c>
      <c r="C2882" s="58" t="str">
        <f>IFERROR(VLOOKUP("UD",'Informacion '!P:Q,2,FALSE),"")</f>
        <v>Unidad</v>
      </c>
      <c r="D2882" s="25">
        <v>100</v>
      </c>
      <c r="E2882" s="28">
        <v>258</v>
      </c>
      <c r="F2882" s="27">
        <f t="shared" ca="1" si="91"/>
        <v>25800</v>
      </c>
    </row>
    <row r="2883" spans="1:6" ht="14.25" customHeight="1" x14ac:dyDescent="0.25">
      <c r="A2883" s="25" t="s">
        <v>208</v>
      </c>
      <c r="B2883" s="26" t="str">
        <f ca="1">IFERROR(INDEX(UNSPSCDes,MATCH(INDIRECT(ADDRESS(ROW(),COLUMN()-1,4)),UNSPSCCode,0)),IF(INDIRECT(ADDRESS(ROW(),COLUMN()-1,4))="14111810","Formatos o libros de personal",""))</f>
        <v>Formatos o libros de personal</v>
      </c>
      <c r="C2883" s="58" t="str">
        <f>IFERROR(VLOOKUP("UD",'Informacion '!P:Q,2,FALSE),"")</f>
        <v>Unidad</v>
      </c>
      <c r="D2883" s="25">
        <v>100</v>
      </c>
      <c r="E2883" s="28">
        <v>352</v>
      </c>
      <c r="F2883" s="27">
        <f t="shared" ca="1" si="91"/>
        <v>35200</v>
      </c>
    </row>
    <row r="2884" spans="1:6" ht="14.25" customHeight="1" x14ac:dyDescent="0.25">
      <c r="A2884" s="25" t="s">
        <v>799</v>
      </c>
      <c r="B2884" s="26" t="str">
        <f ca="1">IFERROR(INDEX(UNSPSCDes,MATCH(INDIRECT(ADDRESS(ROW(),COLUMN()-1,4)),UNSPSCCode,0)),IF(INDIRECT(ADDRESS(ROW(),COLUMN()-1,4))="44121716","Resaltadores",""))</f>
        <v>Resaltadores</v>
      </c>
      <c r="C2884" s="58" t="str">
        <f>IFERROR(VLOOKUP("CAJ",'Informacion '!P:Q,2,FALSE),"")</f>
        <v>Caja</v>
      </c>
      <c r="D2884" s="25">
        <v>100</v>
      </c>
      <c r="E2884" s="28">
        <v>778.08</v>
      </c>
      <c r="F2884" s="27">
        <f t="shared" ca="1" si="91"/>
        <v>77808</v>
      </c>
    </row>
    <row r="2885" spans="1:6" ht="14.25" customHeight="1" x14ac:dyDescent="0.25">
      <c r="A2885" s="25" t="s">
        <v>799</v>
      </c>
      <c r="B2885" s="26" t="str">
        <f ca="1">IFERROR(INDEX(UNSPSCDes,MATCH(INDIRECT(ADDRESS(ROW(),COLUMN()-1,4)),UNSPSCCode,0)),IF(INDIRECT(ADDRESS(ROW(),COLUMN()-1,4))="44121716","Resaltadores",""))</f>
        <v>Resaltadores</v>
      </c>
      <c r="C2885" s="58" t="str">
        <f>IFERROR(VLOOKUP("UD",'Informacion '!P:Q,2,FALSE),"")</f>
        <v>Unidad</v>
      </c>
      <c r="D2885" s="25">
        <v>75</v>
      </c>
      <c r="E2885" s="28">
        <v>67.260000000000005</v>
      </c>
      <c r="F2885" s="27">
        <f t="shared" ca="1" si="91"/>
        <v>5044.5</v>
      </c>
    </row>
    <row r="2886" spans="1:6" ht="14.25" customHeight="1" x14ac:dyDescent="0.25">
      <c r="A2886" s="25" t="s">
        <v>799</v>
      </c>
      <c r="B2886" s="26" t="str">
        <f ca="1">IFERROR(INDEX(UNSPSCDes,MATCH(INDIRECT(ADDRESS(ROW(),COLUMN()-1,4)),UNSPSCCode,0)),IF(INDIRECT(ADDRESS(ROW(),COLUMN()-1,4))="44121716","Resaltadores",""))</f>
        <v>Resaltadores</v>
      </c>
      <c r="C2886" s="58" t="str">
        <f>IFERROR(VLOOKUP("UD",'Informacion '!P:Q,2,FALSE),"")</f>
        <v>Unidad</v>
      </c>
      <c r="D2886" s="25">
        <v>75</v>
      </c>
      <c r="E2886" s="28">
        <v>67.260000000000005</v>
      </c>
      <c r="F2886" s="27">
        <f t="shared" ca="1" si="91"/>
        <v>5044.5</v>
      </c>
    </row>
    <row r="2887" spans="1:6" ht="14.25" customHeight="1" x14ac:dyDescent="0.25">
      <c r="A2887" s="25" t="s">
        <v>139</v>
      </c>
      <c r="B2887" s="26" t="str">
        <f ca="1">IFERROR(INDEX(UNSPSCDes,MATCH(INDIRECT(ADDRESS(ROW(),COLUMN()-1,4)),UNSPSCCode,0)),IF(INDIRECT(ADDRESS(ROW(),COLUMN()-1,4))="44121708","Marcadores",""))</f>
        <v>Marcadores</v>
      </c>
      <c r="C2887" s="58" t="str">
        <f>IFERROR(VLOOKUP("UD",'Informacion '!P:Q,2,FALSE),"")</f>
        <v>Unidad</v>
      </c>
      <c r="D2887" s="25">
        <v>75</v>
      </c>
      <c r="E2887" s="28">
        <v>67.260000000000005</v>
      </c>
      <c r="F2887" s="27">
        <f t="shared" ca="1" si="91"/>
        <v>5044.5</v>
      </c>
    </row>
    <row r="2888" spans="1:6" ht="14.25" customHeight="1" x14ac:dyDescent="0.25">
      <c r="A2888" s="25" t="s">
        <v>139</v>
      </c>
      <c r="B2888" s="26" t="str">
        <f ca="1">IFERROR(INDEX(UNSPSCDes,MATCH(INDIRECT(ADDRESS(ROW(),COLUMN()-1,4)),UNSPSCCode,0)),IF(INDIRECT(ADDRESS(ROW(),COLUMN()-1,4))="44121708","Marcadores",""))</f>
        <v>Marcadores</v>
      </c>
      <c r="C2888" s="58" t="str">
        <f>IFERROR(VLOOKUP("UD",'Informacion '!P:Q,2,FALSE),"")</f>
        <v>Unidad</v>
      </c>
      <c r="D2888" s="25">
        <v>75</v>
      </c>
      <c r="E2888" s="28">
        <v>67.260000000000005</v>
      </c>
      <c r="F2888" s="27">
        <f t="shared" ref="F2888:F2910" ca="1" si="92">INDIRECT(ADDRESS(ROW(),COLUMN()-2,4))*INDIRECT(ADDRESS(ROW(),COLUMN()-1,4))</f>
        <v>5044.5</v>
      </c>
    </row>
    <row r="2889" spans="1:6" ht="14.25" customHeight="1" x14ac:dyDescent="0.25">
      <c r="A2889" s="25" t="s">
        <v>226</v>
      </c>
      <c r="B2889" s="26" t="str">
        <f ca="1">IFERROR(INDEX(UNSPSCDes,MATCH(INDIRECT(ADDRESS(ROW(),COLUMN()-1,4)),UNSPSCCode,0)),IF(INDIRECT(ADDRESS(ROW(),COLUMN()-1,4))="44101602","Máquinas perforadoras o para unir papel",""))</f>
        <v>Máquinas perforadoras o para unir papel</v>
      </c>
      <c r="C2889" s="58" t="str">
        <f>IFERROR(VLOOKUP("UD",'Informacion '!P:Q,2,FALSE),"")</f>
        <v>Unidad</v>
      </c>
      <c r="D2889" s="25">
        <v>25</v>
      </c>
      <c r="E2889" s="28">
        <v>359.9</v>
      </c>
      <c r="F2889" s="27">
        <f t="shared" ca="1" si="92"/>
        <v>8997.5</v>
      </c>
    </row>
    <row r="2890" spans="1:6" ht="14.25" customHeight="1" x14ac:dyDescent="0.25">
      <c r="A2890" s="25" t="s">
        <v>590</v>
      </c>
      <c r="B2890" s="26" t="str">
        <f ca="1">IFERROR(INDEX(UNSPSCDes,MATCH(INDIRECT(ADDRESS(ROW(),COLUMN()-1,4)),UNSPSCCode,0)),IF(INDIRECT(ADDRESS(ROW(),COLUMN()-1,4))="44111911","Tableros blancos interactivos o accesorios",""))</f>
        <v>Tableros blancos interactivos o accesorios</v>
      </c>
      <c r="C2890" s="58" t="str">
        <f>IFERROR(VLOOKUP("UD",'Informacion '!P:Q,2,FALSE),"")</f>
        <v>Unidad</v>
      </c>
      <c r="D2890" s="25">
        <v>15</v>
      </c>
      <c r="E2890" s="28">
        <v>2025</v>
      </c>
      <c r="F2890" s="27">
        <f t="shared" ca="1" si="92"/>
        <v>30375</v>
      </c>
    </row>
    <row r="2891" spans="1:6" ht="14.25" customHeight="1" x14ac:dyDescent="0.25">
      <c r="A2891" s="25" t="s">
        <v>590</v>
      </c>
      <c r="B2891" s="26" t="str">
        <f ca="1">IFERROR(INDEX(UNSPSCDes,MATCH(INDIRECT(ADDRESS(ROW(),COLUMN()-1,4)),UNSPSCCode,0)),IF(INDIRECT(ADDRESS(ROW(),COLUMN()-1,4))="44111911","Tableros blancos interactivos o accesorios",""))</f>
        <v>Tableros blancos interactivos o accesorios</v>
      </c>
      <c r="C2891" s="58" t="str">
        <f>IFERROR(VLOOKUP("UD",'Informacion '!P:Q,2,FALSE),"")</f>
        <v>Unidad</v>
      </c>
      <c r="D2891" s="25">
        <v>15</v>
      </c>
      <c r="E2891" s="28">
        <v>887</v>
      </c>
      <c r="F2891" s="27">
        <f t="shared" ca="1" si="92"/>
        <v>13305</v>
      </c>
    </row>
    <row r="2892" spans="1:6" ht="14.25" customHeight="1" x14ac:dyDescent="0.25">
      <c r="A2892" s="25" t="s">
        <v>580</v>
      </c>
      <c r="B2892" s="26" t="str">
        <f ca="1">IFERROR(INDEX(UNSPSCDes,MATCH(INDIRECT(ADDRESS(ROW(),COLUMN()-1,4)),UNSPSCCode,0)),IF(INDIRECT(ADDRESS(ROW(),COLUMN()-1,4))="44121628","Contenedores o dispensadores de clips",""))</f>
        <v>Contenedores o dispensadores de clips</v>
      </c>
      <c r="C2892" s="58" t="str">
        <f>IFERROR(VLOOKUP("UD",'Informacion '!P:Q,2,FALSE),"")</f>
        <v>Unidad</v>
      </c>
      <c r="D2892" s="25">
        <v>100</v>
      </c>
      <c r="E2892" s="28">
        <v>47.2</v>
      </c>
      <c r="F2892" s="27">
        <f t="shared" ca="1" si="92"/>
        <v>4720</v>
      </c>
    </row>
    <row r="2893" spans="1:6" ht="14.25" customHeight="1" x14ac:dyDescent="0.25">
      <c r="A2893" s="25" t="s">
        <v>1019</v>
      </c>
      <c r="B2893" s="26" t="str">
        <f ca="1">IFERROR(INDEX(UNSPSCDes,MATCH(INDIRECT(ADDRESS(ROW(),COLUMN()-1,4)),UNSPSCCode,0)),IF(INDIRECT(ADDRESS(ROW(),COLUMN()-1,4))="44122026","Garras para papel",""))</f>
        <v>Garras para papel</v>
      </c>
      <c r="C2893" s="58" t="str">
        <f>IFERROR(VLOOKUP("UD",'Informacion '!P:Q,2,FALSE),"")</f>
        <v>Unidad</v>
      </c>
      <c r="D2893" s="25">
        <v>100</v>
      </c>
      <c r="E2893" s="28">
        <v>42.17</v>
      </c>
      <c r="F2893" s="27">
        <f t="shared" ca="1" si="92"/>
        <v>4217</v>
      </c>
    </row>
    <row r="2894" spans="1:6" ht="14.25" customHeight="1" x14ac:dyDescent="0.25">
      <c r="A2894" s="25" t="s">
        <v>489</v>
      </c>
      <c r="B2894" s="26" t="str">
        <f ca="1">IFERROR(INDEX(UNSPSCDes,MATCH(INDIRECT(ADDRESS(ROW(),COLUMN()-1,4)),UNSPSCCode,0)),IF(INDIRECT(ADDRESS(ROW(),COLUMN()-1,4))="44121619","Tajalápices manuales.",""))</f>
        <v>Tajalápices manuales.</v>
      </c>
      <c r="C2894" s="58" t="str">
        <f>IFERROR(VLOOKUP("UD",'Informacion '!P:Q,2,FALSE),"")</f>
        <v>Unidad</v>
      </c>
      <c r="D2894" s="25">
        <v>100</v>
      </c>
      <c r="E2894" s="28">
        <v>12.15</v>
      </c>
      <c r="F2894" s="27">
        <f t="shared" ca="1" si="92"/>
        <v>1215</v>
      </c>
    </row>
    <row r="2895" spans="1:6" ht="14.25" customHeight="1" x14ac:dyDescent="0.25">
      <c r="A2895" s="25" t="s">
        <v>42</v>
      </c>
      <c r="B2895" s="26" t="str">
        <f ca="1">IFERROR(INDEX(UNSPSCDes,MATCH(INDIRECT(ADDRESS(ROW(),COLUMN()-1,4)),UNSPSCCode,0)),IF(INDIRECT(ADDRESS(ROW(),COLUMN()-1,4))="44111509","Sujetadores de esferos o lápices",""))</f>
        <v>Sujetadores de esferos o lápices</v>
      </c>
      <c r="C2895" s="58" t="str">
        <f>IFERROR(VLOOKUP("UD",'Informacion '!P:Q,2,FALSE),"")</f>
        <v>Unidad</v>
      </c>
      <c r="D2895" s="25">
        <v>100</v>
      </c>
      <c r="E2895" s="28">
        <v>147.5</v>
      </c>
      <c r="F2895" s="27">
        <f t="shared" ca="1" si="92"/>
        <v>14750</v>
      </c>
    </row>
    <row r="2896" spans="1:6" ht="14.25" customHeight="1" x14ac:dyDescent="0.25">
      <c r="A2896" s="25" t="s">
        <v>105</v>
      </c>
      <c r="B2896" s="26" t="str">
        <f ca="1">IFERROR(INDEX(UNSPSCDes,MATCH(INDIRECT(ADDRESS(ROW(),COLUMN()-1,4)),UNSPSCCode,0)),IF(INDIRECT(ADDRESS(ROW(),COLUMN()-1,4))="44122002","Protectores de hojas",""))</f>
        <v>Protectores de hojas</v>
      </c>
      <c r="C2896" s="58" t="str">
        <f>IFERROR(VLOOKUP("PAQ",'Informacion '!P:Q,2,FALSE),"")</f>
        <v>Paquete</v>
      </c>
      <c r="D2896" s="25">
        <v>200</v>
      </c>
      <c r="E2896" s="28">
        <v>325.68</v>
      </c>
      <c r="F2896" s="27">
        <f t="shared" ca="1" si="92"/>
        <v>65136</v>
      </c>
    </row>
    <row r="2897" spans="1:10" ht="14.25" customHeight="1" x14ac:dyDescent="0.25">
      <c r="A2897" s="25" t="s">
        <v>940</v>
      </c>
      <c r="B2897" s="26" t="str">
        <f ca="1">IFERROR(INDEX(UNSPSCDes,MATCH(INDIRECT(ADDRESS(ROW(),COLUMN()-1,4)),UNSPSCCode,0)),IF(INDIRECT(ADDRESS(ROW(),COLUMN()-1,4))="41111604","Reglas",""))</f>
        <v>Reglas</v>
      </c>
      <c r="C2897" s="58" t="str">
        <f>IFERROR(VLOOKUP("UD",'Informacion '!P:Q,2,FALSE),"")</f>
        <v>Unidad</v>
      </c>
      <c r="D2897" s="25">
        <v>100</v>
      </c>
      <c r="E2897" s="28">
        <v>17.7</v>
      </c>
      <c r="F2897" s="27">
        <f t="shared" ca="1" si="92"/>
        <v>1770</v>
      </c>
    </row>
    <row r="2898" spans="1:10" ht="14.25" customHeight="1" x14ac:dyDescent="0.25">
      <c r="A2898" s="25" t="s">
        <v>489</v>
      </c>
      <c r="B2898" s="26" t="str">
        <f ca="1">IFERROR(INDEX(UNSPSCDes,MATCH(INDIRECT(ADDRESS(ROW(),COLUMN()-1,4)),UNSPSCCode,0)),IF(INDIRECT(ADDRESS(ROW(),COLUMN()-1,4))="44121619","Tajalápices manuales.",""))</f>
        <v>Tajalápices manuales.</v>
      </c>
      <c r="C2898" s="58" t="str">
        <f>IFERROR(VLOOKUP("UD",'Informacion '!P:Q,2,FALSE),"")</f>
        <v>Unidad</v>
      </c>
      <c r="D2898" s="25">
        <v>25</v>
      </c>
      <c r="E2898" s="28">
        <v>22.42</v>
      </c>
      <c r="F2898" s="27">
        <f t="shared" ca="1" si="92"/>
        <v>560.5</v>
      </c>
    </row>
    <row r="2899" spans="1:10" ht="14.25" customHeight="1" x14ac:dyDescent="0.25">
      <c r="A2899" s="25" t="s">
        <v>1035</v>
      </c>
      <c r="B2899" s="26" t="str">
        <f ca="1">IFERROR(INDEX(UNSPSCDes,MATCH(INDIRECT(ADDRESS(ROW(),COLUMN()-1,4)),UNSPSCCode,0)),IF(INDIRECT(ADDRESS(ROW(),COLUMN()-1,4))="44121506","Sobres estándar",""))</f>
        <v>Sobres estándar</v>
      </c>
      <c r="C2899" s="58" t="str">
        <f>IFERROR(VLOOKUP("CAJ",'Informacion '!P:Q,2,FALSE),"")</f>
        <v>Caja</v>
      </c>
      <c r="D2899" s="25">
        <v>5</v>
      </c>
      <c r="E2899" s="28">
        <v>2253.8000000000002</v>
      </c>
      <c r="F2899" s="27">
        <f t="shared" ca="1" si="92"/>
        <v>11269</v>
      </c>
    </row>
    <row r="2900" spans="1:10" ht="14.25" customHeight="1" x14ac:dyDescent="0.25">
      <c r="A2900" s="25" t="s">
        <v>364</v>
      </c>
      <c r="B2900" s="26" t="str">
        <f ca="1">IFERROR(INDEX(UNSPSCDes,MATCH(INDIRECT(ADDRESS(ROW(),COLUMN()-1,4)),UNSPSCCode,0)),IF(INDIRECT(ADDRESS(ROW(),COLUMN()-1,4))="60121152","Tablillas de escritura",""))</f>
        <v>Tablillas de escritura</v>
      </c>
      <c r="C2900" s="58" t="str">
        <f>IFERROR(VLOOKUP("UD",'Informacion '!P:Q,2,FALSE),"")</f>
        <v>Unidad</v>
      </c>
      <c r="D2900" s="25">
        <v>100</v>
      </c>
      <c r="E2900" s="28">
        <v>129.80000000000001</v>
      </c>
      <c r="F2900" s="27">
        <f t="shared" ca="1" si="92"/>
        <v>12980.000000000002</v>
      </c>
    </row>
    <row r="2901" spans="1:10" ht="14.25" customHeight="1" x14ac:dyDescent="0.25">
      <c r="A2901" s="25" t="s">
        <v>59</v>
      </c>
      <c r="B2901" s="26" t="str">
        <f ca="1">IFERROR(INDEX(UNSPSCDes,MATCH(INDIRECT(ADDRESS(ROW(),COLUMN()-1,4)),UNSPSCCode,0)),IF(INDIRECT(ADDRESS(ROW(),COLUMN()-1,4))="44121904","Repuestos de tinta",""))</f>
        <v>Repuestos de tinta</v>
      </c>
      <c r="C2901" s="58" t="str">
        <f>IFERROR(VLOOKUP("UD",'Informacion '!P:Q,2,FALSE),"")</f>
        <v>Unidad</v>
      </c>
      <c r="D2901" s="25">
        <v>300</v>
      </c>
      <c r="E2901" s="28">
        <v>62.25</v>
      </c>
      <c r="F2901" s="27">
        <f t="shared" ca="1" si="92"/>
        <v>18675</v>
      </c>
    </row>
    <row r="2902" spans="1:10" ht="14.25" customHeight="1" x14ac:dyDescent="0.25">
      <c r="A2902" s="25" t="s">
        <v>581</v>
      </c>
      <c r="B2902" s="26" t="str">
        <f ca="1">IFERROR(INDEX(UNSPSCDes,MATCH(INDIRECT(ADDRESS(ROW(),COLUMN()-1,4)),UNSPSCCode,0)),IF(INDIRECT(ADDRESS(ROW(),COLUMN()-1,4))="44121618","Tijeras",""))</f>
        <v>Tijeras</v>
      </c>
      <c r="C2902" s="58" t="str">
        <f>IFERROR(VLOOKUP("UD",'Informacion '!P:Q,2,FALSE),"")</f>
        <v>Unidad</v>
      </c>
      <c r="D2902" s="25">
        <v>100</v>
      </c>
      <c r="E2902" s="28">
        <v>61.36</v>
      </c>
      <c r="F2902" s="27">
        <f t="shared" ca="1" si="92"/>
        <v>6136</v>
      </c>
    </row>
    <row r="2903" spans="1:10" ht="14.25" customHeight="1" x14ac:dyDescent="0.25">
      <c r="A2903" s="25" t="s">
        <v>1041</v>
      </c>
      <c r="B2903" s="26" t="str">
        <f ca="1">IFERROR(INDEX(UNSPSCDes,MATCH(INDIRECT(ADDRESS(ROW(),COLUMN()-1,4)),UNSPSCCode,0)),IF(INDIRECT(ADDRESS(ROW(),COLUMN()-1,4))="11111606","Pizarra",""))</f>
        <v>Pizarra</v>
      </c>
      <c r="C2903" s="58" t="str">
        <f>IFERROR(VLOOKUP("UD",'Informacion '!P:Q,2,FALSE),"")</f>
        <v>Unidad</v>
      </c>
      <c r="D2903" s="25">
        <v>30</v>
      </c>
      <c r="E2903" s="28">
        <v>800</v>
      </c>
      <c r="F2903" s="27">
        <f t="shared" ca="1" si="92"/>
        <v>24000</v>
      </c>
    </row>
    <row r="2904" spans="1:10" ht="14.25" customHeight="1" x14ac:dyDescent="0.25">
      <c r="A2904" s="25" t="s">
        <v>1041</v>
      </c>
      <c r="B2904" s="26" t="str">
        <f ca="1">IFERROR(INDEX(UNSPSCDes,MATCH(INDIRECT(ADDRESS(ROW(),COLUMN()-1,4)),UNSPSCCode,0)),IF(INDIRECT(ADDRESS(ROW(),COLUMN()-1,4))="11111606","Pizarra",""))</f>
        <v>Pizarra</v>
      </c>
      <c r="C2904" s="58" t="str">
        <f>IFERROR(VLOOKUP("UD",'Informacion '!P:Q,2,FALSE),"")</f>
        <v>Unidad</v>
      </c>
      <c r="D2904" s="25">
        <v>30</v>
      </c>
      <c r="E2904" s="28">
        <v>2750</v>
      </c>
      <c r="F2904" s="27">
        <f t="shared" ca="1" si="92"/>
        <v>82500</v>
      </c>
    </row>
    <row r="2905" spans="1:10" ht="14.25" customHeight="1" x14ac:dyDescent="0.25">
      <c r="A2905" s="25" t="s">
        <v>202</v>
      </c>
      <c r="B2905" s="26" t="str">
        <f ca="1">IFERROR(INDEX(UNSPSCDes,MATCH(INDIRECT(ADDRESS(ROW(),COLUMN()-1,4)),UNSPSCCode,0)),IF(INDIRECT(ADDRESS(ROW(),COLUMN()-1,4))="44111503","Organizadores o bandejas para el escritorio",""))</f>
        <v>Organizadores o bandejas para el escritorio</v>
      </c>
      <c r="C2905" s="58" t="str">
        <f>IFERROR(VLOOKUP("UD",'Informacion '!P:Q,2,FALSE),"")</f>
        <v>Unidad</v>
      </c>
      <c r="D2905" s="25">
        <v>100</v>
      </c>
      <c r="E2905" s="28">
        <v>208.86</v>
      </c>
      <c r="F2905" s="27">
        <f t="shared" ca="1" si="92"/>
        <v>20886</v>
      </c>
    </row>
    <row r="2906" spans="1:10" ht="14.25" customHeight="1" x14ac:dyDescent="0.25">
      <c r="A2906" s="25" t="s">
        <v>1041</v>
      </c>
      <c r="B2906" s="26" t="str">
        <f ca="1">IFERROR(INDEX(UNSPSCDes,MATCH(INDIRECT(ADDRESS(ROW(),COLUMN()-1,4)),UNSPSCCode,0)),IF(INDIRECT(ADDRESS(ROW(),COLUMN()-1,4))="11111606","Pizarra",""))</f>
        <v>Pizarra</v>
      </c>
      <c r="C2906" s="58" t="str">
        <f>IFERROR(VLOOKUP("UD",'Informacion '!P:Q,2,FALSE),"")</f>
        <v>Unidad</v>
      </c>
      <c r="D2906" s="25">
        <v>1</v>
      </c>
      <c r="E2906" s="28">
        <v>1800</v>
      </c>
      <c r="F2906" s="27">
        <f t="shared" ca="1" si="92"/>
        <v>1800</v>
      </c>
    </row>
    <row r="2907" spans="1:10" ht="14.25" customHeight="1" x14ac:dyDescent="0.25">
      <c r="A2907" s="25" t="s">
        <v>499</v>
      </c>
      <c r="B2907" s="26" t="str">
        <f ca="1">IFERROR(INDEX(UNSPSCDes,MATCH(INDIRECT(ADDRESS(ROW(),COLUMN()-1,4)),UNSPSCCode,0)),IF(INDIRECT(ADDRESS(ROW(),COLUMN()-1,4))="44122011","Folders",""))</f>
        <v>Folders</v>
      </c>
      <c r="C2907" s="58" t="str">
        <f>IFERROR(VLOOKUP("CAJ",'Informacion '!P:Q,2,FALSE),"")</f>
        <v>Caja</v>
      </c>
      <c r="D2907" s="25">
        <v>10</v>
      </c>
      <c r="E2907" s="28">
        <v>1216</v>
      </c>
      <c r="F2907" s="27">
        <f t="shared" ca="1" si="92"/>
        <v>12160</v>
      </c>
    </row>
    <row r="2908" spans="1:10" ht="14.25" customHeight="1" x14ac:dyDescent="0.25">
      <c r="A2908" s="25" t="s">
        <v>105</v>
      </c>
      <c r="B2908" s="26" t="str">
        <f ca="1">IFERROR(INDEX(UNSPSCDes,MATCH(INDIRECT(ADDRESS(ROW(),COLUMN()-1,4)),UNSPSCCode,0)),IF(INDIRECT(ADDRESS(ROW(),COLUMN()-1,4))="44122002","Protectores de hojas",""))</f>
        <v>Protectores de hojas</v>
      </c>
      <c r="C2908" s="58" t="str">
        <f>IFERROR(VLOOKUP("UD",'Informacion '!P:Q,2,FALSE),"")</f>
        <v>Unidad</v>
      </c>
      <c r="D2908" s="25">
        <v>20</v>
      </c>
      <c r="E2908" s="28">
        <v>325</v>
      </c>
      <c r="F2908" s="27">
        <f t="shared" ca="1" si="92"/>
        <v>6500</v>
      </c>
    </row>
    <row r="2909" spans="1:10" ht="14.25" customHeight="1" x14ac:dyDescent="0.25">
      <c r="A2909" s="25" t="s">
        <v>391</v>
      </c>
      <c r="B2909" s="26" t="str">
        <f ca="1">IFERROR(INDEX(UNSPSCDes,MATCH(INDIRECT(ADDRESS(ROW(),COLUMN()-1,4)),UNSPSCCode,0)),IF(INDIRECT(ADDRESS(ROW(),COLUMN()-1,4))="44102801","Laminadoras",""))</f>
        <v>Laminadoras</v>
      </c>
      <c r="C2909" s="58" t="str">
        <f>IFERROR(VLOOKUP("UD",'Informacion '!P:Q,2,FALSE),"")</f>
        <v>Unidad</v>
      </c>
      <c r="D2909" s="25">
        <v>5</v>
      </c>
      <c r="E2909" s="28">
        <v>7000</v>
      </c>
      <c r="F2909" s="27">
        <f t="shared" ca="1" si="92"/>
        <v>35000</v>
      </c>
    </row>
    <row r="2910" spans="1:10" ht="14.25" customHeight="1" x14ac:dyDescent="0.25">
      <c r="A2910" s="25" t="s">
        <v>419</v>
      </c>
      <c r="B2910" s="26" t="str">
        <f ca="1">IFERROR(INDEX(UNSPSCDes,MATCH(INDIRECT(ADDRESS(ROW(),COLUMN()-1,4)),UNSPSCCode,0)),IF(INDIRECT(ADDRESS(ROW(),COLUMN()-1,4))="44101707","Unidades de grapadoras",""))</f>
        <v>Unidades de grapadoras</v>
      </c>
      <c r="C2910" s="58" t="str">
        <f>IFERROR(VLOOKUP("UD",'Informacion '!P:Q,2,FALSE),"")</f>
        <v>Unidad</v>
      </c>
      <c r="D2910" s="25">
        <v>5</v>
      </c>
      <c r="E2910" s="28">
        <v>8000</v>
      </c>
      <c r="F2910" s="27">
        <f t="shared" ca="1" si="92"/>
        <v>40000</v>
      </c>
    </row>
    <row r="2911" spans="1:10" ht="14.25" customHeight="1" x14ac:dyDescent="0.25">
      <c r="E2911" s="30" t="s">
        <v>816</v>
      </c>
      <c r="F2911" s="31">
        <f ca="1">SUM(Table156[MONTO TOTAL ESTIMADO])</f>
        <v>1505247.75</v>
      </c>
      <c r="H2911" s="21" t="str">
        <f>C2849</f>
        <v>Bienes</v>
      </c>
      <c r="I2911" s="21" t="str">
        <f>E2849</f>
        <v>Sí</v>
      </c>
      <c r="J2911" s="21" t="str">
        <f>D2849</f>
        <v>Compras Menores</v>
      </c>
    </row>
    <row r="2913" spans="1:6" ht="33.950000000000003" customHeight="1" x14ac:dyDescent="0.25">
      <c r="A2913" s="22" t="s">
        <v>1051</v>
      </c>
      <c r="B2913" s="22" t="s">
        <v>11</v>
      </c>
      <c r="C2913" s="22" t="s">
        <v>751</v>
      </c>
      <c r="D2913" s="22" t="s">
        <v>930</v>
      </c>
      <c r="E2913" s="22" t="s">
        <v>699</v>
      </c>
      <c r="F2913" s="22" t="s">
        <v>710</v>
      </c>
    </row>
    <row r="2914" spans="1:6" ht="14.25" customHeight="1" x14ac:dyDescent="0.25">
      <c r="A2914" s="23" t="s">
        <v>212</v>
      </c>
      <c r="B2914" s="23" t="s">
        <v>212</v>
      </c>
      <c r="C2914" s="23" t="s">
        <v>1155</v>
      </c>
      <c r="D2914" s="23" t="s">
        <v>1128</v>
      </c>
      <c r="E2914" s="23" t="s">
        <v>1156</v>
      </c>
      <c r="F2914" s="23" t="s">
        <v>436</v>
      </c>
    </row>
    <row r="2915" spans="1:6" ht="14.25" customHeight="1" x14ac:dyDescent="0.25">
      <c r="A2915" s="68" t="s">
        <v>965</v>
      </c>
      <c r="B2915" s="24" t="s">
        <v>543</v>
      </c>
      <c r="C2915" s="54">
        <v>46113</v>
      </c>
      <c r="D2915" s="68" t="s">
        <v>598</v>
      </c>
      <c r="E2915" s="56" t="s">
        <v>858</v>
      </c>
      <c r="F2915" s="57"/>
    </row>
    <row r="2916" spans="1:6" ht="14.25" customHeight="1" x14ac:dyDescent="0.25">
      <c r="A2916" s="69"/>
      <c r="B2916" s="24" t="s">
        <v>112</v>
      </c>
      <c r="C2916" s="55">
        <f>IF(C2915="","",IF(AND(MONTH(C2915)&gt;=1,MONTH(C2915)&lt;=3),1,IF(AND(MONTH(C2915)&gt;=4,MONTH(C2915)&lt;=6),2,IF(AND(MONTH(C2915)&gt;=7,MONTH(C2915)&lt;=9),3,4))))</f>
        <v>2</v>
      </c>
      <c r="D2916" s="69"/>
      <c r="E2916" s="56" t="s">
        <v>143</v>
      </c>
      <c r="F2916" s="57"/>
    </row>
    <row r="2917" spans="1:6" ht="14.25" customHeight="1" x14ac:dyDescent="0.25">
      <c r="A2917" s="69"/>
      <c r="B2917" s="24" t="s">
        <v>844</v>
      </c>
      <c r="C2917" s="54">
        <v>46173</v>
      </c>
      <c r="D2917" s="69"/>
      <c r="E2917" s="56" t="s">
        <v>183</v>
      </c>
      <c r="F2917" s="57"/>
    </row>
    <row r="2918" spans="1:6" ht="14.25" customHeight="1" x14ac:dyDescent="0.25">
      <c r="A2918" s="69"/>
      <c r="B2918" s="24" t="s">
        <v>112</v>
      </c>
      <c r="C2918" s="55">
        <f>IF(C2917="","",IF(AND(MONTH(C2917)&gt;=1,MONTH(C2917)&lt;=3),1,IF(AND(MONTH(C2917)&gt;=4,MONTH(C2917)&lt;=6),2,IF(AND(MONTH(C2917)&gt;=7,MONTH(C2917)&lt;=9),3,4))))</f>
        <v>2</v>
      </c>
      <c r="D2918" s="69"/>
      <c r="E2918" s="56" t="s">
        <v>865</v>
      </c>
      <c r="F2918" s="57"/>
    </row>
    <row r="2920" spans="1:6" ht="14.25" customHeight="1" x14ac:dyDescent="0.25">
      <c r="A2920" s="29" t="s">
        <v>1017</v>
      </c>
      <c r="B2920" s="29" t="s">
        <v>1042</v>
      </c>
      <c r="C2920" s="29" t="s">
        <v>1011</v>
      </c>
      <c r="D2920" s="29" t="s">
        <v>985</v>
      </c>
      <c r="E2920" s="29" t="s">
        <v>449</v>
      </c>
      <c r="F2920" s="29" t="s">
        <v>989</v>
      </c>
    </row>
    <row r="2921" spans="1:6" ht="14.25" customHeight="1" x14ac:dyDescent="0.25">
      <c r="A2921" s="25" t="s">
        <v>144</v>
      </c>
      <c r="B2921" s="26" t="str">
        <f ca="1">IFERROR(INDEX(UNSPSCDes,MATCH(INDIRECT(ADDRESS(ROW(),COLUMN()-1,4)),UNSPSCCode,0)),IF(INDIRECT(ADDRESS(ROW(),COLUMN()-1,4))="10171504","Abono",""))</f>
        <v>Abono</v>
      </c>
      <c r="C2921" s="58" t="str">
        <f>IFERROR(VLOOKUP("UD",'Informacion '!P:Q,2,FALSE),"")</f>
        <v>Unidad</v>
      </c>
      <c r="D2921" s="25">
        <v>2</v>
      </c>
      <c r="E2921" s="28">
        <v>4800</v>
      </c>
      <c r="F2921" s="27">
        <f t="shared" ref="F2921:F2936" ca="1" si="93">INDIRECT(ADDRESS(ROW(),COLUMN()-2,4))*INDIRECT(ADDRESS(ROW(),COLUMN()-1,4))</f>
        <v>9600</v>
      </c>
    </row>
    <row r="2922" spans="1:6" ht="14.25" customHeight="1" x14ac:dyDescent="0.25">
      <c r="A2922" s="25" t="s">
        <v>144</v>
      </c>
      <c r="B2922" s="26" t="str">
        <f ca="1">IFERROR(INDEX(UNSPSCDes,MATCH(INDIRECT(ADDRESS(ROW(),COLUMN()-1,4)),UNSPSCCode,0)),IF(INDIRECT(ADDRESS(ROW(),COLUMN()-1,4))="10171504","Abono",""))</f>
        <v>Abono</v>
      </c>
      <c r="C2922" s="58" t="str">
        <f>IFERROR(VLOOKUP("UD",'Informacion '!P:Q,2,FALSE),"")</f>
        <v>Unidad</v>
      </c>
      <c r="D2922" s="25">
        <v>2</v>
      </c>
      <c r="E2922" s="28">
        <v>4800</v>
      </c>
      <c r="F2922" s="27">
        <f t="shared" ca="1" si="93"/>
        <v>9600</v>
      </c>
    </row>
    <row r="2923" spans="1:6" ht="14.25" customHeight="1" x14ac:dyDescent="0.25">
      <c r="A2923" s="25" t="s">
        <v>140</v>
      </c>
      <c r="B2923" s="26" t="str">
        <f ca="1">IFERROR(INDEX(UNSPSCDes,MATCH(INDIRECT(ADDRESS(ROW(),COLUMN()-1,4)),UNSPSCCode,0)),IF(INDIRECT(ADDRESS(ROW(),COLUMN()-1,4))="11111611","Gravilla",""))</f>
        <v>Gravilla</v>
      </c>
      <c r="C2923" s="58" t="str">
        <f>IFERROR(VLOOKUP("UD",'Informacion '!P:Q,2,FALSE),"")</f>
        <v>Unidad</v>
      </c>
      <c r="D2923" s="25">
        <v>12</v>
      </c>
      <c r="E2923" s="28">
        <v>1100</v>
      </c>
      <c r="F2923" s="27">
        <f t="shared" ca="1" si="93"/>
        <v>13200</v>
      </c>
    </row>
    <row r="2924" spans="1:6" ht="14.25" customHeight="1" x14ac:dyDescent="0.25">
      <c r="A2924" s="25" t="s">
        <v>988</v>
      </c>
      <c r="B2924" s="26" t="str">
        <f ca="1">IFERROR(INDEX(UNSPSCDes,MATCH(INDIRECT(ADDRESS(ROW(),COLUMN()-1,4)),UNSPSCCode,0)),IF(INDIRECT(ADDRESS(ROW(),COLUMN()-1,4))="11111501","Tierra",""))</f>
        <v>Tierra</v>
      </c>
      <c r="C2924" s="58" t="str">
        <f>IFERROR(VLOOKUP("UD",'Informacion '!P:Q,2,FALSE),"")</f>
        <v>Unidad</v>
      </c>
      <c r="D2924" s="25">
        <v>15</v>
      </c>
      <c r="E2924" s="28">
        <v>3400</v>
      </c>
      <c r="F2924" s="27">
        <f t="shared" ca="1" si="93"/>
        <v>51000</v>
      </c>
    </row>
    <row r="2925" spans="1:6" ht="14.25" customHeight="1" x14ac:dyDescent="0.25">
      <c r="A2925" s="25" t="s">
        <v>144</v>
      </c>
      <c r="B2925" s="26" t="str">
        <f ca="1">IFERROR(INDEX(UNSPSCDes,MATCH(INDIRECT(ADDRESS(ROW(),COLUMN()-1,4)),UNSPSCCode,0)),IF(INDIRECT(ADDRESS(ROW(),COLUMN()-1,4))="10171504","Abono",""))</f>
        <v>Abono</v>
      </c>
      <c r="C2925" s="58" t="str">
        <f>IFERROR(VLOOKUP("UD",'Informacion '!P:Q,2,FALSE),"")</f>
        <v>Unidad</v>
      </c>
      <c r="D2925" s="25">
        <v>3</v>
      </c>
      <c r="E2925" s="28">
        <v>6640</v>
      </c>
      <c r="F2925" s="27">
        <f t="shared" ca="1" si="93"/>
        <v>19920</v>
      </c>
    </row>
    <row r="2926" spans="1:6" ht="14.25" customHeight="1" x14ac:dyDescent="0.25">
      <c r="A2926" s="25" t="s">
        <v>189</v>
      </c>
      <c r="B2926" s="26" t="str">
        <f ca="1">IFERROR(INDEX(UNSPSCDes,MATCH(INDIRECT(ADDRESS(ROW(),COLUMN()-1,4)),UNSPSCCode,0)),IF(INDIRECT(ADDRESS(ROW(),COLUMN()-1,4))="56101606","Materas",""))</f>
        <v>Materas</v>
      </c>
      <c r="C2926" s="58" t="str">
        <f>IFERROR(VLOOKUP("UD",'Informacion '!P:Q,2,FALSE),"")</f>
        <v>Unidad</v>
      </c>
      <c r="D2926" s="25">
        <v>30</v>
      </c>
      <c r="E2926" s="28">
        <v>2000</v>
      </c>
      <c r="F2926" s="27">
        <f t="shared" ca="1" si="93"/>
        <v>60000</v>
      </c>
    </row>
    <row r="2927" spans="1:6" ht="14.25" customHeight="1" x14ac:dyDescent="0.25">
      <c r="A2927" s="25" t="s">
        <v>644</v>
      </c>
      <c r="B2927" s="26" t="str">
        <f ca="1">IFERROR(INDEX(UNSPSCDes,MATCH(INDIRECT(ADDRESS(ROW(),COLUMN()-1,4)),UNSPSCCode,0)),IF(INDIRECT(ADDRESS(ROW(),COLUMN()-1,4))="10161603","Orquídeas",""))</f>
        <v>Orquídeas</v>
      </c>
      <c r="C2927" s="58" t="str">
        <f>IFERROR(VLOOKUP("UD",'Informacion '!P:Q,2,FALSE),"")</f>
        <v>Unidad</v>
      </c>
      <c r="D2927" s="25">
        <v>32</v>
      </c>
      <c r="E2927" s="28">
        <v>5000</v>
      </c>
      <c r="F2927" s="27">
        <f t="shared" ca="1" si="93"/>
        <v>160000</v>
      </c>
    </row>
    <row r="2928" spans="1:6" ht="14.25" customHeight="1" x14ac:dyDescent="0.25">
      <c r="A2928" s="25" t="s">
        <v>140</v>
      </c>
      <c r="B2928" s="26" t="str">
        <f ca="1">IFERROR(INDEX(UNSPSCDes,MATCH(INDIRECT(ADDRESS(ROW(),COLUMN()-1,4)),UNSPSCCode,0)),IF(INDIRECT(ADDRESS(ROW(),COLUMN()-1,4))="11111611","Gravilla",""))</f>
        <v>Gravilla</v>
      </c>
      <c r="C2928" s="58" t="str">
        <f>IFERROR(VLOOKUP("UD",'Informacion '!P:Q,2,FALSE),"")</f>
        <v>Unidad</v>
      </c>
      <c r="D2928" s="25">
        <v>65</v>
      </c>
      <c r="E2928" s="28">
        <v>420</v>
      </c>
      <c r="F2928" s="27">
        <f t="shared" ca="1" si="93"/>
        <v>27300</v>
      </c>
    </row>
    <row r="2929" spans="1:10" ht="14.25" customHeight="1" x14ac:dyDescent="0.25">
      <c r="A2929" s="25" t="s">
        <v>140</v>
      </c>
      <c r="B2929" s="26" t="str">
        <f ca="1">IFERROR(INDEX(UNSPSCDes,MATCH(INDIRECT(ADDRESS(ROW(),COLUMN()-1,4)),UNSPSCCode,0)),IF(INDIRECT(ADDRESS(ROW(),COLUMN()-1,4))="11111611","Gravilla",""))</f>
        <v>Gravilla</v>
      </c>
      <c r="C2929" s="58" t="str">
        <f>IFERROR(VLOOKUP("UD",'Informacion '!P:Q,2,FALSE),"")</f>
        <v>Unidad</v>
      </c>
      <c r="D2929" s="25">
        <v>10</v>
      </c>
      <c r="E2929" s="28">
        <v>1300</v>
      </c>
      <c r="F2929" s="27">
        <f t="shared" ca="1" si="93"/>
        <v>13000</v>
      </c>
    </row>
    <row r="2930" spans="1:10" ht="14.25" customHeight="1" x14ac:dyDescent="0.25">
      <c r="A2930" s="25" t="s">
        <v>988</v>
      </c>
      <c r="B2930" s="26" t="str">
        <f ca="1">IFERROR(INDEX(UNSPSCDes,MATCH(INDIRECT(ADDRESS(ROW(),COLUMN()-1,4)),UNSPSCCode,0)),IF(INDIRECT(ADDRESS(ROW(),COLUMN()-1,4))="11111501","Tierra",""))</f>
        <v>Tierra</v>
      </c>
      <c r="C2930" s="58" t="str">
        <f>IFERROR(VLOOKUP("UD",'Informacion '!P:Q,2,FALSE),"")</f>
        <v>Unidad</v>
      </c>
      <c r="D2930" s="25">
        <v>65</v>
      </c>
      <c r="E2930" s="28">
        <v>300</v>
      </c>
      <c r="F2930" s="27">
        <f t="shared" ca="1" si="93"/>
        <v>19500</v>
      </c>
    </row>
    <row r="2931" spans="1:10" ht="14.25" customHeight="1" x14ac:dyDescent="0.25">
      <c r="A2931" s="25" t="s">
        <v>1032</v>
      </c>
      <c r="B2931" s="26" t="str">
        <f ca="1">IFERROR(INDEX(UNSPSCDes,MATCH(INDIRECT(ADDRESS(ROW(),COLUMN()-1,4)),UNSPSCCode,0)),IF(INDIRECT(ADDRESS(ROW(),COLUMN()-1,4))="10161513","Palmeras",""))</f>
        <v>Palmeras</v>
      </c>
      <c r="C2931" s="58" t="str">
        <f>IFERROR(VLOOKUP("UD",'Informacion '!P:Q,2,FALSE),"")</f>
        <v>Unidad</v>
      </c>
      <c r="D2931" s="25">
        <v>30</v>
      </c>
      <c r="E2931" s="28">
        <v>4150</v>
      </c>
      <c r="F2931" s="27">
        <f t="shared" ca="1" si="93"/>
        <v>124500</v>
      </c>
    </row>
    <row r="2932" spans="1:10" ht="14.25" customHeight="1" x14ac:dyDescent="0.25">
      <c r="A2932" s="25" t="s">
        <v>720</v>
      </c>
      <c r="B2932" s="26" t="str">
        <f ca="1">IFERROR(INDEX(UNSPSCDes,MATCH(INDIRECT(ADDRESS(ROW(),COLUMN()-1,4)),UNSPSCCode,0)),IF(INDIRECT(ADDRESS(ROW(),COLUMN()-1,4))="10161511","Pinos",""))</f>
        <v>Pinos</v>
      </c>
      <c r="C2932" s="58" t="str">
        <f>IFERROR(VLOOKUP("UD",'Informacion '!P:Q,2,FALSE),"")</f>
        <v>Unidad</v>
      </c>
      <c r="D2932" s="25">
        <v>20</v>
      </c>
      <c r="E2932" s="28">
        <v>515</v>
      </c>
      <c r="F2932" s="27">
        <f t="shared" ca="1" si="93"/>
        <v>10300</v>
      </c>
    </row>
    <row r="2933" spans="1:10" ht="14.25" customHeight="1" x14ac:dyDescent="0.25">
      <c r="A2933" s="25" t="s">
        <v>720</v>
      </c>
      <c r="B2933" s="26" t="str">
        <f ca="1">IFERROR(INDEX(UNSPSCDes,MATCH(INDIRECT(ADDRESS(ROW(),COLUMN()-1,4)),UNSPSCCode,0)),IF(INDIRECT(ADDRESS(ROW(),COLUMN()-1,4))="10161511","Pinos",""))</f>
        <v>Pinos</v>
      </c>
      <c r="C2933" s="58" t="str">
        <f>IFERROR(VLOOKUP("UD",'Informacion '!P:Q,2,FALSE),"")</f>
        <v>Unidad</v>
      </c>
      <c r="D2933" s="25">
        <v>65</v>
      </c>
      <c r="E2933" s="28">
        <v>440</v>
      </c>
      <c r="F2933" s="27">
        <f t="shared" ca="1" si="93"/>
        <v>28600</v>
      </c>
    </row>
    <row r="2934" spans="1:10" ht="14.25" customHeight="1" x14ac:dyDescent="0.25">
      <c r="A2934" s="25" t="s">
        <v>720</v>
      </c>
      <c r="B2934" s="26" t="str">
        <f ca="1">IFERROR(INDEX(UNSPSCDes,MATCH(INDIRECT(ADDRESS(ROW(),COLUMN()-1,4)),UNSPSCCode,0)),IF(INDIRECT(ADDRESS(ROW(),COLUMN()-1,4))="10161511","Pinos",""))</f>
        <v>Pinos</v>
      </c>
      <c r="C2934" s="58" t="str">
        <f>IFERROR(VLOOKUP("UD",'Informacion '!P:Q,2,FALSE),"")</f>
        <v>Unidad</v>
      </c>
      <c r="D2934" s="25">
        <v>40</v>
      </c>
      <c r="E2934" s="28">
        <v>295</v>
      </c>
      <c r="F2934" s="27">
        <f t="shared" ca="1" si="93"/>
        <v>11800</v>
      </c>
    </row>
    <row r="2935" spans="1:10" ht="14.25" customHeight="1" x14ac:dyDescent="0.25">
      <c r="A2935" s="25" t="s">
        <v>720</v>
      </c>
      <c r="B2935" s="26" t="str">
        <f ca="1">IFERROR(INDEX(UNSPSCDes,MATCH(INDIRECT(ADDRESS(ROW(),COLUMN()-1,4)),UNSPSCCode,0)),IF(INDIRECT(ADDRESS(ROW(),COLUMN()-1,4))="10161511","Pinos",""))</f>
        <v>Pinos</v>
      </c>
      <c r="C2935" s="58" t="str">
        <f>IFERROR(VLOOKUP("UD",'Informacion '!P:Q,2,FALSE),"")</f>
        <v>Unidad</v>
      </c>
      <c r="D2935" s="25">
        <v>20</v>
      </c>
      <c r="E2935" s="28">
        <v>2600</v>
      </c>
      <c r="F2935" s="27">
        <f t="shared" ca="1" si="93"/>
        <v>52000</v>
      </c>
    </row>
    <row r="2936" spans="1:10" ht="14.25" customHeight="1" x14ac:dyDescent="0.25">
      <c r="A2936" s="25" t="s">
        <v>140</v>
      </c>
      <c r="B2936" s="26" t="str">
        <f ca="1">IFERROR(INDEX(UNSPSCDes,MATCH(INDIRECT(ADDRESS(ROW(),COLUMN()-1,4)),UNSPSCCode,0)),IF(INDIRECT(ADDRESS(ROW(),COLUMN()-1,4))="11111611","Gravilla",""))</f>
        <v>Gravilla</v>
      </c>
      <c r="C2936" s="58" t="str">
        <f>IFERROR(VLOOKUP("UD",'Informacion '!P:Q,2,FALSE),"")</f>
        <v>Unidad</v>
      </c>
      <c r="D2936" s="25">
        <v>20</v>
      </c>
      <c r="E2936" s="28">
        <v>400</v>
      </c>
      <c r="F2936" s="27">
        <f t="shared" ca="1" si="93"/>
        <v>8000</v>
      </c>
    </row>
    <row r="2937" spans="1:10" ht="14.25" customHeight="1" x14ac:dyDescent="0.25">
      <c r="E2937" s="30" t="s">
        <v>816</v>
      </c>
      <c r="F2937" s="31">
        <f ca="1">SUM(Table157[MONTO TOTAL ESTIMADO])</f>
        <v>618320</v>
      </c>
      <c r="H2937" s="21" t="str">
        <f>C2914</f>
        <v>Bienes</v>
      </c>
      <c r="I2937" s="21" t="str">
        <f>E2914</f>
        <v>No</v>
      </c>
      <c r="J2937" s="21" t="str">
        <f>D2914</f>
        <v>Compras Menores</v>
      </c>
    </row>
    <row r="2939" spans="1:10" ht="33.950000000000003" customHeight="1" x14ac:dyDescent="0.25">
      <c r="A2939" s="22" t="s">
        <v>1051</v>
      </c>
      <c r="B2939" s="22" t="s">
        <v>11</v>
      </c>
      <c r="C2939" s="22" t="s">
        <v>751</v>
      </c>
      <c r="D2939" s="22" t="s">
        <v>930</v>
      </c>
      <c r="E2939" s="22" t="s">
        <v>699</v>
      </c>
      <c r="F2939" s="22" t="s">
        <v>710</v>
      </c>
    </row>
    <row r="2940" spans="1:10" ht="14.25" customHeight="1" x14ac:dyDescent="0.25">
      <c r="A2940" s="23" t="s">
        <v>838</v>
      </c>
      <c r="B2940" s="23" t="s">
        <v>838</v>
      </c>
      <c r="C2940" s="23" t="s">
        <v>1155</v>
      </c>
      <c r="D2940" s="23" t="s">
        <v>1128</v>
      </c>
      <c r="E2940" s="23" t="s">
        <v>561</v>
      </c>
      <c r="F2940" s="23" t="s">
        <v>436</v>
      </c>
    </row>
    <row r="2941" spans="1:10" ht="14.25" customHeight="1" x14ac:dyDescent="0.25">
      <c r="A2941" s="68" t="s">
        <v>965</v>
      </c>
      <c r="B2941" s="24" t="s">
        <v>543</v>
      </c>
      <c r="C2941" s="54">
        <v>46054</v>
      </c>
      <c r="D2941" s="68" t="s">
        <v>598</v>
      </c>
      <c r="E2941" s="56" t="s">
        <v>858</v>
      </c>
      <c r="F2941" s="57" t="s">
        <v>184</v>
      </c>
    </row>
    <row r="2942" spans="1:10" ht="14.25" customHeight="1" x14ac:dyDescent="0.25">
      <c r="A2942" s="69"/>
      <c r="B2942" s="24" t="s">
        <v>112</v>
      </c>
      <c r="C2942" s="55">
        <f>IF(C2941="","",IF(AND(MONTH(C2941)&gt;=1,MONTH(C2941)&lt;=3),1,IF(AND(MONTH(C2941)&gt;=4,MONTH(C2941)&lt;=6),2,IF(AND(MONTH(C2941)&gt;=7,MONTH(C2941)&lt;=9),3,4))))</f>
        <v>1</v>
      </c>
      <c r="D2942" s="69"/>
      <c r="E2942" s="56" t="s">
        <v>143</v>
      </c>
      <c r="F2942" s="57"/>
    </row>
    <row r="2943" spans="1:10" ht="14.25" customHeight="1" x14ac:dyDescent="0.25">
      <c r="A2943" s="69"/>
      <c r="B2943" s="24" t="s">
        <v>844</v>
      </c>
      <c r="C2943" s="54">
        <v>46112</v>
      </c>
      <c r="D2943" s="69"/>
      <c r="E2943" s="56" t="s">
        <v>183</v>
      </c>
      <c r="F2943" s="57"/>
    </row>
    <row r="2944" spans="1:10" ht="14.25" customHeight="1" x14ac:dyDescent="0.25">
      <c r="A2944" s="69"/>
      <c r="B2944" s="24" t="s">
        <v>112</v>
      </c>
      <c r="C2944" s="55">
        <f>IF(C2943="","",IF(AND(MONTH(C2943)&gt;=1,MONTH(C2943)&lt;=3),1,IF(AND(MONTH(C2943)&gt;=4,MONTH(C2943)&lt;=6),2,IF(AND(MONTH(C2943)&gt;=7,MONTH(C2943)&lt;=9),3,4))))</f>
        <v>1</v>
      </c>
      <c r="D2944" s="69"/>
      <c r="E2944" s="56" t="s">
        <v>865</v>
      </c>
      <c r="F2944" s="57"/>
    </row>
    <row r="2946" spans="1:6" ht="14.25" customHeight="1" x14ac:dyDescent="0.25">
      <c r="A2946" s="29" t="s">
        <v>1017</v>
      </c>
      <c r="B2946" s="29" t="s">
        <v>1042</v>
      </c>
      <c r="C2946" s="29" t="s">
        <v>1011</v>
      </c>
      <c r="D2946" s="29" t="s">
        <v>985</v>
      </c>
      <c r="E2946" s="29" t="s">
        <v>449</v>
      </c>
      <c r="F2946" s="29" t="s">
        <v>989</v>
      </c>
    </row>
    <row r="2947" spans="1:6" ht="14.25" customHeight="1" x14ac:dyDescent="0.25">
      <c r="A2947" s="25" t="s">
        <v>703</v>
      </c>
      <c r="B2947" s="26" t="str">
        <f ca="1">IFERROR(INDEX(UNSPSCDes,MATCH(INDIRECT(ADDRESS(ROW(),COLUMN()-1,4)),UNSPSCCode,0)),IF(INDIRECT(ADDRESS(ROW(),COLUMN()-1,4))="23171511","Herramientas de soldadura",""))</f>
        <v>Herramientas de soldadura</v>
      </c>
      <c r="C2947" s="58" t="str">
        <f>IFERROR(VLOOKUP("UD",'Informacion '!P:Q,2,FALSE),"")</f>
        <v>Unidad</v>
      </c>
      <c r="D2947" s="25">
        <v>5</v>
      </c>
      <c r="E2947" s="28">
        <v>3000</v>
      </c>
      <c r="F2947" s="27">
        <f t="shared" ref="F2947:F2980" ca="1" si="94">INDIRECT(ADDRESS(ROW(),COLUMN()-2,4))*INDIRECT(ADDRESS(ROW(),COLUMN()-1,4))</f>
        <v>15000</v>
      </c>
    </row>
    <row r="2948" spans="1:6" ht="14.25" customHeight="1" x14ac:dyDescent="0.25">
      <c r="A2948" s="25" t="s">
        <v>158</v>
      </c>
      <c r="B2948" s="26" t="str">
        <f ca="1">IFERROR(INDEX(UNSPSCDes,MATCH(INDIRECT(ADDRESS(ROW(),COLUMN()-1,4)),UNSPSCCode,0)),IF(INDIRECT(ADDRESS(ROW(),COLUMN()-1,4))="39121529","Contactores",""))</f>
        <v>Contactores</v>
      </c>
      <c r="C2948" s="58" t="str">
        <f>IFERROR(VLOOKUP("UD",'Informacion '!P:Q,2,FALSE),"")</f>
        <v>Unidad</v>
      </c>
      <c r="D2948" s="25">
        <v>10</v>
      </c>
      <c r="E2948" s="28">
        <v>495</v>
      </c>
      <c r="F2948" s="27">
        <f t="shared" ca="1" si="94"/>
        <v>4950</v>
      </c>
    </row>
    <row r="2949" spans="1:6" ht="14.25" customHeight="1" x14ac:dyDescent="0.25">
      <c r="A2949" s="25" t="s">
        <v>608</v>
      </c>
      <c r="B2949" s="26" t="str">
        <f ca="1">IFERROR(INDEX(UNSPSCDes,MATCH(INDIRECT(ADDRESS(ROW(),COLUMN()-1,4)),UNSPSCCode,0)),IF(INDIRECT(ADDRESS(ROW(),COLUMN()-1,4))="32121501","Capacitores fijos",""))</f>
        <v>Capacitores fijos</v>
      </c>
      <c r="C2949" s="58" t="str">
        <f>IFERROR(VLOOKUP("UD",'Informacion '!P:Q,2,FALSE),"")</f>
        <v>Unidad</v>
      </c>
      <c r="D2949" s="25">
        <v>20</v>
      </c>
      <c r="E2949" s="28">
        <v>104.73</v>
      </c>
      <c r="F2949" s="27">
        <f t="shared" ca="1" si="94"/>
        <v>2094.6</v>
      </c>
    </row>
    <row r="2950" spans="1:6" ht="14.25" customHeight="1" x14ac:dyDescent="0.25">
      <c r="A2950" s="25" t="s">
        <v>608</v>
      </c>
      <c r="B2950" s="26" t="str">
        <f ca="1">IFERROR(INDEX(UNSPSCDes,MATCH(INDIRECT(ADDRESS(ROW(),COLUMN()-1,4)),UNSPSCCode,0)),IF(INDIRECT(ADDRESS(ROW(),COLUMN()-1,4))="32121501","Capacitores fijos",""))</f>
        <v>Capacitores fijos</v>
      </c>
      <c r="C2950" s="58" t="str">
        <f>IFERROR(VLOOKUP("UD",'Informacion '!P:Q,2,FALSE),"")</f>
        <v>Unidad</v>
      </c>
      <c r="D2950" s="25">
        <v>10</v>
      </c>
      <c r="E2950" s="28">
        <v>269.8</v>
      </c>
      <c r="F2950" s="27">
        <f t="shared" ca="1" si="94"/>
        <v>2698</v>
      </c>
    </row>
    <row r="2951" spans="1:6" ht="14.25" customHeight="1" x14ac:dyDescent="0.25">
      <c r="A2951" s="25" t="s">
        <v>608</v>
      </c>
      <c r="B2951" s="26" t="str">
        <f ca="1">IFERROR(INDEX(UNSPSCDes,MATCH(INDIRECT(ADDRESS(ROW(),COLUMN()-1,4)),UNSPSCCode,0)),IF(INDIRECT(ADDRESS(ROW(),COLUMN()-1,4))="32121501","Capacitores fijos",""))</f>
        <v>Capacitores fijos</v>
      </c>
      <c r="C2951" s="58" t="str">
        <f>IFERROR(VLOOKUP("UD",'Informacion '!P:Q,2,FALSE),"")</f>
        <v>Unidad</v>
      </c>
      <c r="D2951" s="25">
        <v>25</v>
      </c>
      <c r="E2951" s="28">
        <v>275</v>
      </c>
      <c r="F2951" s="27">
        <f t="shared" ca="1" si="94"/>
        <v>6875</v>
      </c>
    </row>
    <row r="2952" spans="1:6" ht="14.25" customHeight="1" x14ac:dyDescent="0.25">
      <c r="A2952" s="25" t="s">
        <v>608</v>
      </c>
      <c r="B2952" s="26" t="str">
        <f ca="1">IFERROR(INDEX(UNSPSCDes,MATCH(INDIRECT(ADDRESS(ROW(),COLUMN()-1,4)),UNSPSCCode,0)),IF(INDIRECT(ADDRESS(ROW(),COLUMN()-1,4))="32121501","Capacitores fijos",""))</f>
        <v>Capacitores fijos</v>
      </c>
      <c r="C2952" s="58" t="str">
        <f>IFERROR(VLOOKUP("UD",'Informacion '!P:Q,2,FALSE),"")</f>
        <v>Unidad</v>
      </c>
      <c r="D2952" s="25">
        <v>25</v>
      </c>
      <c r="E2952" s="28">
        <v>275</v>
      </c>
      <c r="F2952" s="27">
        <f t="shared" ca="1" si="94"/>
        <v>6875</v>
      </c>
    </row>
    <row r="2953" spans="1:6" ht="14.25" customHeight="1" x14ac:dyDescent="0.25">
      <c r="A2953" s="25" t="s">
        <v>700</v>
      </c>
      <c r="B2953" s="26" t="str">
        <f t="shared" ref="B2953:B2958" ca="1" si="95">IFERROR(INDEX(UNSPSCDes,MATCH(INDIRECT(ADDRESS(ROW(),COLUMN()-1,4)),UNSPSCCode,0)),IF(INDIRECT(ADDRESS(ROW(),COLUMN()-1,4))="40161505","Filtros de aire",""))</f>
        <v>Filtros de aire</v>
      </c>
      <c r="C2953" s="58" t="str">
        <f>IFERROR(VLOOKUP("UD",'Informacion '!P:Q,2,FALSE),"")</f>
        <v>Unidad</v>
      </c>
      <c r="D2953" s="25">
        <v>10</v>
      </c>
      <c r="E2953" s="28">
        <v>535.5</v>
      </c>
      <c r="F2953" s="27">
        <f t="shared" ca="1" si="94"/>
        <v>5355</v>
      </c>
    </row>
    <row r="2954" spans="1:6" ht="14.25" customHeight="1" x14ac:dyDescent="0.25">
      <c r="A2954" s="25" t="s">
        <v>700</v>
      </c>
      <c r="B2954" s="26" t="str">
        <f t="shared" ca="1" si="95"/>
        <v>Filtros de aire</v>
      </c>
      <c r="C2954" s="58" t="str">
        <f>IFERROR(VLOOKUP("UD",'Informacion '!P:Q,2,FALSE),"")</f>
        <v>Unidad</v>
      </c>
      <c r="D2954" s="25">
        <v>10</v>
      </c>
      <c r="E2954" s="28">
        <v>493.5</v>
      </c>
      <c r="F2954" s="27">
        <f t="shared" ca="1" si="94"/>
        <v>4935</v>
      </c>
    </row>
    <row r="2955" spans="1:6" ht="14.25" customHeight="1" x14ac:dyDescent="0.25">
      <c r="A2955" s="25" t="s">
        <v>700</v>
      </c>
      <c r="B2955" s="26" t="str">
        <f t="shared" ca="1" si="95"/>
        <v>Filtros de aire</v>
      </c>
      <c r="C2955" s="58" t="str">
        <f>IFERROR(VLOOKUP("UD",'Informacion '!P:Q,2,FALSE),"")</f>
        <v>Unidad</v>
      </c>
      <c r="D2955" s="25">
        <v>10</v>
      </c>
      <c r="E2955" s="28">
        <v>493.5</v>
      </c>
      <c r="F2955" s="27">
        <f t="shared" ca="1" si="94"/>
        <v>4935</v>
      </c>
    </row>
    <row r="2956" spans="1:6" ht="14.25" customHeight="1" x14ac:dyDescent="0.25">
      <c r="A2956" s="25" t="s">
        <v>700</v>
      </c>
      <c r="B2956" s="26" t="str">
        <f t="shared" ca="1" si="95"/>
        <v>Filtros de aire</v>
      </c>
      <c r="C2956" s="58" t="str">
        <f>IFERROR(VLOOKUP("UD",'Informacion '!P:Q,2,FALSE),"")</f>
        <v>Unidad</v>
      </c>
      <c r="D2956" s="25">
        <v>10</v>
      </c>
      <c r="E2956" s="28">
        <v>493.5</v>
      </c>
      <c r="F2956" s="27">
        <f t="shared" ca="1" si="94"/>
        <v>4935</v>
      </c>
    </row>
    <row r="2957" spans="1:6" ht="14.25" customHeight="1" x14ac:dyDescent="0.25">
      <c r="A2957" s="25" t="s">
        <v>700</v>
      </c>
      <c r="B2957" s="26" t="str">
        <f t="shared" ca="1" si="95"/>
        <v>Filtros de aire</v>
      </c>
      <c r="C2957" s="58" t="str">
        <f>IFERROR(VLOOKUP("UD",'Informacion '!P:Q,2,FALSE),"")</f>
        <v>Unidad</v>
      </c>
      <c r="D2957" s="25">
        <v>10</v>
      </c>
      <c r="E2957" s="28">
        <v>490.35</v>
      </c>
      <c r="F2957" s="27">
        <f t="shared" ca="1" si="94"/>
        <v>4903.5</v>
      </c>
    </row>
    <row r="2958" spans="1:6" ht="14.25" customHeight="1" x14ac:dyDescent="0.25">
      <c r="A2958" s="25" t="s">
        <v>700</v>
      </c>
      <c r="B2958" s="26" t="str">
        <f t="shared" ca="1" si="95"/>
        <v>Filtros de aire</v>
      </c>
      <c r="C2958" s="58" t="str">
        <f>IFERROR(VLOOKUP("UD",'Informacion '!P:Q,2,FALSE),"")</f>
        <v>Unidad</v>
      </c>
      <c r="D2958" s="25">
        <v>8</v>
      </c>
      <c r="E2958" s="28">
        <v>522.15</v>
      </c>
      <c r="F2958" s="27">
        <f t="shared" ca="1" si="94"/>
        <v>4177.2</v>
      </c>
    </row>
    <row r="2959" spans="1:6" ht="14.25" customHeight="1" x14ac:dyDescent="0.25">
      <c r="A2959" s="25" t="s">
        <v>837</v>
      </c>
      <c r="B2959" s="26" t="str">
        <f ca="1">IFERROR(INDEX(UNSPSCDes,MATCH(INDIRECT(ADDRESS(ROW(),COLUMN()-1,4)),UNSPSCCode,0)),IF(INDIRECT(ADDRESS(ROW(),COLUMN()-1,4))="26111704","Cargadores de baterías",""))</f>
        <v>Cargadores de baterías</v>
      </c>
      <c r="C2959" s="58" t="str">
        <f>IFERROR(VLOOKUP("UD",'Informacion '!P:Q,2,FALSE),"")</f>
        <v>Unidad</v>
      </c>
      <c r="D2959" s="25">
        <v>20</v>
      </c>
      <c r="E2959" s="28">
        <v>425</v>
      </c>
      <c r="F2959" s="27">
        <f t="shared" ca="1" si="94"/>
        <v>8500</v>
      </c>
    </row>
    <row r="2960" spans="1:6" ht="14.25" customHeight="1" x14ac:dyDescent="0.25">
      <c r="A2960" s="25" t="s">
        <v>540</v>
      </c>
      <c r="B2960" s="26" t="str">
        <f ca="1">IFERROR(INDEX(UNSPSCDes,MATCH(INDIRECT(ADDRESS(ROW(),COLUMN()-1,4)),UNSPSCCode,0)),IF(INDIRECT(ADDRESS(ROW(),COLUMN()-1,4))="39121542","Relés de estado sólido",""))</f>
        <v>Relés de estado sólido</v>
      </c>
      <c r="C2960" s="58" t="str">
        <f>IFERROR(VLOOKUP("UD",'Informacion '!P:Q,2,FALSE),"")</f>
        <v>Unidad</v>
      </c>
      <c r="D2960" s="25">
        <v>50</v>
      </c>
      <c r="E2960" s="28">
        <v>300</v>
      </c>
      <c r="F2960" s="27">
        <f t="shared" ca="1" si="94"/>
        <v>15000</v>
      </c>
    </row>
    <row r="2961" spans="1:6" ht="14.25" customHeight="1" x14ac:dyDescent="0.25">
      <c r="A2961" s="25" t="s">
        <v>96</v>
      </c>
      <c r="B2961" s="26" t="str">
        <f ca="1">IFERROR(INDEX(UNSPSCDes,MATCH(INDIRECT(ADDRESS(ROW(),COLUMN()-1,4)),UNSPSCCode,0)),IF(INDIRECT(ADDRESS(ROW(),COLUMN()-1,4))="39121523","Temporizadores",""))</f>
        <v>Temporizadores</v>
      </c>
      <c r="C2961" s="58" t="str">
        <f>IFERROR(VLOOKUP("UD",'Informacion '!P:Q,2,FALSE),"")</f>
        <v>Unidad</v>
      </c>
      <c r="D2961" s="25">
        <v>50</v>
      </c>
      <c r="E2961" s="28">
        <v>224.2</v>
      </c>
      <c r="F2961" s="27">
        <f t="shared" ca="1" si="94"/>
        <v>11210</v>
      </c>
    </row>
    <row r="2962" spans="1:6" ht="14.25" customHeight="1" x14ac:dyDescent="0.25">
      <c r="A2962" s="25" t="s">
        <v>608</v>
      </c>
      <c r="B2962" s="26" t="str">
        <f ca="1">IFERROR(INDEX(UNSPSCDes,MATCH(INDIRECT(ADDRESS(ROW(),COLUMN()-1,4)),UNSPSCCode,0)),IF(INDIRECT(ADDRESS(ROW(),COLUMN()-1,4))="32121501","Capacitores fijos",""))</f>
        <v>Capacitores fijos</v>
      </c>
      <c r="C2962" s="58" t="str">
        <f>IFERROR(VLOOKUP("UD",'Informacion '!P:Q,2,FALSE),"")</f>
        <v>Unidad</v>
      </c>
      <c r="D2962" s="25">
        <v>30</v>
      </c>
      <c r="E2962" s="28">
        <v>849.6</v>
      </c>
      <c r="F2962" s="27">
        <f t="shared" ca="1" si="94"/>
        <v>25488</v>
      </c>
    </row>
    <row r="2963" spans="1:6" ht="14.25" customHeight="1" x14ac:dyDescent="0.25">
      <c r="A2963" s="25" t="s">
        <v>1133</v>
      </c>
      <c r="B2963" s="26" t="str">
        <f t="shared" ref="B2963:B2970" ca="1" si="96">IFERROR(INDEX(UNSPSCDes,MATCH(INDIRECT(ADDRESS(ROW(),COLUMN()-1,4)),UNSPSCCode,0)),IF(INDIRECT(ADDRESS(ROW(),COLUMN()-1,4))="31231302","Tubería de cobre",""))</f>
        <v>Tubería de cobre</v>
      </c>
      <c r="C2963" s="58" t="str">
        <f>IFERROR(VLOOKUP("FT",'Informacion '!P:Q,2,FALSE),"")</f>
        <v>Pie</v>
      </c>
      <c r="D2963" s="25">
        <v>100</v>
      </c>
      <c r="E2963" s="28">
        <v>75</v>
      </c>
      <c r="F2963" s="27">
        <f t="shared" ca="1" si="94"/>
        <v>7500</v>
      </c>
    </row>
    <row r="2964" spans="1:6" ht="14.25" customHeight="1" x14ac:dyDescent="0.25">
      <c r="A2964" s="25" t="s">
        <v>1133</v>
      </c>
      <c r="B2964" s="26" t="str">
        <f t="shared" ca="1" si="96"/>
        <v>Tubería de cobre</v>
      </c>
      <c r="C2964" s="58" t="str">
        <f>IFERROR(VLOOKUP("FT",'Informacion '!P:Q,2,FALSE),"")</f>
        <v>Pie</v>
      </c>
      <c r="D2964" s="25">
        <v>100</v>
      </c>
      <c r="E2964" s="28">
        <v>70</v>
      </c>
      <c r="F2964" s="27">
        <f t="shared" ca="1" si="94"/>
        <v>7000</v>
      </c>
    </row>
    <row r="2965" spans="1:6" ht="14.25" customHeight="1" x14ac:dyDescent="0.25">
      <c r="A2965" s="25" t="s">
        <v>1133</v>
      </c>
      <c r="B2965" s="26" t="str">
        <f t="shared" ca="1" si="96"/>
        <v>Tubería de cobre</v>
      </c>
      <c r="C2965" s="58" t="str">
        <f>IFERROR(VLOOKUP("FT",'Informacion '!P:Q,2,FALSE),"")</f>
        <v>Pie</v>
      </c>
      <c r="D2965" s="25">
        <v>200</v>
      </c>
      <c r="E2965" s="28">
        <v>50</v>
      </c>
      <c r="F2965" s="27">
        <f t="shared" ca="1" si="94"/>
        <v>10000</v>
      </c>
    </row>
    <row r="2966" spans="1:6" ht="14.25" customHeight="1" x14ac:dyDescent="0.25">
      <c r="A2966" s="25" t="s">
        <v>1133</v>
      </c>
      <c r="B2966" s="26" t="str">
        <f t="shared" ca="1" si="96"/>
        <v>Tubería de cobre</v>
      </c>
      <c r="C2966" s="58" t="str">
        <f>IFERROR(VLOOKUP("FT",'Informacion '!P:Q,2,FALSE),"")</f>
        <v>Pie</v>
      </c>
      <c r="D2966" s="25">
        <v>200</v>
      </c>
      <c r="E2966" s="28">
        <v>125</v>
      </c>
      <c r="F2966" s="27">
        <f t="shared" ca="1" si="94"/>
        <v>25000</v>
      </c>
    </row>
    <row r="2967" spans="1:6" ht="14.25" customHeight="1" x14ac:dyDescent="0.25">
      <c r="A2967" s="25" t="s">
        <v>1133</v>
      </c>
      <c r="B2967" s="26" t="str">
        <f t="shared" ca="1" si="96"/>
        <v>Tubería de cobre</v>
      </c>
      <c r="C2967" s="58" t="str">
        <f>IFERROR(VLOOKUP("FT",'Informacion '!P:Q,2,FALSE),"")</f>
        <v>Pie</v>
      </c>
      <c r="D2967" s="25">
        <v>200</v>
      </c>
      <c r="E2967" s="28">
        <v>150</v>
      </c>
      <c r="F2967" s="27">
        <f t="shared" ca="1" si="94"/>
        <v>30000</v>
      </c>
    </row>
    <row r="2968" spans="1:6" ht="14.25" customHeight="1" x14ac:dyDescent="0.25">
      <c r="A2968" s="25" t="s">
        <v>1133</v>
      </c>
      <c r="B2968" s="26" t="str">
        <f t="shared" ca="1" si="96"/>
        <v>Tubería de cobre</v>
      </c>
      <c r="C2968" s="58" t="str">
        <f>IFERROR(VLOOKUP("FT",'Informacion '!P:Q,2,FALSE),"")</f>
        <v>Pie</v>
      </c>
      <c r="D2968" s="25">
        <v>200</v>
      </c>
      <c r="E2968" s="28">
        <v>75</v>
      </c>
      <c r="F2968" s="27">
        <f t="shared" ca="1" si="94"/>
        <v>15000</v>
      </c>
    </row>
    <row r="2969" spans="1:6" ht="14.25" customHeight="1" x14ac:dyDescent="0.25">
      <c r="A2969" s="25" t="s">
        <v>1133</v>
      </c>
      <c r="B2969" s="26" t="str">
        <f t="shared" ca="1" si="96"/>
        <v>Tubería de cobre</v>
      </c>
      <c r="C2969" s="58" t="str">
        <f>IFERROR(VLOOKUP("FT",'Informacion '!P:Q,2,FALSE),"")</f>
        <v>Pie</v>
      </c>
      <c r="D2969" s="25">
        <v>100</v>
      </c>
      <c r="E2969" s="28">
        <v>275</v>
      </c>
      <c r="F2969" s="27">
        <f t="shared" ca="1" si="94"/>
        <v>27500</v>
      </c>
    </row>
    <row r="2970" spans="1:6" ht="14.25" customHeight="1" x14ac:dyDescent="0.25">
      <c r="A2970" s="25" t="s">
        <v>1133</v>
      </c>
      <c r="B2970" s="26" t="str">
        <f t="shared" ca="1" si="96"/>
        <v>Tubería de cobre</v>
      </c>
      <c r="C2970" s="58" t="str">
        <f>IFERROR(VLOOKUP("FT",'Informacion '!P:Q,2,FALSE),"")</f>
        <v>Pie</v>
      </c>
      <c r="D2970" s="25">
        <v>100</v>
      </c>
      <c r="E2970" s="28">
        <v>175</v>
      </c>
      <c r="F2970" s="27">
        <f t="shared" ca="1" si="94"/>
        <v>17500</v>
      </c>
    </row>
    <row r="2971" spans="1:6" ht="14.25" customHeight="1" x14ac:dyDescent="0.25">
      <c r="A2971" s="25" t="s">
        <v>194</v>
      </c>
      <c r="B2971" s="26" t="str">
        <f ca="1">IFERROR(INDEX(UNSPSCDes,MATCH(INDIRECT(ADDRESS(ROW(),COLUMN()-1,4)),UNSPSCCode,0)),IF(INDIRECT(ADDRESS(ROW(),COLUMN()-1,4))="15111509","Gas metilacetileno propadieno mapp",""))</f>
        <v>Gas metilacetileno propadieno mapp</v>
      </c>
      <c r="C2971" s="58" t="str">
        <f>IFERROR(VLOOKUP("UD",'Informacion '!P:Q,2,FALSE),"")</f>
        <v>Unidad</v>
      </c>
      <c r="D2971" s="25">
        <v>15</v>
      </c>
      <c r="E2971" s="28">
        <v>475</v>
      </c>
      <c r="F2971" s="27">
        <f t="shared" ca="1" si="94"/>
        <v>7125</v>
      </c>
    </row>
    <row r="2972" spans="1:6" ht="14.25" customHeight="1" x14ac:dyDescent="0.25">
      <c r="A2972" s="25" t="s">
        <v>158</v>
      </c>
      <c r="B2972" s="26" t="str">
        <f ca="1">IFERROR(INDEX(UNSPSCDes,MATCH(INDIRECT(ADDRESS(ROW(),COLUMN()-1,4)),UNSPSCCode,0)),IF(INDIRECT(ADDRESS(ROW(),COLUMN()-1,4))="39121529","Contactores",""))</f>
        <v>Contactores</v>
      </c>
      <c r="C2972" s="58" t="str">
        <f>IFERROR(VLOOKUP("UD",'Informacion '!P:Q,2,FALSE),"")</f>
        <v>Unidad</v>
      </c>
      <c r="D2972" s="25">
        <v>30</v>
      </c>
      <c r="E2972" s="28">
        <v>650</v>
      </c>
      <c r="F2972" s="27">
        <f t="shared" ca="1" si="94"/>
        <v>19500</v>
      </c>
    </row>
    <row r="2973" spans="1:6" ht="14.25" customHeight="1" x14ac:dyDescent="0.25">
      <c r="A2973" s="25" t="s">
        <v>158</v>
      </c>
      <c r="B2973" s="26" t="str">
        <f ca="1">IFERROR(INDEX(UNSPSCDes,MATCH(INDIRECT(ADDRESS(ROW(),COLUMN()-1,4)),UNSPSCCode,0)),IF(INDIRECT(ADDRESS(ROW(),COLUMN()-1,4))="39121529","Contactores",""))</f>
        <v>Contactores</v>
      </c>
      <c r="C2973" s="58" t="str">
        <f>IFERROR(VLOOKUP("UD",'Informacion '!P:Q,2,FALSE),"")</f>
        <v>Unidad</v>
      </c>
      <c r="D2973" s="25">
        <v>30</v>
      </c>
      <c r="E2973" s="28">
        <v>495</v>
      </c>
      <c r="F2973" s="27">
        <f t="shared" ca="1" si="94"/>
        <v>14850</v>
      </c>
    </row>
    <row r="2974" spans="1:6" ht="14.25" customHeight="1" x14ac:dyDescent="0.25">
      <c r="A2974" s="25" t="s">
        <v>563</v>
      </c>
      <c r="B2974" s="26" t="str">
        <f ca="1">IFERROR(INDEX(UNSPSCDes,MATCH(INDIRECT(ADDRESS(ROW(),COLUMN()-1,4)),UNSPSCCode,0)),IF(INDIRECT(ADDRESS(ROW(),COLUMN()-1,4))="40151502","Bombas de vacío",""))</f>
        <v>Bombas de vacío</v>
      </c>
      <c r="C2974" s="58" t="str">
        <f>IFERROR(VLOOKUP("UD",'Informacion '!P:Q,2,FALSE),"")</f>
        <v>Unidad</v>
      </c>
      <c r="D2974" s="25">
        <v>10</v>
      </c>
      <c r="E2974" s="28">
        <v>3500</v>
      </c>
      <c r="F2974" s="27">
        <f t="shared" ca="1" si="94"/>
        <v>35000</v>
      </c>
    </row>
    <row r="2975" spans="1:6" ht="14.25" customHeight="1" x14ac:dyDescent="0.25">
      <c r="A2975" s="25" t="s">
        <v>402</v>
      </c>
      <c r="B2975" s="26" t="str">
        <f ca="1">IFERROR(INDEX(UNSPSCDes,MATCH(INDIRECT(ADDRESS(ROW(),COLUMN()-1,4)),UNSPSCCode,0)),IF(INDIRECT(ADDRESS(ROW(),COLUMN()-1,4))="12142105","Gas refrigerante ",""))</f>
        <v xml:space="preserve">Gas refrigerante </v>
      </c>
      <c r="C2975" s="58" t="str">
        <f>IFERROR(VLOOKUP("UD",'Informacion '!P:Q,2,FALSE),"")</f>
        <v>Unidad</v>
      </c>
      <c r="D2975" s="25">
        <v>5</v>
      </c>
      <c r="E2975" s="28">
        <v>4500</v>
      </c>
      <c r="F2975" s="27">
        <f t="shared" ca="1" si="94"/>
        <v>22500</v>
      </c>
    </row>
    <row r="2976" spans="1:6" ht="14.25" customHeight="1" x14ac:dyDescent="0.25">
      <c r="A2976" s="25" t="s">
        <v>772</v>
      </c>
      <c r="B2976" s="26" t="str">
        <f ca="1">IFERROR(INDEX(UNSPSCDes,MATCH(INDIRECT(ADDRESS(ROW(),COLUMN()-1,4)),UNSPSCCode,0)),IF(INDIRECT(ADDRESS(ROW(),COLUMN()-1,4))="23171512","Varillas soldadoras",""))</f>
        <v>Varillas soldadoras</v>
      </c>
      <c r="C2976" s="58" t="str">
        <f>IFERROR(VLOOKUP("UD",'Informacion '!P:Q,2,FALSE),"")</f>
        <v>Unidad</v>
      </c>
      <c r="D2976" s="25">
        <v>5</v>
      </c>
      <c r="E2976" s="28">
        <v>1100</v>
      </c>
      <c r="F2976" s="27">
        <f t="shared" ca="1" si="94"/>
        <v>5500</v>
      </c>
    </row>
    <row r="2977" spans="1:10" ht="14.25" customHeight="1" x14ac:dyDescent="0.25">
      <c r="A2977" s="25" t="s">
        <v>402</v>
      </c>
      <c r="B2977" s="26" t="str">
        <f ca="1">IFERROR(INDEX(UNSPSCDes,MATCH(INDIRECT(ADDRESS(ROW(),COLUMN()-1,4)),UNSPSCCode,0)),IF(INDIRECT(ADDRESS(ROW(),COLUMN()-1,4))="12142105","Gas refrigerante ",""))</f>
        <v xml:space="preserve">Gas refrigerante </v>
      </c>
      <c r="C2977" s="58" t="str">
        <f>IFERROR(VLOOKUP("UD",'Informacion '!P:Q,2,FALSE),"")</f>
        <v>Unidad</v>
      </c>
      <c r="D2977" s="25">
        <v>20</v>
      </c>
      <c r="E2977" s="28">
        <v>400</v>
      </c>
      <c r="F2977" s="27">
        <f t="shared" ca="1" si="94"/>
        <v>8000</v>
      </c>
    </row>
    <row r="2978" spans="1:10" ht="14.25" customHeight="1" x14ac:dyDescent="0.25">
      <c r="A2978" s="25" t="s">
        <v>402</v>
      </c>
      <c r="B2978" s="26" t="str">
        <f ca="1">IFERROR(INDEX(UNSPSCDes,MATCH(INDIRECT(ADDRESS(ROW(),COLUMN()-1,4)),UNSPSCCode,0)),IF(INDIRECT(ADDRESS(ROW(),COLUMN()-1,4))="12142105","Gas refrigerante ",""))</f>
        <v xml:space="preserve">Gas refrigerante </v>
      </c>
      <c r="C2978" s="58" t="str">
        <f>IFERROR(VLOOKUP("UD",'Informacion '!P:Q,2,FALSE),"")</f>
        <v>Unidad</v>
      </c>
      <c r="D2978" s="25">
        <v>10</v>
      </c>
      <c r="E2978" s="28">
        <v>950</v>
      </c>
      <c r="F2978" s="27">
        <f t="shared" ca="1" si="94"/>
        <v>9500</v>
      </c>
    </row>
    <row r="2979" spans="1:10" ht="14.25" customHeight="1" x14ac:dyDescent="0.25">
      <c r="A2979" s="25" t="s">
        <v>402</v>
      </c>
      <c r="B2979" s="26" t="str">
        <f ca="1">IFERROR(INDEX(UNSPSCDes,MATCH(INDIRECT(ADDRESS(ROW(),COLUMN()-1,4)),UNSPSCCode,0)),IF(INDIRECT(ADDRESS(ROW(),COLUMN()-1,4))="12142105","Gas refrigerante ",""))</f>
        <v xml:space="preserve">Gas refrigerante </v>
      </c>
      <c r="C2979" s="58" t="str">
        <f>IFERROR(VLOOKUP("UD",'Informacion '!P:Q,2,FALSE),"")</f>
        <v>Unidad</v>
      </c>
      <c r="D2979" s="25">
        <v>15</v>
      </c>
      <c r="E2979" s="28">
        <v>12000</v>
      </c>
      <c r="F2979" s="27">
        <f t="shared" ca="1" si="94"/>
        <v>180000</v>
      </c>
    </row>
    <row r="2980" spans="1:10" ht="14.25" customHeight="1" x14ac:dyDescent="0.25">
      <c r="A2980" s="25" t="s">
        <v>402</v>
      </c>
      <c r="B2980" s="26" t="str">
        <f ca="1">IFERROR(INDEX(UNSPSCDes,MATCH(INDIRECT(ADDRESS(ROW(),COLUMN()-1,4)),UNSPSCCode,0)),IF(INDIRECT(ADDRESS(ROW(),COLUMN()-1,4))="12142105","Gas refrigerante ",""))</f>
        <v xml:space="preserve">Gas refrigerante </v>
      </c>
      <c r="C2980" s="58" t="str">
        <f>IFERROR(VLOOKUP("UD",'Informacion '!P:Q,2,FALSE),"")</f>
        <v>Unidad</v>
      </c>
      <c r="D2980" s="25">
        <v>10</v>
      </c>
      <c r="E2980" s="28">
        <v>8000</v>
      </c>
      <c r="F2980" s="27">
        <f t="shared" ca="1" si="94"/>
        <v>80000</v>
      </c>
    </row>
    <row r="2981" spans="1:10" ht="14.25" customHeight="1" x14ac:dyDescent="0.25">
      <c r="E2981" s="30" t="s">
        <v>816</v>
      </c>
      <c r="F2981" s="31">
        <f ca="1">SUM(Table158[MONTO TOTAL ESTIMADO])</f>
        <v>649406.30000000005</v>
      </c>
      <c r="H2981" s="21" t="str">
        <f>C2940</f>
        <v>Bienes</v>
      </c>
      <c r="I2981" s="21" t="str">
        <f>E2940</f>
        <v>Sí</v>
      </c>
      <c r="J2981" s="21" t="str">
        <f>D2940</f>
        <v>Compras Menores</v>
      </c>
    </row>
    <row r="2983" spans="1:10" ht="33.950000000000003" customHeight="1" x14ac:dyDescent="0.25">
      <c r="A2983" s="22" t="s">
        <v>1051</v>
      </c>
      <c r="B2983" s="22" t="s">
        <v>11</v>
      </c>
      <c r="C2983" s="22" t="s">
        <v>751</v>
      </c>
      <c r="D2983" s="22" t="s">
        <v>930</v>
      </c>
      <c r="E2983" s="22" t="s">
        <v>699</v>
      </c>
      <c r="F2983" s="22" t="s">
        <v>710</v>
      </c>
    </row>
    <row r="2984" spans="1:10" ht="14.25" customHeight="1" x14ac:dyDescent="0.25">
      <c r="A2984" s="23" t="s">
        <v>679</v>
      </c>
      <c r="B2984" s="23" t="s">
        <v>679</v>
      </c>
      <c r="C2984" s="23" t="s">
        <v>1155</v>
      </c>
      <c r="D2984" s="23" t="s">
        <v>1128</v>
      </c>
      <c r="E2984" s="23" t="s">
        <v>561</v>
      </c>
      <c r="F2984" s="23" t="s">
        <v>436</v>
      </c>
    </row>
    <row r="2985" spans="1:10" ht="14.25" customHeight="1" x14ac:dyDescent="0.25">
      <c r="A2985" s="68" t="s">
        <v>965</v>
      </c>
      <c r="B2985" s="24" t="s">
        <v>543</v>
      </c>
      <c r="C2985" s="54">
        <v>46058</v>
      </c>
      <c r="D2985" s="68" t="s">
        <v>598</v>
      </c>
      <c r="E2985" s="56" t="s">
        <v>858</v>
      </c>
      <c r="F2985" s="57"/>
    </row>
    <row r="2986" spans="1:10" ht="14.25" customHeight="1" x14ac:dyDescent="0.25">
      <c r="A2986" s="69"/>
      <c r="B2986" s="24" t="s">
        <v>112</v>
      </c>
      <c r="C2986" s="55">
        <f>IF(C2985="","",IF(AND(MONTH(C2985)&gt;=1,MONTH(C2985)&lt;=3),1,IF(AND(MONTH(C2985)&gt;=4,MONTH(C2985)&lt;=6),2,IF(AND(MONTH(C2985)&gt;=7,MONTH(C2985)&lt;=9),3,4))))</f>
        <v>1</v>
      </c>
      <c r="D2986" s="69"/>
      <c r="E2986" s="56" t="s">
        <v>143</v>
      </c>
      <c r="F2986" s="57"/>
    </row>
    <row r="2987" spans="1:10" ht="14.25" customHeight="1" x14ac:dyDescent="0.25">
      <c r="A2987" s="69"/>
      <c r="B2987" s="24" t="s">
        <v>844</v>
      </c>
      <c r="C2987" s="54">
        <v>46112</v>
      </c>
      <c r="D2987" s="69"/>
      <c r="E2987" s="56" t="s">
        <v>183</v>
      </c>
      <c r="F2987" s="57"/>
    </row>
    <row r="2988" spans="1:10" ht="14.25" customHeight="1" x14ac:dyDescent="0.25">
      <c r="A2988" s="69"/>
      <c r="B2988" s="24" t="s">
        <v>112</v>
      </c>
      <c r="C2988" s="55">
        <f>IF(C2987="","",IF(AND(MONTH(C2987)&gt;=1,MONTH(C2987)&lt;=3),1,IF(AND(MONTH(C2987)&gt;=4,MONTH(C2987)&lt;=6),2,IF(AND(MONTH(C2987)&gt;=7,MONTH(C2987)&lt;=9),3,4))))</f>
        <v>1</v>
      </c>
      <c r="D2988" s="69"/>
      <c r="E2988" s="56" t="s">
        <v>865</v>
      </c>
      <c r="F2988" s="57"/>
    </row>
    <row r="2990" spans="1:10" ht="14.25" customHeight="1" x14ac:dyDescent="0.25">
      <c r="A2990" s="29" t="s">
        <v>1017</v>
      </c>
      <c r="B2990" s="29" t="s">
        <v>1042</v>
      </c>
      <c r="C2990" s="29" t="s">
        <v>1011</v>
      </c>
      <c r="D2990" s="29" t="s">
        <v>985</v>
      </c>
      <c r="E2990" s="29" t="s">
        <v>449</v>
      </c>
      <c r="F2990" s="29" t="s">
        <v>989</v>
      </c>
    </row>
    <row r="2991" spans="1:10" ht="14.25" customHeight="1" x14ac:dyDescent="0.25">
      <c r="A2991" s="25" t="s">
        <v>872</v>
      </c>
      <c r="B2991" s="26" t="str">
        <f ca="1">IFERROR(INDEX(UNSPSCDes,MATCH(INDIRECT(ADDRESS(ROW(),COLUMN()-1,4)),UNSPSCCode,0)),IF(INDIRECT(ADDRESS(ROW(),COLUMN()-1,4))="14111537","Etiquetas de papel",""))</f>
        <v>Etiquetas de papel</v>
      </c>
      <c r="C2991" s="58" t="str">
        <f>IFERROR(VLOOKUP("CAJ",'Informacion '!P:Q,2,FALSE),"")</f>
        <v>Caja</v>
      </c>
      <c r="D2991" s="25">
        <v>50</v>
      </c>
      <c r="E2991" s="28">
        <v>64.900000000000006</v>
      </c>
      <c r="F2991" s="27">
        <f t="shared" ref="F2991:F3001" ca="1" si="97">INDIRECT(ADDRESS(ROW(),COLUMN()-2,4))*INDIRECT(ADDRESS(ROW(),COLUMN()-1,4))</f>
        <v>3245.0000000000005</v>
      </c>
    </row>
    <row r="2992" spans="1:10" ht="14.25" customHeight="1" x14ac:dyDescent="0.25">
      <c r="A2992" s="25" t="s">
        <v>284</v>
      </c>
      <c r="B2992" s="26" t="str">
        <f ca="1">IFERROR(INDEX(UNSPSCDes,MATCH(INDIRECT(ADDRESS(ROW(),COLUMN()-1,4)),UNSPSCCode,0)),IF(INDIRECT(ADDRESS(ROW(),COLUMN()-1,4))="14111514","Blocs o cuadernos de papel",""))</f>
        <v>Blocs o cuadernos de papel</v>
      </c>
      <c r="C2992" s="58" t="str">
        <f>IFERROR(VLOOKUP("UD",'Informacion '!P:Q,2,FALSE),"")</f>
        <v>Unidad</v>
      </c>
      <c r="D2992" s="25">
        <v>200</v>
      </c>
      <c r="E2992" s="28">
        <v>53.1</v>
      </c>
      <c r="F2992" s="27">
        <f t="shared" ca="1" si="97"/>
        <v>10620</v>
      </c>
    </row>
    <row r="2993" spans="1:10" ht="14.25" customHeight="1" x14ac:dyDescent="0.25">
      <c r="A2993" s="25" t="s">
        <v>284</v>
      </c>
      <c r="B2993" s="26" t="str">
        <f ca="1">IFERROR(INDEX(UNSPSCDes,MATCH(INDIRECT(ADDRESS(ROW(),COLUMN()-1,4)),UNSPSCCode,0)),IF(INDIRECT(ADDRESS(ROW(),COLUMN()-1,4))="14111514","Blocs o cuadernos de papel",""))</f>
        <v>Blocs o cuadernos de papel</v>
      </c>
      <c r="C2993" s="58" t="str">
        <f>IFERROR(VLOOKUP("UD",'Informacion '!P:Q,2,FALSE),"")</f>
        <v>Unidad</v>
      </c>
      <c r="D2993" s="25">
        <v>200</v>
      </c>
      <c r="E2993" s="28">
        <v>75.52</v>
      </c>
      <c r="F2993" s="27">
        <f t="shared" ca="1" si="97"/>
        <v>15104</v>
      </c>
    </row>
    <row r="2994" spans="1:10" ht="14.25" customHeight="1" x14ac:dyDescent="0.25">
      <c r="A2994" s="25" t="s">
        <v>883</v>
      </c>
      <c r="B2994" s="26" t="str">
        <f ca="1">IFERROR(INDEX(UNSPSCDes,MATCH(INDIRECT(ADDRESS(ROW(),COLUMN()-1,4)),UNSPSCCode,0)),IF(INDIRECT(ADDRESS(ROW(),COLUMN()-1,4))="14111530","Papel de notas autoadhesivas",""))</f>
        <v>Papel de notas autoadhesivas</v>
      </c>
      <c r="C2994" s="58" t="str">
        <f>IFERROR(VLOOKUP("UD",'Informacion '!P:Q,2,FALSE),"")</f>
        <v>Unidad</v>
      </c>
      <c r="D2994" s="25">
        <v>600</v>
      </c>
      <c r="E2994" s="28">
        <v>41.3</v>
      </c>
      <c r="F2994" s="27">
        <f t="shared" ca="1" si="97"/>
        <v>24780</v>
      </c>
    </row>
    <row r="2995" spans="1:10" ht="14.25" customHeight="1" x14ac:dyDescent="0.25">
      <c r="A2995" s="25" t="s">
        <v>883</v>
      </c>
      <c r="B2995" s="26" t="str">
        <f ca="1">IFERROR(INDEX(UNSPSCDes,MATCH(INDIRECT(ADDRESS(ROW(),COLUMN()-1,4)),UNSPSCCode,0)),IF(INDIRECT(ADDRESS(ROW(),COLUMN()-1,4))="14111530","Papel de notas autoadhesivas",""))</f>
        <v>Papel de notas autoadhesivas</v>
      </c>
      <c r="C2995" s="58" t="str">
        <f>IFERROR(VLOOKUP("UD",'Informacion '!P:Q,2,FALSE),"")</f>
        <v>Unidad</v>
      </c>
      <c r="D2995" s="25">
        <v>600</v>
      </c>
      <c r="E2995" s="28">
        <v>60.18</v>
      </c>
      <c r="F2995" s="27">
        <f t="shared" ca="1" si="97"/>
        <v>36108</v>
      </c>
    </row>
    <row r="2996" spans="1:10" ht="14.25" customHeight="1" x14ac:dyDescent="0.25">
      <c r="A2996" s="25" t="s">
        <v>877</v>
      </c>
      <c r="B2996" s="26" t="str">
        <f ca="1">IFERROR(INDEX(UNSPSCDes,MATCH(INDIRECT(ADDRESS(ROW(),COLUMN()-1,4)),UNSPSCCode,0)),IF(INDIRECT(ADDRESS(ROW(),COLUMN()-1,4))="14111507","Papel para impresora o fotocopiadora",""))</f>
        <v>Papel para impresora o fotocopiadora</v>
      </c>
      <c r="C2996" s="58" t="str">
        <f>IFERROR(VLOOKUP("RESMA",'Informacion '!P:Q,2,FALSE),"")</f>
        <v>Resma</v>
      </c>
      <c r="D2996" s="25">
        <v>2750</v>
      </c>
      <c r="E2996" s="28">
        <v>341.02</v>
      </c>
      <c r="F2996" s="27">
        <f t="shared" ca="1" si="97"/>
        <v>937805</v>
      </c>
    </row>
    <row r="2997" spans="1:10" ht="14.25" customHeight="1" x14ac:dyDescent="0.25">
      <c r="A2997" s="25" t="s">
        <v>771</v>
      </c>
      <c r="B2997" s="26" t="str">
        <f ca="1">IFERROR(INDEX(UNSPSCDes,MATCH(INDIRECT(ADDRESS(ROW(),COLUMN()-1,4)),UNSPSCCode,0)),IF(INDIRECT(ADDRESS(ROW(),COLUMN()-1,4))="14111527","Papel autocopiante",""))</f>
        <v>Papel autocopiante</v>
      </c>
      <c r="C2997" s="58" t="str">
        <f>IFERROR(VLOOKUP("CAJ",'Informacion '!P:Q,2,FALSE),"")</f>
        <v>Caja</v>
      </c>
      <c r="D2997" s="25">
        <v>10</v>
      </c>
      <c r="E2997" s="28">
        <v>233.64</v>
      </c>
      <c r="F2997" s="27">
        <f t="shared" ca="1" si="97"/>
        <v>2336.3999999999996</v>
      </c>
    </row>
    <row r="2998" spans="1:10" ht="14.25" customHeight="1" x14ac:dyDescent="0.25">
      <c r="A2998" s="25" t="s">
        <v>883</v>
      </c>
      <c r="B2998" s="26" t="str">
        <f ca="1">IFERROR(INDEX(UNSPSCDes,MATCH(INDIRECT(ADDRESS(ROW(),COLUMN()-1,4)),UNSPSCCode,0)),IF(INDIRECT(ADDRESS(ROW(),COLUMN()-1,4))="14111530","Papel de notas autoadhesivas",""))</f>
        <v>Papel de notas autoadhesivas</v>
      </c>
      <c r="C2998" s="58" t="str">
        <f>IFERROR(VLOOKUP("UD",'Informacion '!P:Q,2,FALSE),"")</f>
        <v>Unidad</v>
      </c>
      <c r="D2998" s="25">
        <v>100</v>
      </c>
      <c r="E2998" s="28">
        <v>67.260000000000005</v>
      </c>
      <c r="F2998" s="27">
        <f t="shared" ca="1" si="97"/>
        <v>6726.0000000000009</v>
      </c>
    </row>
    <row r="2999" spans="1:10" ht="14.25" customHeight="1" x14ac:dyDescent="0.25">
      <c r="A2999" s="25" t="s">
        <v>733</v>
      </c>
      <c r="B2999" s="26" t="str">
        <f ca="1">IFERROR(INDEX(UNSPSCDes,MATCH(INDIRECT(ADDRESS(ROW(),COLUMN()-1,4)),UNSPSCCode,0)),IF(INDIRECT(ADDRESS(ROW(),COLUMN()-1,4))="14111515","Papel para sumadora o máquina registradora",""))</f>
        <v>Papel para sumadora o máquina registradora</v>
      </c>
      <c r="C2999" s="58" t="str">
        <f>IFERROR(VLOOKUP("UD",'Informacion '!P:Q,2,FALSE),"")</f>
        <v>Unidad</v>
      </c>
      <c r="D2999" s="25">
        <v>100</v>
      </c>
      <c r="E2999" s="28">
        <v>29.5</v>
      </c>
      <c r="F2999" s="27">
        <f t="shared" ca="1" si="97"/>
        <v>2950</v>
      </c>
    </row>
    <row r="3000" spans="1:10" ht="14.25" customHeight="1" x14ac:dyDescent="0.25">
      <c r="A3000" s="25" t="s">
        <v>76</v>
      </c>
      <c r="B3000" s="26" t="str">
        <f ca="1">IFERROR(INDEX(UNSPSCDes,MATCH(INDIRECT(ADDRESS(ROW(),COLUMN()-1,4)),UNSPSCCode,0)),IF(INDIRECT(ADDRESS(ROW(),COLUMN()-1,4))="14111510","Papel para plotter",""))</f>
        <v>Papel para plotter</v>
      </c>
      <c r="C3000" s="58" t="str">
        <f>IFERROR(VLOOKUP("UD",'Informacion '!P:Q,2,FALSE),"")</f>
        <v>Unidad</v>
      </c>
      <c r="D3000" s="25">
        <v>75</v>
      </c>
      <c r="E3000" s="28">
        <v>1121</v>
      </c>
      <c r="F3000" s="27">
        <f t="shared" ca="1" si="97"/>
        <v>84075</v>
      </c>
    </row>
    <row r="3001" spans="1:10" ht="14.25" customHeight="1" x14ac:dyDescent="0.25">
      <c r="A3001" s="25" t="s">
        <v>1177</v>
      </c>
      <c r="B3001" s="26" t="str">
        <f ca="1">IFERROR(INDEX(UNSPSCDes,MATCH(INDIRECT(ADDRESS(ROW(),COLUMN()-1,4)),UNSPSCCode,0)),IF(INDIRECT(ADDRESS(ROW(),COLUMN()-1,4))="14111508","Papel para fax",""))</f>
        <v>Papel para fax</v>
      </c>
      <c r="C3001" s="58" t="str">
        <f>IFERROR(VLOOKUP("CAJ",'Informacion '!P:Q,2,FALSE),"")</f>
        <v>Caja</v>
      </c>
      <c r="D3001" s="25">
        <v>1</v>
      </c>
      <c r="E3001" s="28">
        <v>400</v>
      </c>
      <c r="F3001" s="27">
        <f t="shared" ca="1" si="97"/>
        <v>400</v>
      </c>
    </row>
    <row r="3002" spans="1:10" ht="14.25" customHeight="1" x14ac:dyDescent="0.25">
      <c r="E3002" s="30" t="s">
        <v>816</v>
      </c>
      <c r="F3002" s="31">
        <f ca="1">SUM(Table159[MONTO TOTAL ESTIMADO])</f>
        <v>1124149.3999999999</v>
      </c>
      <c r="H3002" s="21" t="str">
        <f>C2984</f>
        <v>Bienes</v>
      </c>
      <c r="I3002" s="21" t="str">
        <f>E2984</f>
        <v>Sí</v>
      </c>
      <c r="J3002" s="21" t="str">
        <f>D2984</f>
        <v>Compras Menores</v>
      </c>
    </row>
    <row r="3004" spans="1:10" ht="33.950000000000003" customHeight="1" x14ac:dyDescent="0.25">
      <c r="A3004" s="22" t="s">
        <v>1051</v>
      </c>
      <c r="B3004" s="22" t="s">
        <v>11</v>
      </c>
      <c r="C3004" s="22" t="s">
        <v>751</v>
      </c>
      <c r="D3004" s="22" t="s">
        <v>930</v>
      </c>
      <c r="E3004" s="22" t="s">
        <v>699</v>
      </c>
      <c r="F3004" s="22" t="s">
        <v>710</v>
      </c>
    </row>
    <row r="3005" spans="1:10" ht="14.25" customHeight="1" x14ac:dyDescent="0.25">
      <c r="A3005" s="23" t="s">
        <v>21</v>
      </c>
      <c r="B3005" s="23" t="s">
        <v>21</v>
      </c>
      <c r="C3005" s="23" t="s">
        <v>1155</v>
      </c>
      <c r="D3005" s="23" t="s">
        <v>1128</v>
      </c>
      <c r="E3005" s="23" t="s">
        <v>1156</v>
      </c>
      <c r="F3005" s="23" t="s">
        <v>436</v>
      </c>
    </row>
    <row r="3006" spans="1:10" ht="14.25" customHeight="1" x14ac:dyDescent="0.25">
      <c r="A3006" s="68" t="s">
        <v>965</v>
      </c>
      <c r="B3006" s="24" t="s">
        <v>543</v>
      </c>
      <c r="C3006" s="54">
        <v>46113</v>
      </c>
      <c r="D3006" s="68" t="s">
        <v>598</v>
      </c>
      <c r="E3006" s="56" t="s">
        <v>858</v>
      </c>
      <c r="F3006" s="57" t="s">
        <v>184</v>
      </c>
    </row>
    <row r="3007" spans="1:10" ht="14.25" customHeight="1" x14ac:dyDescent="0.25">
      <c r="A3007" s="69"/>
      <c r="B3007" s="24" t="s">
        <v>112</v>
      </c>
      <c r="C3007" s="55">
        <f>IF(C3006="","",IF(AND(MONTH(C3006)&gt;=1,MONTH(C3006)&lt;=3),1,IF(AND(MONTH(C3006)&gt;=4,MONTH(C3006)&lt;=6),2,IF(AND(MONTH(C3006)&gt;=7,MONTH(C3006)&lt;=9),3,4))))</f>
        <v>2</v>
      </c>
      <c r="D3007" s="69"/>
      <c r="E3007" s="56" t="s">
        <v>143</v>
      </c>
      <c r="F3007" s="57"/>
    </row>
    <row r="3008" spans="1:10" ht="14.25" customHeight="1" x14ac:dyDescent="0.25">
      <c r="A3008" s="69"/>
      <c r="B3008" s="24" t="s">
        <v>844</v>
      </c>
      <c r="C3008" s="54">
        <v>46173</v>
      </c>
      <c r="D3008" s="69"/>
      <c r="E3008" s="56" t="s">
        <v>183</v>
      </c>
      <c r="F3008" s="57"/>
    </row>
    <row r="3009" spans="1:10" ht="14.25" customHeight="1" x14ac:dyDescent="0.25">
      <c r="A3009" s="69"/>
      <c r="B3009" s="24" t="s">
        <v>112</v>
      </c>
      <c r="C3009" s="55">
        <f>IF(C3008="","",IF(AND(MONTH(C3008)&gt;=1,MONTH(C3008)&lt;=3),1,IF(AND(MONTH(C3008)&gt;=4,MONTH(C3008)&lt;=6),2,IF(AND(MONTH(C3008)&gt;=7,MONTH(C3008)&lt;=9),3,4))))</f>
        <v>2</v>
      </c>
      <c r="D3009" s="69"/>
      <c r="E3009" s="56" t="s">
        <v>865</v>
      </c>
      <c r="F3009" s="57"/>
    </row>
    <row r="3011" spans="1:10" ht="14.25" customHeight="1" x14ac:dyDescent="0.25">
      <c r="A3011" s="29" t="s">
        <v>1017</v>
      </c>
      <c r="B3011" s="29" t="s">
        <v>1042</v>
      </c>
      <c r="C3011" s="29" t="s">
        <v>1011</v>
      </c>
      <c r="D3011" s="29" t="s">
        <v>985</v>
      </c>
      <c r="E3011" s="29" t="s">
        <v>449</v>
      </c>
      <c r="F3011" s="29" t="s">
        <v>989</v>
      </c>
    </row>
    <row r="3012" spans="1:10" ht="14.25" customHeight="1" x14ac:dyDescent="0.25">
      <c r="A3012" s="25" t="s">
        <v>761</v>
      </c>
      <c r="B3012" s="26" t="str">
        <f ca="1">IFERROR(INDEX(UNSPSCDes,MATCH(INDIRECT(ADDRESS(ROW(),COLUMN()-1,4)),UNSPSCCode,0)),IF(INDIRECT(ADDRESS(ROW(),COLUMN()-1,4))="76121501","Recolección o destrucción o transformación o eliminación de basuras",""))</f>
        <v>Recolección o destrucción o transformación o eliminación de basuras</v>
      </c>
      <c r="C3012" s="58" t="str">
        <f>IFERROR(VLOOKUP("UD",'Informacion '!P:Q,2,FALSE),"")</f>
        <v>Unidad</v>
      </c>
      <c r="D3012" s="25">
        <v>1</v>
      </c>
      <c r="E3012" s="28">
        <v>500000</v>
      </c>
      <c r="F3012" s="27">
        <f ca="1">INDIRECT(ADDRESS(ROW(),COLUMN()-2,4))*INDIRECT(ADDRESS(ROW(),COLUMN()-1,4))</f>
        <v>500000</v>
      </c>
    </row>
    <row r="3013" spans="1:10" ht="14.25" customHeight="1" x14ac:dyDescent="0.25">
      <c r="A3013" s="25" t="s">
        <v>761</v>
      </c>
      <c r="B3013" s="26" t="str">
        <f ca="1">IFERROR(INDEX(UNSPSCDes,MATCH(INDIRECT(ADDRESS(ROW(),COLUMN()-1,4)),UNSPSCCode,0)),IF(INDIRECT(ADDRESS(ROW(),COLUMN()-1,4))="76121501","Recolección o destrucción o transformación o eliminación de basuras",""))</f>
        <v>Recolección o destrucción o transformación o eliminación de basuras</v>
      </c>
      <c r="C3013" s="58" t="str">
        <f>IFERROR(VLOOKUP("UD",'Informacion '!P:Q,2,FALSE),"")</f>
        <v>Unidad</v>
      </c>
      <c r="D3013" s="25">
        <v>1</v>
      </c>
      <c r="E3013" s="28">
        <v>500000</v>
      </c>
      <c r="F3013" s="27">
        <f ca="1">INDIRECT(ADDRESS(ROW(),COLUMN()-2,4))*INDIRECT(ADDRESS(ROW(),COLUMN()-1,4))</f>
        <v>500000</v>
      </c>
    </row>
    <row r="3014" spans="1:10" ht="14.25" customHeight="1" x14ac:dyDescent="0.25">
      <c r="E3014" s="30" t="s">
        <v>816</v>
      </c>
      <c r="F3014" s="31">
        <f ca="1">SUM(Table160[MONTO TOTAL ESTIMADO])</f>
        <v>1000000</v>
      </c>
      <c r="H3014" s="21" t="str">
        <f>C3005</f>
        <v>Bienes</v>
      </c>
      <c r="I3014" s="21" t="str">
        <f>E3005</f>
        <v>No</v>
      </c>
      <c r="J3014" s="21" t="str">
        <f>D3005</f>
        <v>Compras Menores</v>
      </c>
    </row>
    <row r="3016" spans="1:10" ht="33.950000000000003" customHeight="1" x14ac:dyDescent="0.25">
      <c r="A3016" s="22" t="s">
        <v>1051</v>
      </c>
      <c r="B3016" s="22" t="s">
        <v>11</v>
      </c>
      <c r="C3016" s="22" t="s">
        <v>751</v>
      </c>
      <c r="D3016" s="22" t="s">
        <v>930</v>
      </c>
      <c r="E3016" s="22" t="s">
        <v>699</v>
      </c>
      <c r="F3016" s="22" t="s">
        <v>710</v>
      </c>
    </row>
    <row r="3017" spans="1:10" ht="14.25" customHeight="1" x14ac:dyDescent="0.25">
      <c r="A3017" s="23" t="s">
        <v>631</v>
      </c>
      <c r="B3017" s="23" t="s">
        <v>631</v>
      </c>
      <c r="C3017" s="23" t="s">
        <v>1155</v>
      </c>
      <c r="D3017" s="23" t="s">
        <v>654</v>
      </c>
      <c r="E3017" s="23" t="s">
        <v>1156</v>
      </c>
      <c r="F3017" s="23" t="s">
        <v>436</v>
      </c>
    </row>
    <row r="3018" spans="1:10" ht="14.25" customHeight="1" x14ac:dyDescent="0.25">
      <c r="A3018" s="68" t="s">
        <v>965</v>
      </c>
      <c r="B3018" s="24" t="s">
        <v>543</v>
      </c>
      <c r="C3018" s="54">
        <v>46054</v>
      </c>
      <c r="D3018" s="68" t="s">
        <v>598</v>
      </c>
      <c r="E3018" s="56" t="s">
        <v>858</v>
      </c>
      <c r="F3018" s="57"/>
    </row>
    <row r="3019" spans="1:10" ht="14.25" customHeight="1" x14ac:dyDescent="0.25">
      <c r="A3019" s="69"/>
      <c r="B3019" s="24" t="s">
        <v>112</v>
      </c>
      <c r="C3019" s="55">
        <f>IF(C3018="","",IF(AND(MONTH(C3018)&gt;=1,MONTH(C3018)&lt;=3),1,IF(AND(MONTH(C3018)&gt;=4,MONTH(C3018)&lt;=6),2,IF(AND(MONTH(C3018)&gt;=7,MONTH(C3018)&lt;=9),3,4))))</f>
        <v>1</v>
      </c>
      <c r="D3019" s="69"/>
      <c r="E3019" s="56" t="s">
        <v>143</v>
      </c>
      <c r="F3019" s="57"/>
    </row>
    <row r="3020" spans="1:10" ht="14.25" customHeight="1" x14ac:dyDescent="0.25">
      <c r="A3020" s="69"/>
      <c r="B3020" s="24" t="s">
        <v>844</v>
      </c>
      <c r="C3020" s="54">
        <v>46082</v>
      </c>
      <c r="D3020" s="69"/>
      <c r="E3020" s="56" t="s">
        <v>183</v>
      </c>
      <c r="F3020" s="57"/>
    </row>
    <row r="3021" spans="1:10" ht="14.25" customHeight="1" x14ac:dyDescent="0.25">
      <c r="A3021" s="69"/>
      <c r="B3021" s="24" t="s">
        <v>112</v>
      </c>
      <c r="C3021" s="55">
        <f>IF(C3020="","",IF(AND(MONTH(C3020)&gt;=1,MONTH(C3020)&lt;=3),1,IF(AND(MONTH(C3020)&gt;=4,MONTH(C3020)&lt;=6),2,IF(AND(MONTH(C3020)&gt;=7,MONTH(C3020)&lt;=9),3,4))))</f>
        <v>1</v>
      </c>
      <c r="D3021" s="69"/>
      <c r="E3021" s="56" t="s">
        <v>865</v>
      </c>
      <c r="F3021" s="57"/>
    </row>
    <row r="3023" spans="1:10" ht="14.25" customHeight="1" x14ac:dyDescent="0.25">
      <c r="A3023" s="29" t="s">
        <v>1017</v>
      </c>
      <c r="B3023" s="29" t="s">
        <v>1042</v>
      </c>
      <c r="C3023" s="29" t="s">
        <v>1011</v>
      </c>
      <c r="D3023" s="29" t="s">
        <v>985</v>
      </c>
      <c r="E3023" s="29" t="s">
        <v>449</v>
      </c>
      <c r="F3023" s="29" t="s">
        <v>989</v>
      </c>
    </row>
    <row r="3024" spans="1:10" ht="14.25" customHeight="1" x14ac:dyDescent="0.25">
      <c r="A3024" s="25" t="s">
        <v>862</v>
      </c>
      <c r="B3024" s="26" t="str">
        <f ca="1">IFERROR(INDEX(UNSPSCDes,MATCH(INDIRECT(ADDRESS(ROW(),COLUMN()-1,4)),UNSPSCCode,0)),IF(INDIRECT(ADDRESS(ROW(),COLUMN()-1,4))="85121801","Servicios de laboratorios de análisis de sangre",""))</f>
        <v>Servicios de laboratorios de análisis de sangre</v>
      </c>
      <c r="C3024" s="58" t="str">
        <f>IFERROR(VLOOKUP("UD",'Informacion '!P:Q,2,FALSE),"")</f>
        <v>Unidad</v>
      </c>
      <c r="D3024" s="25">
        <v>75</v>
      </c>
      <c r="E3024" s="28">
        <v>1410</v>
      </c>
      <c r="F3024" s="27">
        <f ca="1">INDIRECT(ADDRESS(ROW(),COLUMN()-2,4))*INDIRECT(ADDRESS(ROW(),COLUMN()-1,4))</f>
        <v>105750</v>
      </c>
    </row>
    <row r="3025" spans="1:10" ht="14.25" customHeight="1" x14ac:dyDescent="0.25">
      <c r="E3025" s="30" t="s">
        <v>816</v>
      </c>
      <c r="F3025" s="31">
        <f ca="1">SUM(Table161[MONTO TOTAL ESTIMADO])</f>
        <v>105750</v>
      </c>
      <c r="H3025" s="21" t="str">
        <f>C3017</f>
        <v>Bienes</v>
      </c>
      <c r="I3025" s="21" t="str">
        <f>E3017</f>
        <v>No</v>
      </c>
      <c r="J3025" s="21" t="str">
        <f>D3017</f>
        <v>Compras por debajo del Umbral</v>
      </c>
    </row>
    <row r="3027" spans="1:10" ht="33.950000000000003" customHeight="1" x14ac:dyDescent="0.25">
      <c r="A3027" s="22" t="s">
        <v>1051</v>
      </c>
      <c r="B3027" s="22" t="s">
        <v>11</v>
      </c>
      <c r="C3027" s="22" t="s">
        <v>751</v>
      </c>
      <c r="D3027" s="22" t="s">
        <v>930</v>
      </c>
      <c r="E3027" s="22" t="s">
        <v>699</v>
      </c>
      <c r="F3027" s="22" t="s">
        <v>710</v>
      </c>
    </row>
    <row r="3028" spans="1:10" ht="14.25" customHeight="1" x14ac:dyDescent="0.25">
      <c r="A3028" s="23" t="s">
        <v>174</v>
      </c>
      <c r="B3028" s="23" t="s">
        <v>174</v>
      </c>
      <c r="C3028" s="23" t="s">
        <v>604</v>
      </c>
      <c r="D3028" s="23" t="s">
        <v>116</v>
      </c>
      <c r="E3028" s="23" t="s">
        <v>1156</v>
      </c>
      <c r="F3028" s="23" t="s">
        <v>436</v>
      </c>
    </row>
    <row r="3029" spans="1:10" ht="14.25" customHeight="1" x14ac:dyDescent="0.25">
      <c r="A3029" s="68" t="s">
        <v>965</v>
      </c>
      <c r="B3029" s="24" t="s">
        <v>543</v>
      </c>
      <c r="C3029" s="54">
        <v>46058</v>
      </c>
      <c r="D3029" s="68" t="s">
        <v>598</v>
      </c>
      <c r="E3029" s="56" t="s">
        <v>858</v>
      </c>
      <c r="F3029" s="57"/>
    </row>
    <row r="3030" spans="1:10" ht="14.25" customHeight="1" x14ac:dyDescent="0.25">
      <c r="A3030" s="69"/>
      <c r="B3030" s="24" t="s">
        <v>112</v>
      </c>
      <c r="C3030" s="55">
        <f>IF(C3029="","",IF(AND(MONTH(C3029)&gt;=1,MONTH(C3029)&lt;=3),1,IF(AND(MONTH(C3029)&gt;=4,MONTH(C3029)&lt;=6),2,IF(AND(MONTH(C3029)&gt;=7,MONTH(C3029)&lt;=9),3,4))))</f>
        <v>1</v>
      </c>
      <c r="D3030" s="69"/>
      <c r="E3030" s="56" t="s">
        <v>143</v>
      </c>
      <c r="F3030" s="57"/>
    </row>
    <row r="3031" spans="1:10" ht="14.25" customHeight="1" x14ac:dyDescent="0.25">
      <c r="A3031" s="69"/>
      <c r="B3031" s="24" t="s">
        <v>844</v>
      </c>
      <c r="C3031" s="54">
        <v>46110</v>
      </c>
      <c r="D3031" s="69"/>
      <c r="E3031" s="56" t="s">
        <v>183</v>
      </c>
      <c r="F3031" s="57"/>
    </row>
    <row r="3032" spans="1:10" ht="14.25" customHeight="1" x14ac:dyDescent="0.25">
      <c r="A3032" s="69"/>
      <c r="B3032" s="24" t="s">
        <v>112</v>
      </c>
      <c r="C3032" s="55">
        <f>IF(C3031="","",IF(AND(MONTH(C3031)&gt;=1,MONTH(C3031)&lt;=3),1,IF(AND(MONTH(C3031)&gt;=4,MONTH(C3031)&lt;=6),2,IF(AND(MONTH(C3031)&gt;=7,MONTH(C3031)&lt;=9),3,4))))</f>
        <v>1</v>
      </c>
      <c r="D3032" s="69"/>
      <c r="E3032" s="56" t="s">
        <v>865</v>
      </c>
      <c r="F3032" s="57"/>
    </row>
    <row r="3034" spans="1:10" ht="14.25" customHeight="1" x14ac:dyDescent="0.25">
      <c r="A3034" s="29" t="s">
        <v>1017</v>
      </c>
      <c r="B3034" s="29" t="s">
        <v>1042</v>
      </c>
      <c r="C3034" s="29" t="s">
        <v>1011</v>
      </c>
      <c r="D3034" s="29" t="s">
        <v>985</v>
      </c>
      <c r="E3034" s="29" t="s">
        <v>449</v>
      </c>
      <c r="F3034" s="29" t="s">
        <v>989</v>
      </c>
    </row>
    <row r="3035" spans="1:10" ht="14.25" customHeight="1" x14ac:dyDescent="0.25">
      <c r="A3035" s="25" t="s">
        <v>1020</v>
      </c>
      <c r="B3035" s="26" t="str">
        <f ca="1">IFERROR(INDEX(UNSPSCDes,MATCH(INDIRECT(ADDRESS(ROW(),COLUMN()-1,4)),UNSPSCCode,0)),IF(INDIRECT(ADDRESS(ROW(),COLUMN()-1,4))="72101507","Servicio de mantenimiento de edificios",""))</f>
        <v>Servicio de mantenimiento de edificios</v>
      </c>
      <c r="C3035" s="58" t="str">
        <f>IFERROR(VLOOKUP("UD",'Informacion '!P:Q,2,FALSE),"")</f>
        <v>Unidad</v>
      </c>
      <c r="D3035" s="25">
        <v>1</v>
      </c>
      <c r="E3035" s="28">
        <v>1500000</v>
      </c>
      <c r="F3035" s="27">
        <f ca="1">INDIRECT(ADDRESS(ROW(),COLUMN()-2,4))*INDIRECT(ADDRESS(ROW(),COLUMN()-1,4))</f>
        <v>1500000</v>
      </c>
    </row>
    <row r="3036" spans="1:10" ht="14.25" customHeight="1" x14ac:dyDescent="0.25">
      <c r="A3036" s="25" t="s">
        <v>1020</v>
      </c>
      <c r="B3036" s="26" t="str">
        <f ca="1">IFERROR(INDEX(UNSPSCDes,MATCH(INDIRECT(ADDRESS(ROW(),COLUMN()-1,4)),UNSPSCCode,0)),IF(INDIRECT(ADDRESS(ROW(),COLUMN()-1,4))="72101507","Servicio de mantenimiento de edificios",""))</f>
        <v>Servicio de mantenimiento de edificios</v>
      </c>
      <c r="C3036" s="58" t="str">
        <f>IFERROR(VLOOKUP("UD",'Informacion '!P:Q,2,FALSE),"")</f>
        <v>Unidad</v>
      </c>
      <c r="D3036" s="25">
        <v>1</v>
      </c>
      <c r="E3036" s="28">
        <v>1500000</v>
      </c>
      <c r="F3036" s="27">
        <f ca="1">INDIRECT(ADDRESS(ROW(),COLUMN()-2,4))*INDIRECT(ADDRESS(ROW(),COLUMN()-1,4))</f>
        <v>1500000</v>
      </c>
    </row>
    <row r="3037" spans="1:10" ht="14.25" customHeight="1" x14ac:dyDescent="0.25">
      <c r="E3037" s="30" t="s">
        <v>816</v>
      </c>
      <c r="F3037" s="31">
        <f ca="1">SUM(Table162[MONTO TOTAL ESTIMADO])</f>
        <v>3000000</v>
      </c>
      <c r="H3037" s="21" t="str">
        <f>C3028</f>
        <v>Obras</v>
      </c>
      <c r="I3037" s="21" t="str">
        <f>E3028</f>
        <v>No</v>
      </c>
      <c r="J3037" s="21" t="str">
        <f>D3028</f>
        <v>Comparacion de Precios</v>
      </c>
    </row>
    <row r="3039" spans="1:10" ht="33.950000000000003" customHeight="1" x14ac:dyDescent="0.25">
      <c r="A3039" s="22" t="s">
        <v>1051</v>
      </c>
      <c r="B3039" s="22" t="s">
        <v>11</v>
      </c>
      <c r="C3039" s="22" t="s">
        <v>751</v>
      </c>
      <c r="D3039" s="22" t="s">
        <v>930</v>
      </c>
      <c r="E3039" s="22" t="s">
        <v>699</v>
      </c>
      <c r="F3039" s="22" t="s">
        <v>710</v>
      </c>
    </row>
    <row r="3040" spans="1:10" ht="14.25" customHeight="1" x14ac:dyDescent="0.25">
      <c r="A3040" s="23" t="s">
        <v>1216</v>
      </c>
      <c r="B3040" s="23" t="s">
        <v>1216</v>
      </c>
      <c r="C3040" s="23" t="s">
        <v>1155</v>
      </c>
      <c r="D3040" s="23" t="s">
        <v>1128</v>
      </c>
      <c r="E3040" s="23" t="s">
        <v>1156</v>
      </c>
      <c r="F3040" s="23" t="s">
        <v>436</v>
      </c>
    </row>
    <row r="3041" spans="1:6" ht="14.25" customHeight="1" x14ac:dyDescent="0.25">
      <c r="A3041" s="68" t="s">
        <v>965</v>
      </c>
      <c r="B3041" s="24" t="s">
        <v>543</v>
      </c>
      <c r="C3041" s="54">
        <v>46054</v>
      </c>
      <c r="D3041" s="68" t="s">
        <v>598</v>
      </c>
      <c r="E3041" s="56" t="s">
        <v>858</v>
      </c>
      <c r="F3041" s="57" t="s">
        <v>184</v>
      </c>
    </row>
    <row r="3042" spans="1:6" ht="14.25" customHeight="1" x14ac:dyDescent="0.25">
      <c r="A3042" s="69"/>
      <c r="B3042" s="24" t="s">
        <v>112</v>
      </c>
      <c r="C3042" s="55">
        <f>IF(C3041="","",IF(AND(MONTH(C3041)&gt;=1,MONTH(C3041)&lt;=3),1,IF(AND(MONTH(C3041)&gt;=4,MONTH(C3041)&lt;=6),2,IF(AND(MONTH(C3041)&gt;=7,MONTH(C3041)&lt;=9),3,4))))</f>
        <v>1</v>
      </c>
      <c r="D3042" s="69"/>
      <c r="E3042" s="56" t="s">
        <v>143</v>
      </c>
      <c r="F3042" s="57"/>
    </row>
    <row r="3043" spans="1:6" ht="14.25" customHeight="1" x14ac:dyDescent="0.25">
      <c r="A3043" s="69"/>
      <c r="B3043" s="24" t="s">
        <v>844</v>
      </c>
      <c r="C3043" s="54">
        <v>46112</v>
      </c>
      <c r="D3043" s="69"/>
      <c r="E3043" s="56" t="s">
        <v>183</v>
      </c>
      <c r="F3043" s="57"/>
    </row>
    <row r="3044" spans="1:6" ht="14.25" customHeight="1" x14ac:dyDescent="0.25">
      <c r="A3044" s="69"/>
      <c r="B3044" s="24" t="s">
        <v>112</v>
      </c>
      <c r="C3044" s="55">
        <f>IF(C3043="","",IF(AND(MONTH(C3043)&gt;=1,MONTH(C3043)&lt;=3),1,IF(AND(MONTH(C3043)&gt;=4,MONTH(C3043)&lt;=6),2,IF(AND(MONTH(C3043)&gt;=7,MONTH(C3043)&lt;=9),3,4))))</f>
        <v>1</v>
      </c>
      <c r="D3044" s="69"/>
      <c r="E3044" s="56" t="s">
        <v>865</v>
      </c>
      <c r="F3044" s="57"/>
    </row>
    <row r="3046" spans="1:6" ht="14.25" customHeight="1" x14ac:dyDescent="0.25">
      <c r="A3046" s="29" t="s">
        <v>1017</v>
      </c>
      <c r="B3046" s="29" t="s">
        <v>1042</v>
      </c>
      <c r="C3046" s="29" t="s">
        <v>1011</v>
      </c>
      <c r="D3046" s="29" t="s">
        <v>985</v>
      </c>
      <c r="E3046" s="29" t="s">
        <v>449</v>
      </c>
      <c r="F3046" s="29" t="s">
        <v>989</v>
      </c>
    </row>
    <row r="3047" spans="1:6" ht="14.25" customHeight="1" x14ac:dyDescent="0.25">
      <c r="A3047" s="25" t="s">
        <v>819</v>
      </c>
      <c r="B3047" s="26" t="str">
        <f ca="1">IFERROR(INDEX(UNSPSCDes,MATCH(INDIRECT(ADDRESS(ROW(),COLUMN()-1,4)),UNSPSCCode,0)),IF(INDIRECT(ADDRESS(ROW(),COLUMN()-1,4))="31211504","Pinturas de revestimiento",""))</f>
        <v>Pinturas de revestimiento</v>
      </c>
      <c r="C3047" s="58" t="str">
        <f>IFERROR(VLOOKUP("UD",'Informacion '!P:Q,2,FALSE),"")</f>
        <v>Unidad</v>
      </c>
      <c r="D3047" s="25">
        <v>20</v>
      </c>
      <c r="E3047" s="28">
        <v>12500</v>
      </c>
      <c r="F3047" s="27">
        <f t="shared" ref="F3047:F3062" ca="1" si="98">INDIRECT(ADDRESS(ROW(),COLUMN()-2,4))*INDIRECT(ADDRESS(ROW(),COLUMN()-1,4))</f>
        <v>250000</v>
      </c>
    </row>
    <row r="3048" spans="1:6" ht="14.25" customHeight="1" x14ac:dyDescent="0.25">
      <c r="A3048" s="25" t="s">
        <v>60</v>
      </c>
      <c r="B3048" s="26" t="str">
        <f t="shared" ref="B3048:B3054" ca="1" si="99">IFERROR(INDEX(UNSPSCDes,MATCH(INDIRECT(ADDRESS(ROW(),COLUMN()-1,4)),UNSPSCCode,0)),IF(INDIRECT(ADDRESS(ROW(),COLUMN()-1,4))="31211508","Pinturas acrílicas",""))</f>
        <v>Pinturas acrílicas</v>
      </c>
      <c r="C3048" s="58" t="str">
        <f>IFERROR(VLOOKUP("UD",'Informacion '!P:Q,2,FALSE),"")</f>
        <v>Unidad</v>
      </c>
      <c r="D3048" s="25">
        <v>20</v>
      </c>
      <c r="E3048" s="28">
        <v>13499.55</v>
      </c>
      <c r="F3048" s="27">
        <f t="shared" ca="1" si="98"/>
        <v>269991</v>
      </c>
    </row>
    <row r="3049" spans="1:6" ht="14.25" customHeight="1" x14ac:dyDescent="0.25">
      <c r="A3049" s="25" t="s">
        <v>60</v>
      </c>
      <c r="B3049" s="26" t="str">
        <f t="shared" ca="1" si="99"/>
        <v>Pinturas acrílicas</v>
      </c>
      <c r="C3049" s="58" t="str">
        <f>IFERROR(VLOOKUP("GAL",'Informacion '!P:Q,2,FALSE),"")</f>
        <v>Galón</v>
      </c>
      <c r="D3049" s="25">
        <v>10</v>
      </c>
      <c r="E3049" s="28">
        <v>3406.78</v>
      </c>
      <c r="F3049" s="27">
        <f t="shared" ca="1" si="98"/>
        <v>34067.800000000003</v>
      </c>
    </row>
    <row r="3050" spans="1:6" ht="14.25" customHeight="1" x14ac:dyDescent="0.25">
      <c r="A3050" s="25" t="s">
        <v>60</v>
      </c>
      <c r="B3050" s="26" t="str">
        <f t="shared" ca="1" si="99"/>
        <v>Pinturas acrílicas</v>
      </c>
      <c r="C3050" s="58" t="str">
        <f>IFERROR(VLOOKUP("GAL",'Informacion '!P:Q,2,FALSE),"")</f>
        <v>Galón</v>
      </c>
      <c r="D3050" s="25">
        <v>10</v>
      </c>
      <c r="E3050" s="28">
        <v>3400</v>
      </c>
      <c r="F3050" s="27">
        <f t="shared" ca="1" si="98"/>
        <v>34000</v>
      </c>
    </row>
    <row r="3051" spans="1:6" ht="14.25" customHeight="1" x14ac:dyDescent="0.25">
      <c r="A3051" s="25" t="s">
        <v>60</v>
      </c>
      <c r="B3051" s="26" t="str">
        <f t="shared" ca="1" si="99"/>
        <v>Pinturas acrílicas</v>
      </c>
      <c r="C3051" s="58" t="str">
        <f>IFERROR(VLOOKUP("GAL",'Informacion '!P:Q,2,FALSE),"")</f>
        <v>Galón</v>
      </c>
      <c r="D3051" s="25">
        <v>15</v>
      </c>
      <c r="E3051" s="28">
        <v>3400</v>
      </c>
      <c r="F3051" s="27">
        <f t="shared" ca="1" si="98"/>
        <v>51000</v>
      </c>
    </row>
    <row r="3052" spans="1:6" ht="14.25" customHeight="1" x14ac:dyDescent="0.25">
      <c r="A3052" s="25" t="s">
        <v>60</v>
      </c>
      <c r="B3052" s="26" t="str">
        <f t="shared" ca="1" si="99"/>
        <v>Pinturas acrílicas</v>
      </c>
      <c r="C3052" s="58" t="str">
        <f>IFERROR(VLOOKUP("GAL",'Informacion '!P:Q,2,FALSE),"")</f>
        <v>Galón</v>
      </c>
      <c r="D3052" s="25">
        <v>30</v>
      </c>
      <c r="E3052" s="28">
        <v>1950</v>
      </c>
      <c r="F3052" s="27">
        <f t="shared" ca="1" si="98"/>
        <v>58500</v>
      </c>
    </row>
    <row r="3053" spans="1:6" ht="14.25" customHeight="1" x14ac:dyDescent="0.25">
      <c r="A3053" s="25" t="s">
        <v>60</v>
      </c>
      <c r="B3053" s="26" t="str">
        <f t="shared" ca="1" si="99"/>
        <v>Pinturas acrílicas</v>
      </c>
      <c r="C3053" s="58" t="str">
        <f>IFERROR(VLOOKUP("GAL",'Informacion '!P:Q,2,FALSE),"")</f>
        <v>Galón</v>
      </c>
      <c r="D3053" s="25">
        <v>30</v>
      </c>
      <c r="E3053" s="28">
        <v>1950</v>
      </c>
      <c r="F3053" s="27">
        <f t="shared" ca="1" si="98"/>
        <v>58500</v>
      </c>
    </row>
    <row r="3054" spans="1:6" ht="14.25" customHeight="1" x14ac:dyDescent="0.25">
      <c r="A3054" s="25" t="s">
        <v>60</v>
      </c>
      <c r="B3054" s="26" t="str">
        <f t="shared" ca="1" si="99"/>
        <v>Pinturas acrílicas</v>
      </c>
      <c r="C3054" s="58" t="str">
        <f>IFERROR(VLOOKUP("GAL",'Informacion '!P:Q,2,FALSE),"")</f>
        <v>Galón</v>
      </c>
      <c r="D3054" s="25">
        <v>30</v>
      </c>
      <c r="E3054" s="28">
        <v>1950</v>
      </c>
      <c r="F3054" s="27">
        <f t="shared" ca="1" si="98"/>
        <v>58500</v>
      </c>
    </row>
    <row r="3055" spans="1:6" ht="14.25" customHeight="1" x14ac:dyDescent="0.25">
      <c r="A3055" s="25" t="s">
        <v>1185</v>
      </c>
      <c r="B3055" s="26" t="str">
        <f ca="1">IFERROR(INDEX(UNSPSCDes,MATCH(INDIRECT(ADDRESS(ROW(),COLUMN()-1,4)),UNSPSCCode,0)),IF(INDIRECT(ADDRESS(ROW(),COLUMN()-1,4))="31211803","Diluyentes para pinturas y barnices",""))</f>
        <v>Diluyentes para pinturas y barnices</v>
      </c>
      <c r="C3055" s="58" t="str">
        <f>IFERROR(VLOOKUP("GAL",'Informacion '!P:Q,2,FALSE),"")</f>
        <v>Galón</v>
      </c>
      <c r="D3055" s="25">
        <v>30</v>
      </c>
      <c r="E3055" s="28">
        <v>490</v>
      </c>
      <c r="F3055" s="27">
        <f t="shared" ca="1" si="98"/>
        <v>14700</v>
      </c>
    </row>
    <row r="3056" spans="1:6" ht="14.25" customHeight="1" x14ac:dyDescent="0.25">
      <c r="A3056" s="25" t="s">
        <v>60</v>
      </c>
      <c r="B3056" s="26" t="str">
        <f ca="1">IFERROR(INDEX(UNSPSCDes,MATCH(INDIRECT(ADDRESS(ROW(),COLUMN()-1,4)),UNSPSCCode,0)),IF(INDIRECT(ADDRESS(ROW(),COLUMN()-1,4))="31211508","Pinturas acrílicas",""))</f>
        <v>Pinturas acrílicas</v>
      </c>
      <c r="C3056" s="58" t="str">
        <f>IFERROR(VLOOKUP("UD",'Informacion '!P:Q,2,FALSE),"")</f>
        <v>Unidad</v>
      </c>
      <c r="D3056" s="25">
        <v>20</v>
      </c>
      <c r="E3056" s="28">
        <v>9075.99</v>
      </c>
      <c r="F3056" s="27">
        <f t="shared" ca="1" si="98"/>
        <v>181519.8</v>
      </c>
    </row>
    <row r="3057" spans="1:10" ht="14.25" customHeight="1" x14ac:dyDescent="0.25">
      <c r="A3057" s="25" t="s">
        <v>60</v>
      </c>
      <c r="B3057" s="26" t="str">
        <f ca="1">IFERROR(INDEX(UNSPSCDes,MATCH(INDIRECT(ADDRESS(ROW(),COLUMN()-1,4)),UNSPSCCode,0)),IF(INDIRECT(ADDRESS(ROW(),COLUMN()-1,4))="31211508","Pinturas acrílicas",""))</f>
        <v>Pinturas acrílicas</v>
      </c>
      <c r="C3057" s="58" t="str">
        <f>IFERROR(VLOOKUP("UD",'Informacion '!P:Q,2,FALSE),"")</f>
        <v>Unidad</v>
      </c>
      <c r="D3057" s="25">
        <v>20</v>
      </c>
      <c r="E3057" s="28">
        <v>9022.83</v>
      </c>
      <c r="F3057" s="27">
        <f t="shared" ca="1" si="98"/>
        <v>180456.6</v>
      </c>
    </row>
    <row r="3058" spans="1:10" ht="14.25" customHeight="1" x14ac:dyDescent="0.25">
      <c r="A3058" s="25" t="s">
        <v>229</v>
      </c>
      <c r="B3058" s="26" t="str">
        <f ca="1">IFERROR(INDEX(UNSPSCDes,MATCH(INDIRECT(ADDRESS(ROW(),COLUMN()-1,4)),UNSPSCCode,0)),IF(INDIRECT(ADDRESS(ROW(),COLUMN()-1,4))="31211705","Barniz de laca",""))</f>
        <v>Barniz de laca</v>
      </c>
      <c r="C3058" s="58" t="str">
        <f>IFERROR(VLOOKUP("GAL",'Informacion '!P:Q,2,FALSE),"")</f>
        <v>Galón</v>
      </c>
      <c r="D3058" s="25">
        <v>10</v>
      </c>
      <c r="E3058" s="28">
        <v>1084.77</v>
      </c>
      <c r="F3058" s="27">
        <f t="shared" ca="1" si="98"/>
        <v>10847.7</v>
      </c>
    </row>
    <row r="3059" spans="1:10" ht="14.25" customHeight="1" x14ac:dyDescent="0.25">
      <c r="A3059" s="25" t="s">
        <v>496</v>
      </c>
      <c r="B3059" s="26" t="str">
        <f ca="1">IFERROR(INDEX(UNSPSCDes,MATCH(INDIRECT(ADDRESS(ROW(),COLUMN()-1,4)),UNSPSCCode,0)),IF(INDIRECT(ADDRESS(ROW(),COLUMN()-1,4))="31211505","Pinturas de aceite",""))</f>
        <v>Pinturas de aceite</v>
      </c>
      <c r="C3059" s="58" t="str">
        <f>IFERROR(VLOOKUP("GAL",'Informacion '!P:Q,2,FALSE),"")</f>
        <v>Galón</v>
      </c>
      <c r="D3059" s="25">
        <v>10</v>
      </c>
      <c r="E3059" s="28">
        <v>1750</v>
      </c>
      <c r="F3059" s="27">
        <f t="shared" ca="1" si="98"/>
        <v>17500</v>
      </c>
    </row>
    <row r="3060" spans="1:10" ht="14.25" customHeight="1" x14ac:dyDescent="0.25">
      <c r="A3060" s="25" t="s">
        <v>1044</v>
      </c>
      <c r="B3060" s="26" t="str">
        <f ca="1">IFERROR(INDEX(UNSPSCDes,MATCH(INDIRECT(ADDRESS(ROW(),COLUMN()-1,4)),UNSPSCCode,0)),IF(INDIRECT(ADDRESS(ROW(),COLUMN()-1,4))="31211904","Brochas",""))</f>
        <v>Brochas</v>
      </c>
      <c r="C3060" s="58" t="str">
        <f>IFERROR(VLOOKUP("UD",'Informacion '!P:Q,2,FALSE),"")</f>
        <v>Unidad</v>
      </c>
      <c r="D3060" s="25">
        <v>30</v>
      </c>
      <c r="E3060" s="28">
        <v>312.70999999999998</v>
      </c>
      <c r="F3060" s="27">
        <f t="shared" ca="1" si="98"/>
        <v>9381.2999999999993</v>
      </c>
    </row>
    <row r="3061" spans="1:10" ht="14.25" customHeight="1" x14ac:dyDescent="0.25">
      <c r="A3061" s="25" t="s">
        <v>674</v>
      </c>
      <c r="B3061" s="26" t="str">
        <f ca="1">IFERROR(INDEX(UNSPSCDes,MATCH(INDIRECT(ADDRESS(ROW(),COLUMN()-1,4)),UNSPSCCode,0)),IF(INDIRECT(ADDRESS(ROW(),COLUMN()-1,4))="31211906","Rodillos de pintar",""))</f>
        <v>Rodillos de pintar</v>
      </c>
      <c r="C3061" s="58" t="str">
        <f>IFERROR(VLOOKUP("UD",'Informacion '!P:Q,2,FALSE),"")</f>
        <v>Unidad</v>
      </c>
      <c r="D3061" s="25">
        <v>30</v>
      </c>
      <c r="E3061" s="28">
        <v>115</v>
      </c>
      <c r="F3061" s="27">
        <f t="shared" ca="1" si="98"/>
        <v>3450</v>
      </c>
    </row>
    <row r="3062" spans="1:10" ht="14.25" customHeight="1" x14ac:dyDescent="0.25">
      <c r="A3062" s="25" t="s">
        <v>60</v>
      </c>
      <c r="B3062" s="26" t="str">
        <f ca="1">IFERROR(INDEX(UNSPSCDes,MATCH(INDIRECT(ADDRESS(ROW(),COLUMN()-1,4)),UNSPSCCode,0)),IF(INDIRECT(ADDRESS(ROW(),COLUMN()-1,4))="31211508","Pinturas acrílicas",""))</f>
        <v>Pinturas acrílicas</v>
      </c>
      <c r="C3062" s="58" t="str">
        <f>IFERROR(VLOOKUP("GAL",'Informacion '!P:Q,2,FALSE),"")</f>
        <v>Galón</v>
      </c>
      <c r="D3062" s="25">
        <v>10</v>
      </c>
      <c r="E3062" s="28">
        <v>6207.65</v>
      </c>
      <c r="F3062" s="27">
        <f t="shared" ca="1" si="98"/>
        <v>62076.5</v>
      </c>
    </row>
    <row r="3063" spans="1:10" ht="14.25" customHeight="1" x14ac:dyDescent="0.25">
      <c r="E3063" s="30" t="s">
        <v>816</v>
      </c>
      <c r="F3063" s="31">
        <f ca="1">SUM(Table163[MONTO TOTAL ESTIMADO])</f>
        <v>1294490.7000000002</v>
      </c>
      <c r="H3063" s="21" t="str">
        <f>C3040</f>
        <v>Bienes</v>
      </c>
      <c r="I3063" s="21" t="str">
        <f>E3040</f>
        <v>No</v>
      </c>
      <c r="J3063" s="21" t="str">
        <f>D3040</f>
        <v>Compras Menores</v>
      </c>
    </row>
    <row r="3065" spans="1:10" ht="33.950000000000003" customHeight="1" x14ac:dyDescent="0.25">
      <c r="A3065" s="22" t="s">
        <v>1051</v>
      </c>
      <c r="B3065" s="22" t="s">
        <v>11</v>
      </c>
      <c r="C3065" s="22" t="s">
        <v>751</v>
      </c>
      <c r="D3065" s="22" t="s">
        <v>930</v>
      </c>
      <c r="E3065" s="22" t="s">
        <v>699</v>
      </c>
      <c r="F3065" s="22" t="s">
        <v>710</v>
      </c>
    </row>
    <row r="3066" spans="1:10" ht="14.25" customHeight="1" x14ac:dyDescent="0.25">
      <c r="A3066" s="23" t="s">
        <v>642</v>
      </c>
      <c r="B3066" s="23" t="s">
        <v>642</v>
      </c>
      <c r="C3066" s="23" t="s">
        <v>1155</v>
      </c>
      <c r="D3066" s="23" t="s">
        <v>1128</v>
      </c>
      <c r="E3066" s="23" t="s">
        <v>561</v>
      </c>
      <c r="F3066" s="23" t="s">
        <v>436</v>
      </c>
    </row>
    <row r="3067" spans="1:10" ht="14.25" customHeight="1" x14ac:dyDescent="0.25">
      <c r="A3067" s="68" t="s">
        <v>965</v>
      </c>
      <c r="B3067" s="24" t="s">
        <v>543</v>
      </c>
      <c r="C3067" s="54">
        <v>46064</v>
      </c>
      <c r="D3067" s="68" t="s">
        <v>598</v>
      </c>
      <c r="E3067" s="56" t="s">
        <v>858</v>
      </c>
      <c r="F3067" s="57" t="s">
        <v>184</v>
      </c>
    </row>
    <row r="3068" spans="1:10" ht="14.25" customHeight="1" x14ac:dyDescent="0.25">
      <c r="A3068" s="69"/>
      <c r="B3068" s="24" t="s">
        <v>112</v>
      </c>
      <c r="C3068" s="55">
        <f>IF(C3067="","",IF(AND(MONTH(C3067)&gt;=1,MONTH(C3067)&lt;=3),1,IF(AND(MONTH(C3067)&gt;=4,MONTH(C3067)&lt;=6),2,IF(AND(MONTH(C3067)&gt;=7,MONTH(C3067)&lt;=9),3,4))))</f>
        <v>1</v>
      </c>
      <c r="D3068" s="69"/>
      <c r="E3068" s="56" t="s">
        <v>143</v>
      </c>
      <c r="F3068" s="57"/>
    </row>
    <row r="3069" spans="1:10" ht="14.25" customHeight="1" x14ac:dyDescent="0.25">
      <c r="A3069" s="69"/>
      <c r="B3069" s="24" t="s">
        <v>844</v>
      </c>
      <c r="C3069" s="54">
        <v>46110</v>
      </c>
      <c r="D3069" s="69"/>
      <c r="E3069" s="56" t="s">
        <v>183</v>
      </c>
      <c r="F3069" s="57"/>
    </row>
    <row r="3070" spans="1:10" ht="14.25" customHeight="1" x14ac:dyDescent="0.25">
      <c r="A3070" s="69"/>
      <c r="B3070" s="24" t="s">
        <v>112</v>
      </c>
      <c r="C3070" s="55">
        <f>IF(C3069="","",IF(AND(MONTH(C3069)&gt;=1,MONTH(C3069)&lt;=3),1,IF(AND(MONTH(C3069)&gt;=4,MONTH(C3069)&lt;=6),2,IF(AND(MONTH(C3069)&gt;=7,MONTH(C3069)&lt;=9),3,4))))</f>
        <v>1</v>
      </c>
      <c r="D3070" s="69"/>
      <c r="E3070" s="56" t="s">
        <v>865</v>
      </c>
      <c r="F3070" s="57"/>
    </row>
    <row r="3072" spans="1:10" ht="14.25" customHeight="1" x14ac:dyDescent="0.25">
      <c r="A3072" s="29" t="s">
        <v>1017</v>
      </c>
      <c r="B3072" s="29" t="s">
        <v>1042</v>
      </c>
      <c r="C3072" s="29" t="s">
        <v>1011</v>
      </c>
      <c r="D3072" s="29" t="s">
        <v>985</v>
      </c>
      <c r="E3072" s="29" t="s">
        <v>449</v>
      </c>
      <c r="F3072" s="29" t="s">
        <v>989</v>
      </c>
    </row>
    <row r="3073" spans="1:10" ht="14.25" customHeight="1" x14ac:dyDescent="0.25">
      <c r="A3073" s="25" t="s">
        <v>304</v>
      </c>
      <c r="B3073" s="26" t="str">
        <f ca="1">IFERROR(INDEX(UNSPSCDes,MATCH(INDIRECT(ADDRESS(ROW(),COLUMN()-1,4)),UNSPSCCode,0)),IF(INDIRECT(ADDRESS(ROW(),COLUMN()-1,4))="14111704","Papel higiénico",""))</f>
        <v>Papel higiénico</v>
      </c>
      <c r="C3073" s="58" t="str">
        <f>IFERROR(VLOOKUP("PAQ",'Informacion '!P:Q,2,FALSE),"")</f>
        <v>Paquete</v>
      </c>
      <c r="D3073" s="25">
        <v>400</v>
      </c>
      <c r="E3073" s="28">
        <v>1600</v>
      </c>
      <c r="F3073" s="27">
        <f t="shared" ref="F3073:F3078" ca="1" si="100">INDIRECT(ADDRESS(ROW(),COLUMN()-2,4))*INDIRECT(ADDRESS(ROW(),COLUMN()-1,4))</f>
        <v>640000</v>
      </c>
    </row>
    <row r="3074" spans="1:10" ht="14.25" customHeight="1" x14ac:dyDescent="0.25">
      <c r="A3074" s="25" t="s">
        <v>304</v>
      </c>
      <c r="B3074" s="26" t="str">
        <f ca="1">IFERROR(INDEX(UNSPSCDes,MATCH(INDIRECT(ADDRESS(ROW(),COLUMN()-1,4)),UNSPSCCode,0)),IF(INDIRECT(ADDRESS(ROW(),COLUMN()-1,4))="14111704","Papel higiénico",""))</f>
        <v>Papel higiénico</v>
      </c>
      <c r="C3074" s="58" t="str">
        <f>IFERROR(VLOOKUP("PAQ",'Informacion '!P:Q,2,FALSE),"")</f>
        <v>Paquete</v>
      </c>
      <c r="D3074" s="25">
        <v>200</v>
      </c>
      <c r="E3074" s="28">
        <v>850</v>
      </c>
      <c r="F3074" s="27">
        <f t="shared" ca="1" si="100"/>
        <v>170000</v>
      </c>
    </row>
    <row r="3075" spans="1:10" ht="14.25" customHeight="1" x14ac:dyDescent="0.25">
      <c r="A3075" s="25" t="s">
        <v>520</v>
      </c>
      <c r="B3075" s="26" t="str">
        <f ca="1">IFERROR(INDEX(UNSPSCDes,MATCH(INDIRECT(ADDRESS(ROW(),COLUMN()-1,4)),UNSPSCCode,0)),IF(INDIRECT(ADDRESS(ROW(),COLUMN()-1,4))="14111703","Toallas de papel",""))</f>
        <v>Toallas de papel</v>
      </c>
      <c r="C3075" s="58" t="str">
        <f>IFERROR(VLOOKUP("PAQ",'Informacion '!P:Q,2,FALSE),"")</f>
        <v>Paquete</v>
      </c>
      <c r="D3075" s="25">
        <v>150</v>
      </c>
      <c r="E3075" s="28">
        <v>950</v>
      </c>
      <c r="F3075" s="27">
        <f t="shared" ca="1" si="100"/>
        <v>142500</v>
      </c>
    </row>
    <row r="3076" spans="1:10" ht="14.25" customHeight="1" x14ac:dyDescent="0.25">
      <c r="A3076" s="25" t="s">
        <v>520</v>
      </c>
      <c r="B3076" s="26" t="str">
        <f ca="1">IFERROR(INDEX(UNSPSCDes,MATCH(INDIRECT(ADDRESS(ROW(),COLUMN()-1,4)),UNSPSCCode,0)),IF(INDIRECT(ADDRESS(ROW(),COLUMN()-1,4))="14111703","Toallas de papel",""))</f>
        <v>Toallas de papel</v>
      </c>
      <c r="C3076" s="58" t="str">
        <f>IFERROR(VLOOKUP("PAQ",'Informacion '!P:Q,2,FALSE),"")</f>
        <v>Paquete</v>
      </c>
      <c r="D3076" s="25">
        <v>100</v>
      </c>
      <c r="E3076" s="28">
        <v>3300</v>
      </c>
      <c r="F3076" s="27">
        <f t="shared" ca="1" si="100"/>
        <v>330000</v>
      </c>
    </row>
    <row r="3077" spans="1:10" ht="14.25" customHeight="1" x14ac:dyDescent="0.25">
      <c r="A3077" s="25" t="s">
        <v>191</v>
      </c>
      <c r="B3077" s="26" t="str">
        <f ca="1">IFERROR(INDEX(UNSPSCDes,MATCH(INDIRECT(ADDRESS(ROW(),COLUMN()-1,4)),UNSPSCCode,0)),IF(INDIRECT(ADDRESS(ROW(),COLUMN()-1,4))="14111705","Servilletas de papel",""))</f>
        <v>Servilletas de papel</v>
      </c>
      <c r="C3077" s="58" t="str">
        <f>IFERROR(VLOOKUP("PAQ",'Informacion '!P:Q,2,FALSE),"")</f>
        <v>Paquete</v>
      </c>
      <c r="D3077" s="25">
        <v>500</v>
      </c>
      <c r="E3077" s="28">
        <v>160</v>
      </c>
      <c r="F3077" s="27">
        <f t="shared" ca="1" si="100"/>
        <v>80000</v>
      </c>
    </row>
    <row r="3078" spans="1:10" ht="14.25" customHeight="1" x14ac:dyDescent="0.25">
      <c r="A3078" s="25" t="s">
        <v>191</v>
      </c>
      <c r="B3078" s="26" t="str">
        <f ca="1">IFERROR(INDEX(UNSPSCDes,MATCH(INDIRECT(ADDRESS(ROW(),COLUMN()-1,4)),UNSPSCCode,0)),IF(INDIRECT(ADDRESS(ROW(),COLUMN()-1,4))="14111705","Servilletas de papel",""))</f>
        <v>Servilletas de papel</v>
      </c>
      <c r="C3078" s="58" t="str">
        <f>IFERROR(VLOOKUP("PAQ",'Informacion '!P:Q,2,FALSE),"")</f>
        <v>Paquete</v>
      </c>
      <c r="D3078" s="25">
        <v>250</v>
      </c>
      <c r="E3078" s="28">
        <v>95</v>
      </c>
      <c r="F3078" s="27">
        <f t="shared" ca="1" si="100"/>
        <v>23750</v>
      </c>
    </row>
    <row r="3079" spans="1:10" ht="14.25" customHeight="1" x14ac:dyDescent="0.25">
      <c r="E3079" s="30" t="s">
        <v>816</v>
      </c>
      <c r="F3079" s="31">
        <f ca="1">SUM(Table164[MONTO TOTAL ESTIMADO])</f>
        <v>1386250</v>
      </c>
      <c r="H3079" s="21" t="str">
        <f>C3066</f>
        <v>Bienes</v>
      </c>
      <c r="I3079" s="21" t="str">
        <f>E3066</f>
        <v>Sí</v>
      </c>
      <c r="J3079" s="21" t="str">
        <f>D3066</f>
        <v>Compras Menores</v>
      </c>
    </row>
    <row r="3081" spans="1:10" ht="33.950000000000003" customHeight="1" x14ac:dyDescent="0.25">
      <c r="A3081" s="22" t="s">
        <v>1051</v>
      </c>
      <c r="B3081" s="22" t="s">
        <v>11</v>
      </c>
      <c r="C3081" s="22" t="s">
        <v>751</v>
      </c>
      <c r="D3081" s="22" t="s">
        <v>930</v>
      </c>
      <c r="E3081" s="22" t="s">
        <v>699</v>
      </c>
      <c r="F3081" s="22" t="s">
        <v>710</v>
      </c>
    </row>
    <row r="3082" spans="1:10" ht="14.25" customHeight="1" x14ac:dyDescent="0.25">
      <c r="A3082" s="23" t="s">
        <v>1152</v>
      </c>
      <c r="B3082" s="23" t="s">
        <v>1152</v>
      </c>
      <c r="C3082" s="23" t="s">
        <v>438</v>
      </c>
      <c r="D3082" s="23" t="s">
        <v>1128</v>
      </c>
      <c r="E3082" s="23" t="s">
        <v>1156</v>
      </c>
      <c r="F3082" s="23" t="s">
        <v>436</v>
      </c>
    </row>
    <row r="3083" spans="1:10" ht="14.25" customHeight="1" x14ac:dyDescent="0.25">
      <c r="A3083" s="68" t="s">
        <v>965</v>
      </c>
      <c r="B3083" s="24" t="s">
        <v>543</v>
      </c>
      <c r="C3083" s="54">
        <v>46075</v>
      </c>
      <c r="D3083" s="68" t="s">
        <v>598</v>
      </c>
      <c r="E3083" s="56" t="s">
        <v>858</v>
      </c>
      <c r="F3083" s="57"/>
    </row>
    <row r="3084" spans="1:10" ht="14.25" customHeight="1" x14ac:dyDescent="0.25">
      <c r="A3084" s="69"/>
      <c r="B3084" s="24" t="s">
        <v>112</v>
      </c>
      <c r="C3084" s="55">
        <f>IF(C3083="","",IF(AND(MONTH(C3083)&gt;=1,MONTH(C3083)&lt;=3),1,IF(AND(MONTH(C3083)&gt;=4,MONTH(C3083)&lt;=6),2,IF(AND(MONTH(C3083)&gt;=7,MONTH(C3083)&lt;=9),3,4))))</f>
        <v>1</v>
      </c>
      <c r="D3084" s="69"/>
      <c r="E3084" s="56" t="s">
        <v>143</v>
      </c>
      <c r="F3084" s="57"/>
    </row>
    <row r="3085" spans="1:10" ht="14.25" customHeight="1" x14ac:dyDescent="0.25">
      <c r="A3085" s="69"/>
      <c r="B3085" s="24" t="s">
        <v>844</v>
      </c>
      <c r="C3085" s="54">
        <v>46105</v>
      </c>
      <c r="D3085" s="69"/>
      <c r="E3085" s="56" t="s">
        <v>183</v>
      </c>
      <c r="F3085" s="57"/>
    </row>
    <row r="3086" spans="1:10" ht="14.25" customHeight="1" x14ac:dyDescent="0.25">
      <c r="A3086" s="69"/>
      <c r="B3086" s="24" t="s">
        <v>112</v>
      </c>
      <c r="C3086" s="55">
        <f>IF(C3085="","",IF(AND(MONTH(C3085)&gt;=1,MONTH(C3085)&lt;=3),1,IF(AND(MONTH(C3085)&gt;=4,MONTH(C3085)&lt;=6),2,IF(AND(MONTH(C3085)&gt;=7,MONTH(C3085)&lt;=9),3,4))))</f>
        <v>1</v>
      </c>
      <c r="D3086" s="69"/>
      <c r="E3086" s="56" t="s">
        <v>865</v>
      </c>
      <c r="F3086" s="57"/>
    </row>
    <row r="3088" spans="1:10" ht="14.25" customHeight="1" x14ac:dyDescent="0.25">
      <c r="A3088" s="29" t="s">
        <v>1017</v>
      </c>
      <c r="B3088" s="29" t="s">
        <v>1042</v>
      </c>
      <c r="C3088" s="29" t="s">
        <v>1011</v>
      </c>
      <c r="D3088" s="29" t="s">
        <v>985</v>
      </c>
      <c r="E3088" s="29" t="s">
        <v>449</v>
      </c>
      <c r="F3088" s="29" t="s">
        <v>989</v>
      </c>
    </row>
    <row r="3089" spans="1:10" ht="14.25" customHeight="1" x14ac:dyDescent="0.25">
      <c r="A3089" s="25" t="s">
        <v>477</v>
      </c>
      <c r="B3089" s="26"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3089" s="58" t="str">
        <f>IFERROR(VLOOKUP("UD",'Informacion '!P:Q,2,FALSE),"")</f>
        <v>Unidad</v>
      </c>
      <c r="D3089" s="25">
        <v>1</v>
      </c>
      <c r="E3089" s="28">
        <v>230000</v>
      </c>
      <c r="F3089" s="27">
        <f ca="1">INDIRECT(ADDRESS(ROW(),COLUMN()-2,4))*INDIRECT(ADDRESS(ROW(),COLUMN()-1,4))</f>
        <v>230000</v>
      </c>
    </row>
    <row r="3090" spans="1:10" ht="14.25" customHeight="1" x14ac:dyDescent="0.25">
      <c r="E3090" s="30" t="s">
        <v>816</v>
      </c>
      <c r="F3090" s="31">
        <f ca="1">SUM(Table165[MONTO TOTAL ESTIMADO])</f>
        <v>230000</v>
      </c>
      <c r="H3090" s="21" t="str">
        <f>C3082</f>
        <v>Servicios</v>
      </c>
      <c r="I3090" s="21" t="str">
        <f>E3082</f>
        <v>No</v>
      </c>
      <c r="J3090" s="21" t="str">
        <f>D3082</f>
        <v>Compras Menores</v>
      </c>
    </row>
    <row r="3092" spans="1:10" ht="33.950000000000003" customHeight="1" x14ac:dyDescent="0.25">
      <c r="A3092" s="22" t="s">
        <v>1051</v>
      </c>
      <c r="B3092" s="22" t="s">
        <v>11</v>
      </c>
      <c r="C3092" s="22" t="s">
        <v>751</v>
      </c>
      <c r="D3092" s="22" t="s">
        <v>930</v>
      </c>
      <c r="E3092" s="22" t="s">
        <v>699</v>
      </c>
      <c r="F3092" s="22" t="s">
        <v>710</v>
      </c>
    </row>
    <row r="3093" spans="1:10" ht="14.25" customHeight="1" x14ac:dyDescent="0.25">
      <c r="A3093" s="23" t="s">
        <v>16</v>
      </c>
      <c r="B3093" s="23" t="s">
        <v>16</v>
      </c>
      <c r="C3093" s="23" t="s">
        <v>438</v>
      </c>
      <c r="D3093" s="23" t="s">
        <v>1128</v>
      </c>
      <c r="E3093" s="23" t="s">
        <v>1156</v>
      </c>
      <c r="F3093" s="23" t="s">
        <v>436</v>
      </c>
    </row>
    <row r="3094" spans="1:10" ht="14.25" customHeight="1" x14ac:dyDescent="0.25">
      <c r="A3094" s="68" t="s">
        <v>965</v>
      </c>
      <c r="B3094" s="24" t="s">
        <v>543</v>
      </c>
      <c r="C3094" s="54">
        <v>46208</v>
      </c>
      <c r="D3094" s="68" t="s">
        <v>598</v>
      </c>
      <c r="E3094" s="56" t="s">
        <v>858</v>
      </c>
      <c r="F3094" s="57" t="s">
        <v>184</v>
      </c>
    </row>
    <row r="3095" spans="1:10" ht="14.25" customHeight="1" x14ac:dyDescent="0.25">
      <c r="A3095" s="69"/>
      <c r="B3095" s="24" t="s">
        <v>112</v>
      </c>
      <c r="C3095" s="55">
        <f>IF(C3094="","",IF(AND(MONTH(C3094)&gt;=1,MONTH(C3094)&lt;=3),1,IF(AND(MONTH(C3094)&gt;=4,MONTH(C3094)&lt;=6),2,IF(AND(MONTH(C3094)&gt;=7,MONTH(C3094)&lt;=9),3,4))))</f>
        <v>3</v>
      </c>
      <c r="D3095" s="69"/>
      <c r="E3095" s="56" t="s">
        <v>143</v>
      </c>
      <c r="F3095" s="57"/>
    </row>
    <row r="3096" spans="1:10" ht="14.25" customHeight="1" x14ac:dyDescent="0.25">
      <c r="A3096" s="69"/>
      <c r="B3096" s="24" t="s">
        <v>844</v>
      </c>
      <c r="C3096" s="54">
        <v>46233</v>
      </c>
      <c r="D3096" s="69"/>
      <c r="E3096" s="56" t="s">
        <v>183</v>
      </c>
      <c r="F3096" s="57"/>
    </row>
    <row r="3097" spans="1:10" ht="14.25" customHeight="1" x14ac:dyDescent="0.25">
      <c r="A3097" s="69"/>
      <c r="B3097" s="24" t="s">
        <v>112</v>
      </c>
      <c r="C3097" s="55">
        <f>IF(C3096="","",IF(AND(MONTH(C3096)&gt;=1,MONTH(C3096)&lt;=3),1,IF(AND(MONTH(C3096)&gt;=4,MONTH(C3096)&lt;=6),2,IF(AND(MONTH(C3096)&gt;=7,MONTH(C3096)&lt;=9),3,4))))</f>
        <v>3</v>
      </c>
      <c r="D3097" s="69"/>
      <c r="E3097" s="56" t="s">
        <v>865</v>
      </c>
      <c r="F3097" s="57"/>
    </row>
    <row r="3099" spans="1:10" ht="14.25" customHeight="1" x14ac:dyDescent="0.25">
      <c r="A3099" s="29" t="s">
        <v>1017</v>
      </c>
      <c r="B3099" s="29" t="s">
        <v>1042</v>
      </c>
      <c r="C3099" s="29" t="s">
        <v>1011</v>
      </c>
      <c r="D3099" s="29" t="s">
        <v>985</v>
      </c>
      <c r="E3099" s="29" t="s">
        <v>449</v>
      </c>
      <c r="F3099" s="29" t="s">
        <v>989</v>
      </c>
    </row>
    <row r="3100" spans="1:10" ht="14.25" customHeight="1" x14ac:dyDescent="0.25">
      <c r="A3100" s="25" t="s">
        <v>1201</v>
      </c>
      <c r="B3100" s="26" t="str">
        <f t="shared" ref="B3100:B3108" ca="1" si="101">IFERROR(INDEX(UNSPSCDes,MATCH(INDIRECT(ADDRESS(ROW(),COLUMN()-1,4)),UNSPSCCode,0)),IF(INDIRECT(ADDRESS(ROW(),COLUMN()-1,4))="76111801","Limpieza de carros o barcos",""))</f>
        <v>Limpieza de carros o barcos</v>
      </c>
      <c r="C3100" s="58" t="str">
        <f>IFERROR(VLOOKUP("UD",'Informacion '!P:Q,2,FALSE),"")</f>
        <v>Unidad</v>
      </c>
      <c r="D3100" s="25">
        <v>300</v>
      </c>
      <c r="E3100" s="28">
        <v>1500</v>
      </c>
      <c r="F3100" s="27">
        <f t="shared" ref="F3100:F3108" ca="1" si="102">INDIRECT(ADDRESS(ROW(),COLUMN()-2,4))*INDIRECT(ADDRESS(ROW(),COLUMN()-1,4))</f>
        <v>450000</v>
      </c>
    </row>
    <row r="3101" spans="1:10" ht="14.25" customHeight="1" x14ac:dyDescent="0.25">
      <c r="A3101" s="25" t="s">
        <v>1201</v>
      </c>
      <c r="B3101" s="26" t="str">
        <f t="shared" ca="1" si="101"/>
        <v>Limpieza de carros o barcos</v>
      </c>
      <c r="C3101" s="58" t="str">
        <f>IFERROR(VLOOKUP("UD",'Informacion '!P:Q,2,FALSE),"")</f>
        <v>Unidad</v>
      </c>
      <c r="D3101" s="25">
        <v>150</v>
      </c>
      <c r="E3101" s="28">
        <v>8000</v>
      </c>
      <c r="F3101" s="27">
        <f t="shared" ca="1" si="102"/>
        <v>1200000</v>
      </c>
    </row>
    <row r="3102" spans="1:10" ht="14.25" customHeight="1" x14ac:dyDescent="0.25">
      <c r="A3102" s="25" t="s">
        <v>1201</v>
      </c>
      <c r="B3102" s="26" t="str">
        <f t="shared" ca="1" si="101"/>
        <v>Limpieza de carros o barcos</v>
      </c>
      <c r="C3102" s="58" t="str">
        <f>IFERROR(VLOOKUP("UD",'Informacion '!P:Q,2,FALSE),"")</f>
        <v>Unidad</v>
      </c>
      <c r="D3102" s="25">
        <v>150</v>
      </c>
      <c r="E3102" s="28">
        <v>3000</v>
      </c>
      <c r="F3102" s="27">
        <f t="shared" ca="1" si="102"/>
        <v>450000</v>
      </c>
    </row>
    <row r="3103" spans="1:10" ht="14.25" customHeight="1" x14ac:dyDescent="0.25">
      <c r="A3103" s="25" t="s">
        <v>1201</v>
      </c>
      <c r="B3103" s="26" t="str">
        <f t="shared" ca="1" si="101"/>
        <v>Limpieza de carros o barcos</v>
      </c>
      <c r="C3103" s="58" t="str">
        <f>IFERROR(VLOOKUP("UD",'Informacion '!P:Q,2,FALSE),"")</f>
        <v>Unidad</v>
      </c>
      <c r="D3103" s="25">
        <v>70</v>
      </c>
      <c r="E3103" s="28">
        <v>9000</v>
      </c>
      <c r="F3103" s="27">
        <f t="shared" ca="1" si="102"/>
        <v>630000</v>
      </c>
    </row>
    <row r="3104" spans="1:10" ht="14.25" customHeight="1" x14ac:dyDescent="0.25">
      <c r="A3104" s="25" t="s">
        <v>1201</v>
      </c>
      <c r="B3104" s="26" t="str">
        <f t="shared" ca="1" si="101"/>
        <v>Limpieza de carros o barcos</v>
      </c>
      <c r="C3104" s="58" t="str">
        <f>IFERROR(VLOOKUP("UD",'Informacion '!P:Q,2,FALSE),"")</f>
        <v>Unidad</v>
      </c>
      <c r="D3104" s="25">
        <v>50</v>
      </c>
      <c r="E3104" s="28">
        <v>8500</v>
      </c>
      <c r="F3104" s="27">
        <f t="shared" ca="1" si="102"/>
        <v>425000</v>
      </c>
    </row>
    <row r="3105" spans="1:10" ht="14.25" customHeight="1" x14ac:dyDescent="0.25">
      <c r="A3105" s="25" t="s">
        <v>1201</v>
      </c>
      <c r="B3105" s="26" t="str">
        <f t="shared" ca="1" si="101"/>
        <v>Limpieza de carros o barcos</v>
      </c>
      <c r="C3105" s="58" t="str">
        <f>IFERROR(VLOOKUP("UD",'Informacion '!P:Q,2,FALSE),"")</f>
        <v>Unidad</v>
      </c>
      <c r="D3105" s="25">
        <v>50</v>
      </c>
      <c r="E3105" s="28">
        <v>12500</v>
      </c>
      <c r="F3105" s="27">
        <f t="shared" ca="1" si="102"/>
        <v>625000</v>
      </c>
    </row>
    <row r="3106" spans="1:10" ht="14.25" customHeight="1" x14ac:dyDescent="0.25">
      <c r="A3106" s="25" t="s">
        <v>1201</v>
      </c>
      <c r="B3106" s="26" t="str">
        <f t="shared" ca="1" si="101"/>
        <v>Limpieza de carros o barcos</v>
      </c>
      <c r="C3106" s="58" t="str">
        <f>IFERROR(VLOOKUP("UD",'Informacion '!P:Q,2,FALSE),"")</f>
        <v>Unidad</v>
      </c>
      <c r="D3106" s="25">
        <v>50</v>
      </c>
      <c r="E3106" s="28">
        <v>6000</v>
      </c>
      <c r="F3106" s="27">
        <f t="shared" ca="1" si="102"/>
        <v>300000</v>
      </c>
    </row>
    <row r="3107" spans="1:10" ht="14.25" customHeight="1" x14ac:dyDescent="0.25">
      <c r="A3107" s="25" t="s">
        <v>1201</v>
      </c>
      <c r="B3107" s="26" t="str">
        <f t="shared" ca="1" si="101"/>
        <v>Limpieza de carros o barcos</v>
      </c>
      <c r="C3107" s="58" t="str">
        <f>IFERROR(VLOOKUP("UD",'Informacion '!P:Q,2,FALSE),"")</f>
        <v>Unidad</v>
      </c>
      <c r="D3107" s="25">
        <v>15</v>
      </c>
      <c r="E3107" s="28">
        <v>19000</v>
      </c>
      <c r="F3107" s="27">
        <f t="shared" ca="1" si="102"/>
        <v>285000</v>
      </c>
    </row>
    <row r="3108" spans="1:10" ht="14.25" customHeight="1" x14ac:dyDescent="0.25">
      <c r="A3108" s="25" t="s">
        <v>1201</v>
      </c>
      <c r="B3108" s="26" t="str">
        <f t="shared" ca="1" si="101"/>
        <v>Limpieza de carros o barcos</v>
      </c>
      <c r="C3108" s="58" t="str">
        <f>IFERROR(VLOOKUP("UD",'Informacion '!P:Q,2,FALSE),"")</f>
        <v>Unidad</v>
      </c>
      <c r="D3108" s="25">
        <v>30</v>
      </c>
      <c r="E3108" s="28">
        <v>14000</v>
      </c>
      <c r="F3108" s="27">
        <f t="shared" ca="1" si="102"/>
        <v>420000</v>
      </c>
    </row>
    <row r="3109" spans="1:10" ht="14.25" customHeight="1" x14ac:dyDescent="0.25">
      <c r="E3109" s="30" t="s">
        <v>816</v>
      </c>
      <c r="F3109" s="31">
        <f ca="1">SUM(Table166[MONTO TOTAL ESTIMADO])</f>
        <v>4785000</v>
      </c>
      <c r="H3109" s="21" t="str">
        <f>C3093</f>
        <v>Servicios</v>
      </c>
      <c r="I3109" s="21" t="str">
        <f>E3093</f>
        <v>No</v>
      </c>
      <c r="J3109" s="21" t="str">
        <f>D3093</f>
        <v>Compras Menores</v>
      </c>
    </row>
    <row r="3111" spans="1:10" ht="33.950000000000003" customHeight="1" x14ac:dyDescent="0.25">
      <c r="A3111" s="22" t="s">
        <v>1051</v>
      </c>
      <c r="B3111" s="22" t="s">
        <v>11</v>
      </c>
      <c r="C3111" s="22" t="s">
        <v>751</v>
      </c>
      <c r="D3111" s="22" t="s">
        <v>930</v>
      </c>
      <c r="E3111" s="22" t="s">
        <v>699</v>
      </c>
      <c r="F3111" s="22" t="s">
        <v>710</v>
      </c>
    </row>
    <row r="3112" spans="1:10" ht="14.25" customHeight="1" x14ac:dyDescent="0.25">
      <c r="A3112" s="23" t="s">
        <v>673</v>
      </c>
      <c r="B3112" s="23" t="s">
        <v>673</v>
      </c>
      <c r="C3112" s="23" t="s">
        <v>1155</v>
      </c>
      <c r="D3112" s="23" t="s">
        <v>146</v>
      </c>
      <c r="E3112" s="23" t="s">
        <v>1156</v>
      </c>
      <c r="F3112" s="23" t="s">
        <v>436</v>
      </c>
    </row>
    <row r="3113" spans="1:10" ht="14.25" customHeight="1" x14ac:dyDescent="0.25">
      <c r="A3113" s="68" t="s">
        <v>965</v>
      </c>
      <c r="B3113" s="24" t="s">
        <v>543</v>
      </c>
      <c r="C3113" s="54">
        <v>46113</v>
      </c>
      <c r="D3113" s="68" t="s">
        <v>598</v>
      </c>
      <c r="E3113" s="56" t="s">
        <v>858</v>
      </c>
      <c r="F3113" s="57" t="s">
        <v>184</v>
      </c>
    </row>
    <row r="3114" spans="1:10" ht="14.25" customHeight="1" x14ac:dyDescent="0.25">
      <c r="A3114" s="69"/>
      <c r="B3114" s="24" t="s">
        <v>112</v>
      </c>
      <c r="C3114" s="55">
        <f>IF(C3113="","",IF(AND(MONTH(C3113)&gt;=1,MONTH(C3113)&lt;=3),1,IF(AND(MONTH(C3113)&gt;=4,MONTH(C3113)&lt;=6),2,IF(AND(MONTH(C3113)&gt;=7,MONTH(C3113)&lt;=9),3,4))))</f>
        <v>2</v>
      </c>
      <c r="D3114" s="69"/>
      <c r="E3114" s="56" t="s">
        <v>143</v>
      </c>
      <c r="F3114" s="57"/>
    </row>
    <row r="3115" spans="1:10" ht="14.25" customHeight="1" x14ac:dyDescent="0.25">
      <c r="A3115" s="69"/>
      <c r="B3115" s="24" t="s">
        <v>844</v>
      </c>
      <c r="C3115" s="54">
        <v>46173</v>
      </c>
      <c r="D3115" s="69"/>
      <c r="E3115" s="56" t="s">
        <v>183</v>
      </c>
      <c r="F3115" s="57"/>
    </row>
    <row r="3116" spans="1:10" ht="14.25" customHeight="1" x14ac:dyDescent="0.25">
      <c r="A3116" s="69"/>
      <c r="B3116" s="24" t="s">
        <v>112</v>
      </c>
      <c r="C3116" s="55">
        <f>IF(C3115="","",IF(AND(MONTH(C3115)&gt;=1,MONTH(C3115)&lt;=3),1,IF(AND(MONTH(C3115)&gt;=4,MONTH(C3115)&lt;=6),2,IF(AND(MONTH(C3115)&gt;=7,MONTH(C3115)&lt;=9),3,4))))</f>
        <v>2</v>
      </c>
      <c r="D3116" s="69"/>
      <c r="E3116" s="56" t="s">
        <v>865</v>
      </c>
      <c r="F3116" s="57"/>
    </row>
    <row r="3118" spans="1:10" ht="14.25" customHeight="1" x14ac:dyDescent="0.25">
      <c r="A3118" s="29" t="s">
        <v>1017</v>
      </c>
      <c r="B3118" s="29" t="s">
        <v>1042</v>
      </c>
      <c r="C3118" s="29" t="s">
        <v>1011</v>
      </c>
      <c r="D3118" s="29" t="s">
        <v>985</v>
      </c>
      <c r="E3118" s="29" t="s">
        <v>449</v>
      </c>
      <c r="F3118" s="29" t="s">
        <v>989</v>
      </c>
    </row>
    <row r="3119" spans="1:10" ht="14.25" customHeight="1" x14ac:dyDescent="0.25">
      <c r="A3119" s="25" t="s">
        <v>94</v>
      </c>
      <c r="B3119" s="26" t="str">
        <f ca="1">IFERROR(INDEX(UNSPSCDes,MATCH(INDIRECT(ADDRESS(ROW(),COLUMN()-1,4)),UNSPSCCode,0)),IF(INDIRECT(ADDRESS(ROW(),COLUMN()-1,4))="43211501","Servidores de computador",""))</f>
        <v>Servidores de computador</v>
      </c>
      <c r="C3119" s="58" t="str">
        <f>IFERROR(VLOOKUP("UD",'Informacion '!P:Q,2,FALSE),"")</f>
        <v>Unidad</v>
      </c>
      <c r="D3119" s="25">
        <v>1</v>
      </c>
      <c r="E3119" s="28">
        <v>10000000</v>
      </c>
      <c r="F3119" s="27">
        <f ca="1">INDIRECT(ADDRESS(ROW(),COLUMN()-2,4))*INDIRECT(ADDRESS(ROW(),COLUMN()-1,4))</f>
        <v>10000000</v>
      </c>
    </row>
    <row r="3120" spans="1:10" ht="14.25" customHeight="1" x14ac:dyDescent="0.25">
      <c r="E3120" s="30" t="s">
        <v>816</v>
      </c>
      <c r="F3120" s="31">
        <f ca="1">SUM(Table167[MONTO TOTAL ESTIMADO])</f>
        <v>10000000</v>
      </c>
      <c r="H3120" s="21" t="str">
        <f>C3112</f>
        <v>Bienes</v>
      </c>
      <c r="I3120" s="21" t="str">
        <f>E3112</f>
        <v>No</v>
      </c>
      <c r="J3120" s="21" t="str">
        <f>D3112</f>
        <v>Licitacion Publica</v>
      </c>
    </row>
    <row r="3122" spans="1:10" ht="33.950000000000003" customHeight="1" x14ac:dyDescent="0.25">
      <c r="A3122" s="22" t="s">
        <v>1051</v>
      </c>
      <c r="B3122" s="22" t="s">
        <v>11</v>
      </c>
      <c r="C3122" s="22" t="s">
        <v>751</v>
      </c>
      <c r="D3122" s="22" t="s">
        <v>930</v>
      </c>
      <c r="E3122" s="22" t="s">
        <v>699</v>
      </c>
      <c r="F3122" s="22" t="s">
        <v>710</v>
      </c>
    </row>
    <row r="3123" spans="1:10" ht="14.25" customHeight="1" x14ac:dyDescent="0.25">
      <c r="A3123" s="23" t="s">
        <v>1036</v>
      </c>
      <c r="B3123" s="23" t="s">
        <v>1036</v>
      </c>
      <c r="C3123" s="23" t="s">
        <v>1155</v>
      </c>
      <c r="D3123" s="23" t="s">
        <v>1128</v>
      </c>
      <c r="E3123" s="23" t="s">
        <v>1156</v>
      </c>
      <c r="F3123" s="23" t="s">
        <v>436</v>
      </c>
    </row>
    <row r="3124" spans="1:10" ht="14.25" customHeight="1" x14ac:dyDescent="0.25">
      <c r="A3124" s="68" t="s">
        <v>965</v>
      </c>
      <c r="B3124" s="24" t="s">
        <v>543</v>
      </c>
      <c r="C3124" s="54">
        <v>46143</v>
      </c>
      <c r="D3124" s="68" t="s">
        <v>598</v>
      </c>
      <c r="E3124" s="56" t="s">
        <v>858</v>
      </c>
      <c r="F3124" s="57"/>
    </row>
    <row r="3125" spans="1:10" ht="14.25" customHeight="1" x14ac:dyDescent="0.25">
      <c r="A3125" s="69"/>
      <c r="B3125" s="24" t="s">
        <v>112</v>
      </c>
      <c r="C3125" s="55">
        <f>IF(C3124="","",IF(AND(MONTH(C3124)&gt;=1,MONTH(C3124)&lt;=3),1,IF(AND(MONTH(C3124)&gt;=4,MONTH(C3124)&lt;=6),2,IF(AND(MONTH(C3124)&gt;=7,MONTH(C3124)&lt;=9),3,4))))</f>
        <v>2</v>
      </c>
      <c r="D3125" s="69"/>
      <c r="E3125" s="56" t="s">
        <v>143</v>
      </c>
      <c r="F3125" s="57"/>
    </row>
    <row r="3126" spans="1:10" ht="14.25" customHeight="1" x14ac:dyDescent="0.25">
      <c r="A3126" s="69"/>
      <c r="B3126" s="24" t="s">
        <v>844</v>
      </c>
      <c r="C3126" s="54">
        <v>46173</v>
      </c>
      <c r="D3126" s="69"/>
      <c r="E3126" s="56" t="s">
        <v>183</v>
      </c>
      <c r="F3126" s="57"/>
    </row>
    <row r="3127" spans="1:10" ht="14.25" customHeight="1" x14ac:dyDescent="0.25">
      <c r="A3127" s="69"/>
      <c r="B3127" s="24" t="s">
        <v>112</v>
      </c>
      <c r="C3127" s="55">
        <f>IF(C3126="","",IF(AND(MONTH(C3126)&gt;=1,MONTH(C3126)&lt;=3),1,IF(AND(MONTH(C3126)&gt;=4,MONTH(C3126)&lt;=6),2,IF(AND(MONTH(C3126)&gt;=7,MONTH(C3126)&lt;=9),3,4))))</f>
        <v>2</v>
      </c>
      <c r="D3127" s="69"/>
      <c r="E3127" s="56" t="s">
        <v>865</v>
      </c>
      <c r="F3127" s="57"/>
    </row>
    <row r="3129" spans="1:10" ht="14.25" customHeight="1" x14ac:dyDescent="0.25">
      <c r="A3129" s="29" t="s">
        <v>1017</v>
      </c>
      <c r="B3129" s="29" t="s">
        <v>1042</v>
      </c>
      <c r="C3129" s="29" t="s">
        <v>1011</v>
      </c>
      <c r="D3129" s="29" t="s">
        <v>985</v>
      </c>
      <c r="E3129" s="29" t="s">
        <v>449</v>
      </c>
      <c r="F3129" s="29" t="s">
        <v>989</v>
      </c>
    </row>
    <row r="3130" spans="1:10" ht="14.25" customHeight="1" x14ac:dyDescent="0.25">
      <c r="A3130" s="25" t="s">
        <v>648</v>
      </c>
      <c r="B3130" s="26" t="str">
        <f ca="1">IFERROR(INDEX(UNSPSCDes,MATCH(INDIRECT(ADDRESS(ROW(),COLUMN()-1,4)),UNSPSCCode,0)),IF(INDIRECT(ADDRESS(ROW(),COLUMN()-1,4))="25173107","Sistemas de posicionamiento global de vehículos",""))</f>
        <v>Sistemas de posicionamiento global de vehículos</v>
      </c>
      <c r="C3130" s="58" t="str">
        <f>IFERROR(VLOOKUP("UD",'Informacion '!P:Q,2,FALSE),"")</f>
        <v>Unidad</v>
      </c>
      <c r="D3130" s="25">
        <v>1</v>
      </c>
      <c r="E3130" s="28">
        <v>800000</v>
      </c>
      <c r="F3130" s="27">
        <f ca="1">INDIRECT(ADDRESS(ROW(),COLUMN()-2,4))*INDIRECT(ADDRESS(ROW(),COLUMN()-1,4))</f>
        <v>800000</v>
      </c>
    </row>
    <row r="3131" spans="1:10" ht="14.25" customHeight="1" x14ac:dyDescent="0.25">
      <c r="E3131" s="30" t="s">
        <v>816</v>
      </c>
      <c r="F3131" s="31">
        <f ca="1">SUM(Table168[MONTO TOTAL ESTIMADO])</f>
        <v>800000</v>
      </c>
      <c r="H3131" s="21" t="str">
        <f>C3123</f>
        <v>Bienes</v>
      </c>
      <c r="I3131" s="21" t="str">
        <f>E3123</f>
        <v>No</v>
      </c>
      <c r="J3131" s="21" t="str">
        <f>D3123</f>
        <v>Compras Menores</v>
      </c>
    </row>
    <row r="3133" spans="1:10" ht="33.950000000000003" customHeight="1" x14ac:dyDescent="0.25">
      <c r="A3133" s="22" t="s">
        <v>1051</v>
      </c>
      <c r="B3133" s="22" t="s">
        <v>11</v>
      </c>
      <c r="C3133" s="22" t="s">
        <v>751</v>
      </c>
      <c r="D3133" s="22" t="s">
        <v>930</v>
      </c>
      <c r="E3133" s="22" t="s">
        <v>699</v>
      </c>
      <c r="F3133" s="22" t="s">
        <v>710</v>
      </c>
    </row>
    <row r="3134" spans="1:10" ht="14.25" customHeight="1" x14ac:dyDescent="0.25">
      <c r="A3134" s="23" t="s">
        <v>564</v>
      </c>
      <c r="B3134" s="23" t="s">
        <v>564</v>
      </c>
      <c r="C3134" s="23" t="s">
        <v>1155</v>
      </c>
      <c r="D3134" s="23" t="s">
        <v>654</v>
      </c>
      <c r="E3134" s="23" t="s">
        <v>385</v>
      </c>
      <c r="F3134" s="23" t="s">
        <v>436</v>
      </c>
    </row>
    <row r="3135" spans="1:10" ht="14.25" customHeight="1" x14ac:dyDescent="0.25">
      <c r="A3135" s="68" t="s">
        <v>965</v>
      </c>
      <c r="B3135" s="24" t="s">
        <v>543</v>
      </c>
      <c r="C3135" s="54">
        <v>46054</v>
      </c>
      <c r="D3135" s="68" t="s">
        <v>598</v>
      </c>
      <c r="E3135" s="56" t="s">
        <v>858</v>
      </c>
      <c r="F3135" s="57" t="s">
        <v>184</v>
      </c>
    </row>
    <row r="3136" spans="1:10" ht="14.25" customHeight="1" x14ac:dyDescent="0.25">
      <c r="A3136" s="69"/>
      <c r="B3136" s="24" t="s">
        <v>112</v>
      </c>
      <c r="C3136" s="55">
        <f>IF(C3135="","",IF(AND(MONTH(C3135)&gt;=1,MONTH(C3135)&lt;=3),1,IF(AND(MONTH(C3135)&gt;=4,MONTH(C3135)&lt;=6),2,IF(AND(MONTH(C3135)&gt;=7,MONTH(C3135)&lt;=9),3,4))))</f>
        <v>1</v>
      </c>
      <c r="D3136" s="69"/>
      <c r="E3136" s="56" t="s">
        <v>143</v>
      </c>
      <c r="F3136" s="57"/>
    </row>
    <row r="3137" spans="1:10" ht="14.25" customHeight="1" x14ac:dyDescent="0.25">
      <c r="A3137" s="69"/>
      <c r="B3137" s="24" t="s">
        <v>844</v>
      </c>
      <c r="C3137" s="54">
        <v>46112</v>
      </c>
      <c r="D3137" s="69"/>
      <c r="E3137" s="56" t="s">
        <v>183</v>
      </c>
      <c r="F3137" s="57"/>
    </row>
    <row r="3138" spans="1:10" ht="14.25" customHeight="1" x14ac:dyDescent="0.25">
      <c r="A3138" s="69"/>
      <c r="B3138" s="24" t="s">
        <v>112</v>
      </c>
      <c r="C3138" s="55">
        <f>IF(C3137="","",IF(AND(MONTH(C3137)&gt;=1,MONTH(C3137)&lt;=3),1,IF(AND(MONTH(C3137)&gt;=4,MONTH(C3137)&lt;=6),2,IF(AND(MONTH(C3137)&gt;=7,MONTH(C3137)&lt;=9),3,4))))</f>
        <v>1</v>
      </c>
      <c r="D3138" s="69"/>
      <c r="E3138" s="56" t="s">
        <v>865</v>
      </c>
      <c r="F3138" s="57"/>
    </row>
    <row r="3140" spans="1:10" ht="14.25" customHeight="1" x14ac:dyDescent="0.25">
      <c r="A3140" s="29" t="s">
        <v>1017</v>
      </c>
      <c r="B3140" s="29" t="s">
        <v>1042</v>
      </c>
      <c r="C3140" s="29" t="s">
        <v>1011</v>
      </c>
      <c r="D3140" s="29" t="s">
        <v>985</v>
      </c>
      <c r="E3140" s="29" t="s">
        <v>449</v>
      </c>
      <c r="F3140" s="29" t="s">
        <v>989</v>
      </c>
    </row>
    <row r="3141" spans="1:10" ht="14.25" customHeight="1" x14ac:dyDescent="0.25">
      <c r="A3141" s="25" t="s">
        <v>1000</v>
      </c>
      <c r="B3141" s="26" t="str">
        <f ca="1">IFERROR(INDEX(UNSPSCDes,MATCH(INDIRECT(ADDRESS(ROW(),COLUMN()-1,4)),UNSPSCCode,0)),IF(INDIRECT(ADDRESS(ROW(),COLUMN()-1,4))="55121715","Banderas o accesorios",""))</f>
        <v>Banderas o accesorios</v>
      </c>
      <c r="C3141" s="58" t="str">
        <f>IFERROR(VLOOKUP("UD",'Informacion '!P:Q,2,FALSE),"")</f>
        <v>Unidad</v>
      </c>
      <c r="D3141" s="25">
        <v>5</v>
      </c>
      <c r="E3141" s="28">
        <v>5000</v>
      </c>
      <c r="F3141" s="27">
        <f ca="1">INDIRECT(ADDRESS(ROW(),COLUMN()-2,4))*INDIRECT(ADDRESS(ROW(),COLUMN()-1,4))</f>
        <v>25000</v>
      </c>
    </row>
    <row r="3142" spans="1:10" ht="14.25" customHeight="1" x14ac:dyDescent="0.25">
      <c r="A3142" s="25" t="s">
        <v>1000</v>
      </c>
      <c r="B3142" s="26" t="str">
        <f ca="1">IFERROR(INDEX(UNSPSCDes,MATCH(INDIRECT(ADDRESS(ROW(),COLUMN()-1,4)),UNSPSCCode,0)),IF(INDIRECT(ADDRESS(ROW(),COLUMN()-1,4))="55121715","Banderas o accesorios",""))</f>
        <v>Banderas o accesorios</v>
      </c>
      <c r="C3142" s="58" t="str">
        <f>IFERROR(VLOOKUP("UD",'Informacion '!P:Q,2,FALSE),"")</f>
        <v>Unidad</v>
      </c>
      <c r="D3142" s="25">
        <v>5</v>
      </c>
      <c r="E3142" s="28">
        <v>5000</v>
      </c>
      <c r="F3142" s="27">
        <f ca="1">INDIRECT(ADDRESS(ROW(),COLUMN()-2,4))*INDIRECT(ADDRESS(ROW(),COLUMN()-1,4))</f>
        <v>25000</v>
      </c>
    </row>
    <row r="3143" spans="1:10" ht="14.25" customHeight="1" x14ac:dyDescent="0.25">
      <c r="A3143" s="25" t="s">
        <v>1000</v>
      </c>
      <c r="B3143" s="26" t="str">
        <f ca="1">IFERROR(INDEX(UNSPSCDes,MATCH(INDIRECT(ADDRESS(ROW(),COLUMN()-1,4)),UNSPSCCode,0)),IF(INDIRECT(ADDRESS(ROW(),COLUMN()-1,4))="55121715","Banderas o accesorios",""))</f>
        <v>Banderas o accesorios</v>
      </c>
      <c r="C3143" s="58" t="str">
        <f>IFERROR(VLOOKUP("UD",'Informacion '!P:Q,2,FALSE),"")</f>
        <v>Unidad</v>
      </c>
      <c r="D3143" s="25">
        <v>5</v>
      </c>
      <c r="E3143" s="28">
        <v>2000</v>
      </c>
      <c r="F3143" s="27">
        <f ca="1">INDIRECT(ADDRESS(ROW(),COLUMN()-2,4))*INDIRECT(ADDRESS(ROW(),COLUMN()-1,4))</f>
        <v>10000</v>
      </c>
    </row>
    <row r="3144" spans="1:10" ht="14.25" customHeight="1" x14ac:dyDescent="0.25">
      <c r="A3144" s="25" t="s">
        <v>1039</v>
      </c>
      <c r="B3144" s="26" t="str">
        <f ca="1">IFERROR(INDEX(UNSPSCDes,MATCH(INDIRECT(ADDRESS(ROW(),COLUMN()-1,4)),UNSPSCCode,0)),IF(INDIRECT(ADDRESS(ROW(),COLUMN()-1,4))="55121722","Mástiles de bandera, piezas o accesorios",""))</f>
        <v>Mástiles de bandera, piezas o accesorios</v>
      </c>
      <c r="C3144" s="58" t="str">
        <f>IFERROR(VLOOKUP("UD",'Informacion '!P:Q,2,FALSE),"")</f>
        <v>Unidad</v>
      </c>
      <c r="D3144" s="25">
        <v>4</v>
      </c>
      <c r="E3144" s="28">
        <v>8000</v>
      </c>
      <c r="F3144" s="27">
        <f ca="1">INDIRECT(ADDRESS(ROW(),COLUMN()-2,4))*INDIRECT(ADDRESS(ROW(),COLUMN()-1,4))</f>
        <v>32000</v>
      </c>
    </row>
    <row r="3145" spans="1:10" ht="14.25" customHeight="1" x14ac:dyDescent="0.25">
      <c r="E3145" s="30" t="s">
        <v>816</v>
      </c>
      <c r="F3145" s="31">
        <f ca="1">SUM(Table169[MONTO TOTAL ESTIMADO])</f>
        <v>92000</v>
      </c>
      <c r="H3145" s="21" t="str">
        <f>C3134</f>
        <v>Bienes</v>
      </c>
      <c r="I3145" s="21" t="str">
        <f>E3134</f>
        <v>MIPYME Mujeres</v>
      </c>
      <c r="J3145" s="21" t="str">
        <f>D3134</f>
        <v>Compras por debajo del Umbral</v>
      </c>
    </row>
    <row r="3147" spans="1:10" ht="33.950000000000003" customHeight="1" x14ac:dyDescent="0.25">
      <c r="A3147" s="22" t="s">
        <v>1051</v>
      </c>
      <c r="B3147" s="22" t="s">
        <v>11</v>
      </c>
      <c r="C3147" s="22" t="s">
        <v>751</v>
      </c>
      <c r="D3147" s="22" t="s">
        <v>930</v>
      </c>
      <c r="E3147" s="22" t="s">
        <v>699</v>
      </c>
      <c r="F3147" s="22" t="s">
        <v>710</v>
      </c>
    </row>
    <row r="3148" spans="1:10" ht="14.25" customHeight="1" x14ac:dyDescent="0.25">
      <c r="A3148" s="23" t="s">
        <v>340</v>
      </c>
      <c r="B3148" s="23" t="s">
        <v>467</v>
      </c>
      <c r="C3148" s="23" t="s">
        <v>1155</v>
      </c>
      <c r="D3148" s="23" t="s">
        <v>1128</v>
      </c>
      <c r="E3148" s="23" t="s">
        <v>561</v>
      </c>
      <c r="F3148" s="23" t="s">
        <v>436</v>
      </c>
    </row>
    <row r="3149" spans="1:10" ht="14.25" customHeight="1" x14ac:dyDescent="0.25">
      <c r="A3149" s="68" t="s">
        <v>965</v>
      </c>
      <c r="B3149" s="24" t="s">
        <v>543</v>
      </c>
      <c r="C3149" s="54">
        <v>46218</v>
      </c>
      <c r="D3149" s="68" t="s">
        <v>598</v>
      </c>
      <c r="E3149" s="56" t="s">
        <v>858</v>
      </c>
      <c r="F3149" s="57" t="s">
        <v>184</v>
      </c>
    </row>
    <row r="3150" spans="1:10" ht="14.25" customHeight="1" x14ac:dyDescent="0.25">
      <c r="A3150" s="69"/>
      <c r="B3150" s="24" t="s">
        <v>112</v>
      </c>
      <c r="C3150" s="55">
        <f>IF(C3149="","",IF(AND(MONTH(C3149)&gt;=1,MONTH(C3149)&lt;=3),1,IF(AND(MONTH(C3149)&gt;=4,MONTH(C3149)&lt;=6),2,IF(AND(MONTH(C3149)&gt;=7,MONTH(C3149)&lt;=9),3,4))))</f>
        <v>3</v>
      </c>
      <c r="D3150" s="69"/>
      <c r="E3150" s="56" t="s">
        <v>143</v>
      </c>
      <c r="F3150" s="57"/>
    </row>
    <row r="3151" spans="1:10" ht="14.25" customHeight="1" x14ac:dyDescent="0.25">
      <c r="A3151" s="69"/>
      <c r="B3151" s="24" t="s">
        <v>844</v>
      </c>
      <c r="C3151" s="54">
        <v>46256</v>
      </c>
      <c r="D3151" s="69"/>
      <c r="E3151" s="56" t="s">
        <v>183</v>
      </c>
      <c r="F3151" s="57"/>
    </row>
    <row r="3152" spans="1:10" ht="14.25" customHeight="1" x14ac:dyDescent="0.25">
      <c r="A3152" s="69"/>
      <c r="B3152" s="24" t="s">
        <v>112</v>
      </c>
      <c r="C3152" s="55">
        <f>IF(C3151="","",IF(AND(MONTH(C3151)&gt;=1,MONTH(C3151)&lt;=3),1,IF(AND(MONTH(C3151)&gt;=4,MONTH(C3151)&lt;=6),2,IF(AND(MONTH(C3151)&gt;=7,MONTH(C3151)&lt;=9),3,4))))</f>
        <v>3</v>
      </c>
      <c r="D3152" s="69"/>
      <c r="E3152" s="56" t="s">
        <v>865</v>
      </c>
      <c r="F3152" s="57"/>
    </row>
    <row r="3154" spans="1:6" ht="14.25" customHeight="1" x14ac:dyDescent="0.25">
      <c r="A3154" s="29" t="s">
        <v>1017</v>
      </c>
      <c r="B3154" s="29" t="s">
        <v>1042</v>
      </c>
      <c r="C3154" s="29" t="s">
        <v>1011</v>
      </c>
      <c r="D3154" s="29" t="s">
        <v>985</v>
      </c>
      <c r="E3154" s="29" t="s">
        <v>449</v>
      </c>
      <c r="F3154" s="29" t="s">
        <v>989</v>
      </c>
    </row>
    <row r="3155" spans="1:6" ht="14.25" customHeight="1" x14ac:dyDescent="0.25">
      <c r="A3155" s="25" t="s">
        <v>409</v>
      </c>
      <c r="B3155" s="26" t="str">
        <f ca="1">IFERROR(INDEX(UNSPSCDes,MATCH(INDIRECT(ADDRESS(ROW(),COLUMN()-1,4)),UNSPSCCode,0)),IF(INDIRECT(ADDRESS(ROW(),COLUMN()-1,4))="44121804","Borradores",""))</f>
        <v>Borradores</v>
      </c>
      <c r="C3155" s="58" t="str">
        <f>IFERROR(VLOOKUP("UD",'Informacion '!P:Q,2,FALSE),"")</f>
        <v>Unidad</v>
      </c>
      <c r="D3155" s="25">
        <v>75</v>
      </c>
      <c r="E3155" s="28">
        <v>141.06</v>
      </c>
      <c r="F3155" s="27">
        <f t="shared" ref="F3155:F3186" ca="1" si="103">INDIRECT(ADDRESS(ROW(),COLUMN()-2,4))*INDIRECT(ADDRESS(ROW(),COLUMN()-1,4))</f>
        <v>10579.5</v>
      </c>
    </row>
    <row r="3156" spans="1:6" ht="14.25" customHeight="1" x14ac:dyDescent="0.25">
      <c r="A3156" s="25" t="s">
        <v>77</v>
      </c>
      <c r="B3156" s="26" t="str">
        <f ca="1">IFERROR(INDEX(UNSPSCDes,MATCH(INDIRECT(ADDRESS(ROW(),COLUMN()-1,4)),UNSPSCCode,0)),IF(INDIRECT(ADDRESS(ROW(),COLUMN()-1,4))="44122003","Carpetas",""))</f>
        <v>Carpetas</v>
      </c>
      <c r="C3156" s="58" t="str">
        <f>IFERROR(VLOOKUP("UD",'Informacion '!P:Q,2,FALSE),"")</f>
        <v>Unidad</v>
      </c>
      <c r="D3156" s="25">
        <v>100</v>
      </c>
      <c r="E3156" s="28">
        <v>191.16</v>
      </c>
      <c r="F3156" s="27">
        <f t="shared" ca="1" si="103"/>
        <v>19116</v>
      </c>
    </row>
    <row r="3157" spans="1:6" ht="14.25" customHeight="1" x14ac:dyDescent="0.25">
      <c r="A3157" s="25" t="s">
        <v>77</v>
      </c>
      <c r="B3157" s="26" t="str">
        <f ca="1">IFERROR(INDEX(UNSPSCDes,MATCH(INDIRECT(ADDRESS(ROW(),COLUMN()-1,4)),UNSPSCCode,0)),IF(INDIRECT(ADDRESS(ROW(),COLUMN()-1,4))="44122003","Carpetas",""))</f>
        <v>Carpetas</v>
      </c>
      <c r="C3157" s="58" t="str">
        <f>IFERROR(VLOOKUP("UD",'Informacion '!P:Q,2,FALSE),"")</f>
        <v>Unidad</v>
      </c>
      <c r="D3157" s="25">
        <v>100</v>
      </c>
      <c r="E3157" s="28">
        <v>206.05</v>
      </c>
      <c r="F3157" s="27">
        <f t="shared" ca="1" si="103"/>
        <v>20605</v>
      </c>
    </row>
    <row r="3158" spans="1:6" ht="14.25" customHeight="1" x14ac:dyDescent="0.25">
      <c r="A3158" s="25" t="s">
        <v>431</v>
      </c>
      <c r="B3158" s="26" t="str">
        <f ca="1">IFERROR(INDEX(UNSPSCDes,MATCH(INDIRECT(ADDRESS(ROW(),COLUMN()-1,4)),UNSPSCCode,0)),IF(INDIRECT(ADDRESS(ROW(),COLUMN()-1,4))="31201512","Cinta transparente",""))</f>
        <v>Cinta transparente</v>
      </c>
      <c r="C3158" s="58" t="str">
        <f>IFERROR(VLOOKUP("UD",'Informacion '!P:Q,2,FALSE),"")</f>
        <v>Unidad</v>
      </c>
      <c r="D3158" s="25">
        <v>100</v>
      </c>
      <c r="E3158" s="28">
        <v>51.92</v>
      </c>
      <c r="F3158" s="27">
        <f t="shared" ca="1" si="103"/>
        <v>5192</v>
      </c>
    </row>
    <row r="3159" spans="1:6" ht="14.25" customHeight="1" x14ac:dyDescent="0.25">
      <c r="A3159" s="25" t="s">
        <v>431</v>
      </c>
      <c r="B3159" s="26" t="str">
        <f ca="1">IFERROR(INDEX(UNSPSCDes,MATCH(INDIRECT(ADDRESS(ROW(),COLUMN()-1,4)),UNSPSCCode,0)),IF(INDIRECT(ADDRESS(ROW(),COLUMN()-1,4))="31201512","Cinta transparente",""))</f>
        <v>Cinta transparente</v>
      </c>
      <c r="C3159" s="58" t="str">
        <f>IFERROR(VLOOKUP("PAQ",'Informacion '!P:Q,2,FALSE),"")</f>
        <v>Paquete</v>
      </c>
      <c r="D3159" s="25">
        <v>100</v>
      </c>
      <c r="E3159" s="28">
        <v>1233.01</v>
      </c>
      <c r="F3159" s="27">
        <f t="shared" ca="1" si="103"/>
        <v>123301</v>
      </c>
    </row>
    <row r="3160" spans="1:6" ht="14.25" customHeight="1" x14ac:dyDescent="0.25">
      <c r="A3160" s="25" t="s">
        <v>400</v>
      </c>
      <c r="B3160" s="26" t="str">
        <f ca="1">IFERROR(INDEX(UNSPSCDes,MATCH(INDIRECT(ADDRESS(ROW(),COLUMN()-1,4)),UNSPSCCode,0)),IF(INDIRECT(ADDRESS(ROW(),COLUMN()-1,4))="44122106","Alfileres o taches",""))</f>
        <v>Alfileres o taches</v>
      </c>
      <c r="C3160" s="58" t="str">
        <f>IFERROR(VLOOKUP("CAJ",'Informacion '!P:Q,2,FALSE),"")</f>
        <v>Caja</v>
      </c>
      <c r="D3160" s="25">
        <v>100</v>
      </c>
      <c r="E3160" s="28">
        <v>77.55</v>
      </c>
      <c r="F3160" s="27">
        <f t="shared" ca="1" si="103"/>
        <v>7755</v>
      </c>
    </row>
    <row r="3161" spans="1:6" ht="14.25" customHeight="1" x14ac:dyDescent="0.25">
      <c r="A3161" s="25" t="s">
        <v>431</v>
      </c>
      <c r="B3161" s="26" t="str">
        <f ca="1">IFERROR(INDEX(UNSPSCDes,MATCH(INDIRECT(ADDRESS(ROW(),COLUMN()-1,4)),UNSPSCCode,0)),IF(INDIRECT(ADDRESS(ROW(),COLUMN()-1,4))="31201512","Cinta transparente",""))</f>
        <v>Cinta transparente</v>
      </c>
      <c r="C3161" s="58" t="str">
        <f>IFERROR(VLOOKUP("UD",'Informacion '!P:Q,2,FALSE),"")</f>
        <v>Unidad</v>
      </c>
      <c r="D3161" s="25">
        <v>100</v>
      </c>
      <c r="E3161" s="28">
        <v>33.57</v>
      </c>
      <c r="F3161" s="27">
        <f t="shared" ca="1" si="103"/>
        <v>3357</v>
      </c>
    </row>
    <row r="3162" spans="1:6" ht="14.25" customHeight="1" x14ac:dyDescent="0.25">
      <c r="A3162" s="25" t="s">
        <v>429</v>
      </c>
      <c r="B3162" s="26" t="str">
        <f ca="1">IFERROR(INDEX(UNSPSCDes,MATCH(INDIRECT(ADDRESS(ROW(),COLUMN()-1,4)),UNSPSCCode,0)),IF(INDIRECT(ADDRESS(ROW(),COLUMN()-1,4))="31201505","Cinta doble faz",""))</f>
        <v>Cinta doble faz</v>
      </c>
      <c r="C3162" s="58" t="str">
        <f>IFERROR(VLOOKUP("PAQ",'Informacion '!P:Q,2,FALSE),"")</f>
        <v>Paquete</v>
      </c>
      <c r="D3162" s="25">
        <v>100</v>
      </c>
      <c r="E3162" s="28">
        <v>1144.05</v>
      </c>
      <c r="F3162" s="27">
        <f t="shared" ca="1" si="103"/>
        <v>114405</v>
      </c>
    </row>
    <row r="3163" spans="1:6" ht="14.25" customHeight="1" x14ac:dyDescent="0.25">
      <c r="A3163" s="25" t="s">
        <v>1089</v>
      </c>
      <c r="B3163" s="26" t="str">
        <f ca="1">IFERROR(INDEX(UNSPSCDes,MATCH(INDIRECT(ADDRESS(ROW(),COLUMN()-1,4)),UNSPSCCode,0)),IF(INDIRECT(ADDRESS(ROW(),COLUMN()-1,4))="44122105","Clips para carpetas o bulldog",""))</f>
        <v>Clips para carpetas o bulldog</v>
      </c>
      <c r="C3163" s="58" t="str">
        <f>IFERROR(VLOOKUP("CAJ",'Informacion '!P:Q,2,FALSE),"")</f>
        <v>Caja</v>
      </c>
      <c r="D3163" s="25">
        <v>100</v>
      </c>
      <c r="E3163" s="28">
        <v>206.05</v>
      </c>
      <c r="F3163" s="27">
        <f t="shared" ca="1" si="103"/>
        <v>20605</v>
      </c>
    </row>
    <row r="3164" spans="1:6" ht="14.25" customHeight="1" x14ac:dyDescent="0.25">
      <c r="A3164" s="25" t="s">
        <v>894</v>
      </c>
      <c r="B3164" s="26" t="str">
        <f ca="1">IFERROR(INDEX(UNSPSCDes,MATCH(INDIRECT(ADDRESS(ROW(),COLUMN()-1,4)),UNSPSCCode,0)),IF(INDIRECT(ADDRESS(ROW(),COLUMN()-1,4))="44122104","Clips para papel",""))</f>
        <v>Clips para papel</v>
      </c>
      <c r="C3164" s="58" t="str">
        <f>IFERROR(VLOOKUP("CAJ",'Informacion '!P:Q,2,FALSE),"")</f>
        <v>Caja</v>
      </c>
      <c r="D3164" s="25">
        <v>100</v>
      </c>
      <c r="E3164" s="28">
        <v>46.08</v>
      </c>
      <c r="F3164" s="27">
        <f t="shared" ca="1" si="103"/>
        <v>4608</v>
      </c>
    </row>
    <row r="3165" spans="1:6" ht="14.25" customHeight="1" x14ac:dyDescent="0.25">
      <c r="A3165" s="25" t="s">
        <v>894</v>
      </c>
      <c r="B3165" s="26" t="str">
        <f ca="1">IFERROR(INDEX(UNSPSCDes,MATCH(INDIRECT(ADDRESS(ROW(),COLUMN()-1,4)),UNSPSCCode,0)),IF(INDIRECT(ADDRESS(ROW(),COLUMN()-1,4))="44122104","Clips para papel",""))</f>
        <v>Clips para papel</v>
      </c>
      <c r="C3165" s="58" t="str">
        <f>IFERROR(VLOOKUP("CAJ",'Informacion '!P:Q,2,FALSE),"")</f>
        <v>Caja</v>
      </c>
      <c r="D3165" s="25">
        <v>100</v>
      </c>
      <c r="E3165" s="28">
        <v>23.06</v>
      </c>
      <c r="F3165" s="27">
        <f t="shared" ca="1" si="103"/>
        <v>2306</v>
      </c>
    </row>
    <row r="3166" spans="1:6" ht="14.25" customHeight="1" x14ac:dyDescent="0.25">
      <c r="A3166" s="25" t="s">
        <v>894</v>
      </c>
      <c r="B3166" s="26" t="str">
        <f ca="1">IFERROR(INDEX(UNSPSCDes,MATCH(INDIRECT(ADDRESS(ROW(),COLUMN()-1,4)),UNSPSCCode,0)),IF(INDIRECT(ADDRESS(ROW(),COLUMN()-1,4))="44122104","Clips para papel",""))</f>
        <v>Clips para papel</v>
      </c>
      <c r="C3166" s="58" t="str">
        <f>IFERROR(VLOOKUP("CAJ",'Informacion '!P:Q,2,FALSE),"")</f>
        <v>Caja</v>
      </c>
      <c r="D3166" s="25">
        <v>100</v>
      </c>
      <c r="E3166" s="28">
        <v>17.7</v>
      </c>
      <c r="F3166" s="27">
        <f t="shared" ca="1" si="103"/>
        <v>1770</v>
      </c>
    </row>
    <row r="3167" spans="1:6" ht="14.25" customHeight="1" x14ac:dyDescent="0.25">
      <c r="A3167" s="25" t="s">
        <v>675</v>
      </c>
      <c r="B3167" s="26" t="str">
        <f ca="1">IFERROR(INDEX(UNSPSCDes,MATCH(INDIRECT(ADDRESS(ROW(),COLUMN()-1,4)),UNSPSCCode,0)),IF(INDIRECT(ADDRESS(ROW(),COLUMN()-1,4))="27112819","Cuchillas de corte para encuadernación",""))</f>
        <v>Cuchillas de corte para encuadernación</v>
      </c>
      <c r="C3167" s="58" t="str">
        <f>IFERROR(VLOOKUP("UD",'Informacion '!P:Q,2,FALSE),"")</f>
        <v>Unidad</v>
      </c>
      <c r="D3167" s="25">
        <v>25</v>
      </c>
      <c r="E3167" s="28">
        <v>230.01</v>
      </c>
      <c r="F3167" s="27">
        <f t="shared" ca="1" si="103"/>
        <v>5750.25</v>
      </c>
    </row>
    <row r="3168" spans="1:6" ht="14.25" customHeight="1" x14ac:dyDescent="0.25">
      <c r="A3168" s="25" t="s">
        <v>719</v>
      </c>
      <c r="B3168" s="26" t="str">
        <f ca="1">IFERROR(INDEX(UNSPSCDes,MATCH(INDIRECT(ADDRESS(ROW(),COLUMN()-1,4)),UNSPSCCode,0)),IF(INDIRECT(ADDRESS(ROW(),COLUMN()-1,4))="44121605","Dispensadores de cinta",""))</f>
        <v>Dispensadores de cinta</v>
      </c>
      <c r="C3168" s="58" t="str">
        <f>IFERROR(VLOOKUP("UD",'Informacion '!P:Q,2,FALSE),"")</f>
        <v>Unidad</v>
      </c>
      <c r="D3168" s="25">
        <v>100</v>
      </c>
      <c r="E3168" s="28">
        <v>167.56</v>
      </c>
      <c r="F3168" s="27">
        <f t="shared" ca="1" si="103"/>
        <v>16756</v>
      </c>
    </row>
    <row r="3169" spans="1:6" ht="14.25" customHeight="1" x14ac:dyDescent="0.25">
      <c r="A3169" s="25" t="s">
        <v>532</v>
      </c>
      <c r="B3169" s="26" t="str">
        <f ca="1">IFERROR(INDEX(UNSPSCDes,MATCH(INDIRECT(ADDRESS(ROW(),COLUMN()-1,4)),UNSPSCCode,0)),IF(INDIRECT(ADDRESS(ROW(),COLUMN()-1,4))="31201603","Gomas",""))</f>
        <v>Gomas</v>
      </c>
      <c r="C3169" s="58" t="str">
        <f>IFERROR(VLOOKUP("CAJ",'Informacion '!P:Q,2,FALSE),"")</f>
        <v>Caja</v>
      </c>
      <c r="D3169" s="25">
        <v>300</v>
      </c>
      <c r="E3169" s="28">
        <v>65</v>
      </c>
      <c r="F3169" s="27">
        <f t="shared" ca="1" si="103"/>
        <v>19500</v>
      </c>
    </row>
    <row r="3170" spans="1:6" ht="14.25" customHeight="1" x14ac:dyDescent="0.25">
      <c r="A3170" s="25" t="s">
        <v>1202</v>
      </c>
      <c r="B3170" s="26" t="str">
        <f ca="1">IFERROR(INDEX(UNSPSCDes,MATCH(INDIRECT(ADDRESS(ROW(),COLUMN()-1,4)),UNSPSCCode,0)),IF(INDIRECT(ADDRESS(ROW(),COLUMN()-1,4))="60121526","Bolígrafos para caligrafía",""))</f>
        <v>Bolígrafos para caligrafía</v>
      </c>
      <c r="C3170" s="58" t="str">
        <f>IFERROR(VLOOKUP("CAJ",'Informacion '!P:Q,2,FALSE),"")</f>
        <v>Caja</v>
      </c>
      <c r="D3170" s="25">
        <v>1200</v>
      </c>
      <c r="E3170" s="28">
        <v>40</v>
      </c>
      <c r="F3170" s="27">
        <f t="shared" ca="1" si="103"/>
        <v>48000</v>
      </c>
    </row>
    <row r="3171" spans="1:6" ht="14.25" customHeight="1" x14ac:dyDescent="0.25">
      <c r="A3171" s="25" t="s">
        <v>499</v>
      </c>
      <c r="B3171" s="26" t="str">
        <f ca="1">IFERROR(INDEX(UNSPSCDes,MATCH(INDIRECT(ADDRESS(ROW(),COLUMN()-1,4)),UNSPSCCode,0)),IF(INDIRECT(ADDRESS(ROW(),COLUMN()-1,4))="44122011","Folders",""))</f>
        <v>Folders</v>
      </c>
      <c r="C3171" s="58" t="str">
        <f>IFERROR(VLOOKUP("CAJ",'Informacion '!P:Q,2,FALSE),"")</f>
        <v>Caja</v>
      </c>
      <c r="D3171" s="25">
        <v>100</v>
      </c>
      <c r="E3171" s="28">
        <v>1680</v>
      </c>
      <c r="F3171" s="27">
        <f t="shared" ca="1" si="103"/>
        <v>168000</v>
      </c>
    </row>
    <row r="3172" spans="1:6" ht="14.25" customHeight="1" x14ac:dyDescent="0.25">
      <c r="A3172" s="25" t="s">
        <v>499</v>
      </c>
      <c r="B3172" s="26" t="str">
        <f ca="1">IFERROR(INDEX(UNSPSCDes,MATCH(INDIRECT(ADDRESS(ROW(),COLUMN()-1,4)),UNSPSCCode,0)),IF(INDIRECT(ADDRESS(ROW(),COLUMN()-1,4))="44122011","Folders",""))</f>
        <v>Folders</v>
      </c>
      <c r="C3172" s="58" t="str">
        <f>IFERROR(VLOOKUP("CAJ",'Informacion '!P:Q,2,FALSE),"")</f>
        <v>Caja</v>
      </c>
      <c r="D3172" s="25">
        <v>100</v>
      </c>
      <c r="E3172" s="28">
        <v>1955.83</v>
      </c>
      <c r="F3172" s="27">
        <f t="shared" ca="1" si="103"/>
        <v>195583</v>
      </c>
    </row>
    <row r="3173" spans="1:6" ht="14.25" customHeight="1" x14ac:dyDescent="0.25">
      <c r="A3173" s="25" t="s">
        <v>499</v>
      </c>
      <c r="B3173" s="26" t="str">
        <f ca="1">IFERROR(INDEX(UNSPSCDes,MATCH(INDIRECT(ADDRESS(ROW(),COLUMN()-1,4)),UNSPSCCode,0)),IF(INDIRECT(ADDRESS(ROW(),COLUMN()-1,4))="44122011","Folders",""))</f>
        <v>Folders</v>
      </c>
      <c r="C3173" s="58" t="str">
        <f>IFERROR(VLOOKUP("CAJ",'Informacion '!P:Q,2,FALSE),"")</f>
        <v>Caja</v>
      </c>
      <c r="D3173" s="25">
        <v>100</v>
      </c>
      <c r="E3173" s="28">
        <v>446.04</v>
      </c>
      <c r="F3173" s="27">
        <f t="shared" ca="1" si="103"/>
        <v>44604</v>
      </c>
    </row>
    <row r="3174" spans="1:6" ht="14.25" customHeight="1" x14ac:dyDescent="0.25">
      <c r="A3174" s="25" t="s">
        <v>474</v>
      </c>
      <c r="B3174" s="26" t="str">
        <f ca="1">IFERROR(INDEX(UNSPSCDes,MATCH(INDIRECT(ADDRESS(ROW(),COLUMN()-1,4)),UNSPSCCode,0)),IF(INDIRECT(ADDRESS(ROW(),COLUMN()-1,4))="60121532","Borradores de goma moldeable",""))</f>
        <v>Borradores de goma moldeable</v>
      </c>
      <c r="C3174" s="58" t="str">
        <f>IFERROR(VLOOKUP("UD",'Informacion '!P:Q,2,FALSE),"")</f>
        <v>Unidad</v>
      </c>
      <c r="D3174" s="25">
        <v>100</v>
      </c>
      <c r="E3174" s="28">
        <v>54.28</v>
      </c>
      <c r="F3174" s="27">
        <f t="shared" ca="1" si="103"/>
        <v>5428</v>
      </c>
    </row>
    <row r="3175" spans="1:6" ht="14.25" customHeight="1" x14ac:dyDescent="0.25">
      <c r="A3175" s="25" t="s">
        <v>419</v>
      </c>
      <c r="B3175" s="26" t="str">
        <f ca="1">IFERROR(INDEX(UNSPSCDes,MATCH(INDIRECT(ADDRESS(ROW(),COLUMN()-1,4)),UNSPSCCode,0)),IF(INDIRECT(ADDRESS(ROW(),COLUMN()-1,4))="44101707","Unidades de grapadoras",""))</f>
        <v>Unidades de grapadoras</v>
      </c>
      <c r="C3175" s="58" t="str">
        <f>IFERROR(VLOOKUP("UD",'Informacion '!P:Q,2,FALSE),"")</f>
        <v>Unidad</v>
      </c>
      <c r="D3175" s="25">
        <v>100</v>
      </c>
      <c r="E3175" s="28">
        <v>464.92</v>
      </c>
      <c r="F3175" s="27">
        <f t="shared" ca="1" si="103"/>
        <v>46492</v>
      </c>
    </row>
    <row r="3176" spans="1:6" ht="14.25" customHeight="1" x14ac:dyDescent="0.25">
      <c r="A3176" s="25" t="s">
        <v>332</v>
      </c>
      <c r="B3176" s="26" t="str">
        <f ca="1">IFERROR(INDEX(UNSPSCDes,MATCH(INDIRECT(ADDRESS(ROW(),COLUMN()-1,4)),UNSPSCCode,0)),IF(INDIRECT(ADDRESS(ROW(),COLUMN()-1,4))="60121522","Bolígrafos de base acuosa",""))</f>
        <v>Bolígrafos de base acuosa</v>
      </c>
      <c r="C3176" s="58" t="str">
        <f>IFERROR(VLOOKUP("CAJ",'Informacion '!P:Q,2,FALSE),"")</f>
        <v>Caja</v>
      </c>
      <c r="D3176" s="25">
        <v>100</v>
      </c>
      <c r="E3176" s="28">
        <v>120</v>
      </c>
      <c r="F3176" s="27">
        <f t="shared" ca="1" si="103"/>
        <v>12000</v>
      </c>
    </row>
    <row r="3177" spans="1:6" ht="14.25" customHeight="1" x14ac:dyDescent="0.25">
      <c r="A3177" s="25" t="s">
        <v>800</v>
      </c>
      <c r="B3177" s="26" t="str">
        <f ca="1">IFERROR(INDEX(UNSPSCDes,MATCH(INDIRECT(ADDRESS(ROW(),COLUMN()-1,4)),UNSPSCCode,0)),IF(INDIRECT(ADDRESS(ROW(),COLUMN()-1,4))="44121706","Lápices de madera",""))</f>
        <v>Lápices de madera</v>
      </c>
      <c r="C3177" s="58" t="str">
        <f>IFERROR(VLOOKUP("CAJ",'Informacion '!P:Q,2,FALSE),"")</f>
        <v>Caja</v>
      </c>
      <c r="D3177" s="25">
        <v>150</v>
      </c>
      <c r="E3177" s="28">
        <v>70</v>
      </c>
      <c r="F3177" s="27">
        <f t="shared" ca="1" si="103"/>
        <v>10500</v>
      </c>
    </row>
    <row r="3178" spans="1:6" ht="14.25" customHeight="1" x14ac:dyDescent="0.25">
      <c r="A3178" s="25" t="s">
        <v>430</v>
      </c>
      <c r="B3178" s="26" t="str">
        <f ca="1">IFERROR(INDEX(UNSPSCDes,MATCH(INDIRECT(ADDRESS(ROW(),COLUMN()-1,4)),UNSPSCCode,0)),IF(INDIRECT(ADDRESS(ROW(),COLUMN()-1,4))="44102002","Bolsas de laminadores",""))</f>
        <v>Bolsas de laminadores</v>
      </c>
      <c r="C3178" s="58" t="str">
        <f>IFERROR(VLOOKUP("CAJ",'Informacion '!P:Q,2,FALSE),"")</f>
        <v>Caja</v>
      </c>
      <c r="D3178" s="25">
        <v>1</v>
      </c>
      <c r="E3178" s="28">
        <v>100</v>
      </c>
      <c r="F3178" s="27">
        <f t="shared" ca="1" si="103"/>
        <v>100</v>
      </c>
    </row>
    <row r="3179" spans="1:6" ht="14.25" customHeight="1" x14ac:dyDescent="0.25">
      <c r="A3179" s="25" t="s">
        <v>208</v>
      </c>
      <c r="B3179" s="26" t="str">
        <f ca="1">IFERROR(INDEX(UNSPSCDes,MATCH(INDIRECT(ADDRESS(ROW(),COLUMN()-1,4)),UNSPSCCode,0)),IF(INDIRECT(ADDRESS(ROW(),COLUMN()-1,4))="14111810","Formatos o libros de personal",""))</f>
        <v>Formatos o libros de personal</v>
      </c>
      <c r="C3179" s="58" t="str">
        <f>IFERROR(VLOOKUP("UD",'Informacion '!P:Q,2,FALSE),"")</f>
        <v>Unidad</v>
      </c>
      <c r="D3179" s="25">
        <v>100</v>
      </c>
      <c r="E3179" s="28">
        <v>258</v>
      </c>
      <c r="F3179" s="27">
        <f t="shared" ca="1" si="103"/>
        <v>25800</v>
      </c>
    </row>
    <row r="3180" spans="1:6" ht="14.25" customHeight="1" x14ac:dyDescent="0.25">
      <c r="A3180" s="25" t="s">
        <v>208</v>
      </c>
      <c r="B3180" s="26" t="str">
        <f ca="1">IFERROR(INDEX(UNSPSCDes,MATCH(INDIRECT(ADDRESS(ROW(),COLUMN()-1,4)),UNSPSCCode,0)),IF(INDIRECT(ADDRESS(ROW(),COLUMN()-1,4))="14111810","Formatos o libros de personal",""))</f>
        <v>Formatos o libros de personal</v>
      </c>
      <c r="C3180" s="58" t="str">
        <f>IFERROR(VLOOKUP("UD",'Informacion '!P:Q,2,FALSE),"")</f>
        <v>Unidad</v>
      </c>
      <c r="D3180" s="25">
        <v>100</v>
      </c>
      <c r="E3180" s="28">
        <v>352</v>
      </c>
      <c r="F3180" s="27">
        <f t="shared" ca="1" si="103"/>
        <v>35200</v>
      </c>
    </row>
    <row r="3181" spans="1:6" ht="14.25" customHeight="1" x14ac:dyDescent="0.25">
      <c r="A3181" s="25" t="s">
        <v>799</v>
      </c>
      <c r="B3181" s="26" t="str">
        <f ca="1">IFERROR(INDEX(UNSPSCDes,MATCH(INDIRECT(ADDRESS(ROW(),COLUMN()-1,4)),UNSPSCCode,0)),IF(INDIRECT(ADDRESS(ROW(),COLUMN()-1,4))="44121716","Resaltadores",""))</f>
        <v>Resaltadores</v>
      </c>
      <c r="C3181" s="58" t="str">
        <f>IFERROR(VLOOKUP("CAJ",'Informacion '!P:Q,2,FALSE),"")</f>
        <v>Caja</v>
      </c>
      <c r="D3181" s="25">
        <v>100</v>
      </c>
      <c r="E3181" s="28">
        <v>778.08</v>
      </c>
      <c r="F3181" s="27">
        <f t="shared" ca="1" si="103"/>
        <v>77808</v>
      </c>
    </row>
    <row r="3182" spans="1:6" ht="14.25" customHeight="1" x14ac:dyDescent="0.25">
      <c r="A3182" s="25" t="s">
        <v>799</v>
      </c>
      <c r="B3182" s="26" t="str">
        <f ca="1">IFERROR(INDEX(UNSPSCDes,MATCH(INDIRECT(ADDRESS(ROW(),COLUMN()-1,4)),UNSPSCCode,0)),IF(INDIRECT(ADDRESS(ROW(),COLUMN()-1,4))="44121716","Resaltadores",""))</f>
        <v>Resaltadores</v>
      </c>
      <c r="C3182" s="58" t="str">
        <f>IFERROR(VLOOKUP("UD",'Informacion '!P:Q,2,FALSE),"")</f>
        <v>Unidad</v>
      </c>
      <c r="D3182" s="25">
        <v>75</v>
      </c>
      <c r="E3182" s="28">
        <v>67.260000000000005</v>
      </c>
      <c r="F3182" s="27">
        <f t="shared" ca="1" si="103"/>
        <v>5044.5</v>
      </c>
    </row>
    <row r="3183" spans="1:6" ht="14.25" customHeight="1" x14ac:dyDescent="0.25">
      <c r="A3183" s="25" t="s">
        <v>799</v>
      </c>
      <c r="B3183" s="26" t="str">
        <f ca="1">IFERROR(INDEX(UNSPSCDes,MATCH(INDIRECT(ADDRESS(ROW(),COLUMN()-1,4)),UNSPSCCode,0)),IF(INDIRECT(ADDRESS(ROW(),COLUMN()-1,4))="44121716","Resaltadores",""))</f>
        <v>Resaltadores</v>
      </c>
      <c r="C3183" s="58" t="str">
        <f>IFERROR(VLOOKUP("UD",'Informacion '!P:Q,2,FALSE),"")</f>
        <v>Unidad</v>
      </c>
      <c r="D3183" s="25">
        <v>75</v>
      </c>
      <c r="E3183" s="28">
        <v>67.260000000000005</v>
      </c>
      <c r="F3183" s="27">
        <f t="shared" ca="1" si="103"/>
        <v>5044.5</v>
      </c>
    </row>
    <row r="3184" spans="1:6" ht="14.25" customHeight="1" x14ac:dyDescent="0.25">
      <c r="A3184" s="25" t="s">
        <v>139</v>
      </c>
      <c r="B3184" s="26" t="str">
        <f ca="1">IFERROR(INDEX(UNSPSCDes,MATCH(INDIRECT(ADDRESS(ROW(),COLUMN()-1,4)),UNSPSCCode,0)),IF(INDIRECT(ADDRESS(ROW(),COLUMN()-1,4))="44121708","Marcadores",""))</f>
        <v>Marcadores</v>
      </c>
      <c r="C3184" s="58" t="str">
        <f>IFERROR(VLOOKUP("UD",'Informacion '!P:Q,2,FALSE),"")</f>
        <v>Unidad</v>
      </c>
      <c r="D3184" s="25">
        <v>75</v>
      </c>
      <c r="E3184" s="28">
        <v>67.260000000000005</v>
      </c>
      <c r="F3184" s="27">
        <f t="shared" ca="1" si="103"/>
        <v>5044.5</v>
      </c>
    </row>
    <row r="3185" spans="1:6" ht="14.25" customHeight="1" x14ac:dyDescent="0.25">
      <c r="A3185" s="25" t="s">
        <v>139</v>
      </c>
      <c r="B3185" s="26" t="str">
        <f ca="1">IFERROR(INDEX(UNSPSCDes,MATCH(INDIRECT(ADDRESS(ROW(),COLUMN()-1,4)),UNSPSCCode,0)),IF(INDIRECT(ADDRESS(ROW(),COLUMN()-1,4))="44121708","Marcadores",""))</f>
        <v>Marcadores</v>
      </c>
      <c r="C3185" s="58" t="str">
        <f>IFERROR(VLOOKUP("UD",'Informacion '!P:Q,2,FALSE),"")</f>
        <v>Unidad</v>
      </c>
      <c r="D3185" s="25">
        <v>75</v>
      </c>
      <c r="E3185" s="28">
        <v>67.260000000000005</v>
      </c>
      <c r="F3185" s="27">
        <f t="shared" ca="1" si="103"/>
        <v>5044.5</v>
      </c>
    </row>
    <row r="3186" spans="1:6" ht="14.25" customHeight="1" x14ac:dyDescent="0.25">
      <c r="A3186" s="25" t="s">
        <v>226</v>
      </c>
      <c r="B3186" s="26" t="str">
        <f ca="1">IFERROR(INDEX(UNSPSCDes,MATCH(INDIRECT(ADDRESS(ROW(),COLUMN()-1,4)),UNSPSCCode,0)),IF(INDIRECT(ADDRESS(ROW(),COLUMN()-1,4))="44101602","Máquinas perforadoras o para unir papel",""))</f>
        <v>Máquinas perforadoras o para unir papel</v>
      </c>
      <c r="C3186" s="58" t="str">
        <f>IFERROR(VLOOKUP("UD",'Informacion '!P:Q,2,FALSE),"")</f>
        <v>Unidad</v>
      </c>
      <c r="D3186" s="25">
        <v>25</v>
      </c>
      <c r="E3186" s="28">
        <v>359.9</v>
      </c>
      <c r="F3186" s="27">
        <f t="shared" ca="1" si="103"/>
        <v>8997.5</v>
      </c>
    </row>
    <row r="3187" spans="1:6" ht="14.25" customHeight="1" x14ac:dyDescent="0.25">
      <c r="A3187" s="25" t="s">
        <v>590</v>
      </c>
      <c r="B3187" s="26" t="str">
        <f ca="1">IFERROR(INDEX(UNSPSCDes,MATCH(INDIRECT(ADDRESS(ROW(),COLUMN()-1,4)),UNSPSCCode,0)),IF(INDIRECT(ADDRESS(ROW(),COLUMN()-1,4))="44111911","Tableros blancos interactivos o accesorios",""))</f>
        <v>Tableros blancos interactivos o accesorios</v>
      </c>
      <c r="C3187" s="58" t="str">
        <f>IFERROR(VLOOKUP("UD",'Informacion '!P:Q,2,FALSE),"")</f>
        <v>Unidad</v>
      </c>
      <c r="D3187" s="25">
        <v>15</v>
      </c>
      <c r="E3187" s="28">
        <v>2025</v>
      </c>
      <c r="F3187" s="27">
        <f t="shared" ref="F3187:F3205" ca="1" si="104">INDIRECT(ADDRESS(ROW(),COLUMN()-2,4))*INDIRECT(ADDRESS(ROW(),COLUMN()-1,4))</f>
        <v>30375</v>
      </c>
    </row>
    <row r="3188" spans="1:6" ht="14.25" customHeight="1" x14ac:dyDescent="0.25">
      <c r="A3188" s="25" t="s">
        <v>590</v>
      </c>
      <c r="B3188" s="26" t="str">
        <f ca="1">IFERROR(INDEX(UNSPSCDes,MATCH(INDIRECT(ADDRESS(ROW(),COLUMN()-1,4)),UNSPSCCode,0)),IF(INDIRECT(ADDRESS(ROW(),COLUMN()-1,4))="44111911","Tableros blancos interactivos o accesorios",""))</f>
        <v>Tableros blancos interactivos o accesorios</v>
      </c>
      <c r="C3188" s="58" t="str">
        <f>IFERROR(VLOOKUP("UD",'Informacion '!P:Q,2,FALSE),"")</f>
        <v>Unidad</v>
      </c>
      <c r="D3188" s="25">
        <v>15</v>
      </c>
      <c r="E3188" s="28">
        <v>887</v>
      </c>
      <c r="F3188" s="27">
        <f t="shared" ca="1" si="104"/>
        <v>13305</v>
      </c>
    </row>
    <row r="3189" spans="1:6" ht="14.25" customHeight="1" x14ac:dyDescent="0.25">
      <c r="A3189" s="25" t="s">
        <v>580</v>
      </c>
      <c r="B3189" s="26" t="str">
        <f ca="1">IFERROR(INDEX(UNSPSCDes,MATCH(INDIRECT(ADDRESS(ROW(),COLUMN()-1,4)),UNSPSCCode,0)),IF(INDIRECT(ADDRESS(ROW(),COLUMN()-1,4))="44121628","Contenedores o dispensadores de clips",""))</f>
        <v>Contenedores o dispensadores de clips</v>
      </c>
      <c r="C3189" s="58" t="str">
        <f>IFERROR(VLOOKUP("UD",'Informacion '!P:Q,2,FALSE),"")</f>
        <v>Unidad</v>
      </c>
      <c r="D3189" s="25">
        <v>100</v>
      </c>
      <c r="E3189" s="28">
        <v>47.2</v>
      </c>
      <c r="F3189" s="27">
        <f t="shared" ca="1" si="104"/>
        <v>4720</v>
      </c>
    </row>
    <row r="3190" spans="1:6" ht="14.25" customHeight="1" x14ac:dyDescent="0.25">
      <c r="A3190" s="25" t="s">
        <v>580</v>
      </c>
      <c r="B3190" s="26" t="str">
        <f ca="1">IFERROR(INDEX(UNSPSCDes,MATCH(INDIRECT(ADDRESS(ROW(),COLUMN()-1,4)),UNSPSCCode,0)),IF(INDIRECT(ADDRESS(ROW(),COLUMN()-1,4))="44121628","Contenedores o dispensadores de clips",""))</f>
        <v>Contenedores o dispensadores de clips</v>
      </c>
      <c r="C3190" s="58" t="str">
        <f>IFERROR(VLOOKUP("UD",'Informacion '!P:Q,2,FALSE),"")</f>
        <v>Unidad</v>
      </c>
      <c r="D3190" s="25">
        <v>100</v>
      </c>
      <c r="E3190" s="28">
        <v>42.17</v>
      </c>
      <c r="F3190" s="27">
        <f t="shared" ca="1" si="104"/>
        <v>4217</v>
      </c>
    </row>
    <row r="3191" spans="1:6" ht="14.25" customHeight="1" x14ac:dyDescent="0.25">
      <c r="A3191" s="25" t="s">
        <v>580</v>
      </c>
      <c r="B3191" s="26" t="str">
        <f ca="1">IFERROR(INDEX(UNSPSCDes,MATCH(INDIRECT(ADDRESS(ROW(),COLUMN()-1,4)),UNSPSCCode,0)),IF(INDIRECT(ADDRESS(ROW(),COLUMN()-1,4))="44121628","Contenedores o dispensadores de clips",""))</f>
        <v>Contenedores o dispensadores de clips</v>
      </c>
      <c r="C3191" s="58" t="str">
        <f>IFERROR(VLOOKUP("UD",'Informacion '!P:Q,2,FALSE),"")</f>
        <v>Unidad</v>
      </c>
      <c r="D3191" s="25">
        <v>100</v>
      </c>
      <c r="E3191" s="28">
        <v>12.15</v>
      </c>
      <c r="F3191" s="27">
        <f t="shared" ca="1" si="104"/>
        <v>1215</v>
      </c>
    </row>
    <row r="3192" spans="1:6" ht="14.25" customHeight="1" x14ac:dyDescent="0.25">
      <c r="A3192" s="25" t="s">
        <v>42</v>
      </c>
      <c r="B3192" s="26" t="str">
        <f ca="1">IFERROR(INDEX(UNSPSCDes,MATCH(INDIRECT(ADDRESS(ROW(),COLUMN()-1,4)),UNSPSCCode,0)),IF(INDIRECT(ADDRESS(ROW(),COLUMN()-1,4))="44111509","Sujetadores de esferos o lápices",""))</f>
        <v>Sujetadores de esferos o lápices</v>
      </c>
      <c r="C3192" s="58" t="str">
        <f>IFERROR(VLOOKUP("UD",'Informacion '!P:Q,2,FALSE),"")</f>
        <v>Unidad</v>
      </c>
      <c r="D3192" s="25">
        <v>100</v>
      </c>
      <c r="E3192" s="28">
        <v>147.5</v>
      </c>
      <c r="F3192" s="27">
        <f t="shared" ca="1" si="104"/>
        <v>14750</v>
      </c>
    </row>
    <row r="3193" spans="1:6" ht="14.25" customHeight="1" x14ac:dyDescent="0.25">
      <c r="A3193" s="25" t="s">
        <v>105</v>
      </c>
      <c r="B3193" s="26" t="str">
        <f ca="1">IFERROR(INDEX(UNSPSCDes,MATCH(INDIRECT(ADDRESS(ROW(),COLUMN()-1,4)),UNSPSCCode,0)),IF(INDIRECT(ADDRESS(ROW(),COLUMN()-1,4))="44122002","Protectores de hojas",""))</f>
        <v>Protectores de hojas</v>
      </c>
      <c r="C3193" s="58" t="str">
        <f>IFERROR(VLOOKUP("PAQ",'Informacion '!P:Q,2,FALSE),"")</f>
        <v>Paquete</v>
      </c>
      <c r="D3193" s="25">
        <v>200</v>
      </c>
      <c r="E3193" s="28">
        <v>325.68</v>
      </c>
      <c r="F3193" s="27">
        <f t="shared" ca="1" si="104"/>
        <v>65136</v>
      </c>
    </row>
    <row r="3194" spans="1:6" ht="14.25" customHeight="1" x14ac:dyDescent="0.25">
      <c r="A3194" s="25" t="s">
        <v>940</v>
      </c>
      <c r="B3194" s="26" t="str">
        <f ca="1">IFERROR(INDEX(UNSPSCDes,MATCH(INDIRECT(ADDRESS(ROW(),COLUMN()-1,4)),UNSPSCCode,0)),IF(INDIRECT(ADDRESS(ROW(),COLUMN()-1,4))="41111604","Reglas",""))</f>
        <v>Reglas</v>
      </c>
      <c r="C3194" s="58" t="str">
        <f>IFERROR(VLOOKUP("UD",'Informacion '!P:Q,2,FALSE),"")</f>
        <v>Unidad</v>
      </c>
      <c r="D3194" s="25">
        <v>100</v>
      </c>
      <c r="E3194" s="28">
        <v>17.7</v>
      </c>
      <c r="F3194" s="27">
        <f t="shared" ca="1" si="104"/>
        <v>1770</v>
      </c>
    </row>
    <row r="3195" spans="1:6" ht="14.25" customHeight="1" x14ac:dyDescent="0.25">
      <c r="A3195" s="25" t="s">
        <v>489</v>
      </c>
      <c r="B3195" s="26" t="str">
        <f ca="1">IFERROR(INDEX(UNSPSCDes,MATCH(INDIRECT(ADDRESS(ROW(),COLUMN()-1,4)),UNSPSCCode,0)),IF(INDIRECT(ADDRESS(ROW(),COLUMN()-1,4))="44121619","Tajalápices manuales.",""))</f>
        <v>Tajalápices manuales.</v>
      </c>
      <c r="C3195" s="58" t="str">
        <f>IFERROR(VLOOKUP("UD",'Informacion '!P:Q,2,FALSE),"")</f>
        <v>Unidad</v>
      </c>
      <c r="D3195" s="25">
        <v>25</v>
      </c>
      <c r="E3195" s="28">
        <v>22.42</v>
      </c>
      <c r="F3195" s="27">
        <f t="shared" ca="1" si="104"/>
        <v>560.5</v>
      </c>
    </row>
    <row r="3196" spans="1:6" ht="14.25" customHeight="1" x14ac:dyDescent="0.25">
      <c r="A3196" s="25" t="s">
        <v>1035</v>
      </c>
      <c r="B3196" s="26" t="str">
        <f ca="1">IFERROR(INDEX(UNSPSCDes,MATCH(INDIRECT(ADDRESS(ROW(),COLUMN()-1,4)),UNSPSCCode,0)),IF(INDIRECT(ADDRESS(ROW(),COLUMN()-1,4))="44121506","Sobres estándar",""))</f>
        <v>Sobres estándar</v>
      </c>
      <c r="C3196" s="58" t="str">
        <f>IFERROR(VLOOKUP("CAJ",'Informacion '!P:Q,2,FALSE),"")</f>
        <v>Caja</v>
      </c>
      <c r="D3196" s="25">
        <v>5</v>
      </c>
      <c r="E3196" s="28">
        <v>2253.8000000000002</v>
      </c>
      <c r="F3196" s="27">
        <f t="shared" ca="1" si="104"/>
        <v>11269</v>
      </c>
    </row>
    <row r="3197" spans="1:6" ht="14.25" customHeight="1" x14ac:dyDescent="0.25">
      <c r="A3197" s="25" t="s">
        <v>364</v>
      </c>
      <c r="B3197" s="26" t="str">
        <f ca="1">IFERROR(INDEX(UNSPSCDes,MATCH(INDIRECT(ADDRESS(ROW(),COLUMN()-1,4)),UNSPSCCode,0)),IF(INDIRECT(ADDRESS(ROW(),COLUMN()-1,4))="60121152","Tablillas de escritura",""))</f>
        <v>Tablillas de escritura</v>
      </c>
      <c r="C3197" s="58" t="str">
        <f>IFERROR(VLOOKUP("UD",'Informacion '!P:Q,2,FALSE),"")</f>
        <v>Unidad</v>
      </c>
      <c r="D3197" s="25">
        <v>100</v>
      </c>
      <c r="E3197" s="28">
        <v>129.80000000000001</v>
      </c>
      <c r="F3197" s="27">
        <f t="shared" ca="1" si="104"/>
        <v>12980.000000000002</v>
      </c>
    </row>
    <row r="3198" spans="1:6" ht="14.25" customHeight="1" x14ac:dyDescent="0.25">
      <c r="A3198" s="25" t="s">
        <v>969</v>
      </c>
      <c r="B3198" s="26" t="str">
        <f ca="1">IFERROR(INDEX(UNSPSCDes,MATCH(INDIRECT(ADDRESS(ROW(),COLUMN()-1,4)),UNSPSCCode,0)),IF(INDIRECT(ADDRESS(ROW(),COLUMN()-1,4))="12171703","Tintas",""))</f>
        <v>Tintas</v>
      </c>
      <c r="C3198" s="58" t="str">
        <f>IFERROR(VLOOKUP("UD",'Informacion '!P:Q,2,FALSE),"")</f>
        <v>Unidad</v>
      </c>
      <c r="D3198" s="25">
        <v>300</v>
      </c>
      <c r="E3198" s="28">
        <v>62.25</v>
      </c>
      <c r="F3198" s="27">
        <f t="shared" ca="1" si="104"/>
        <v>18675</v>
      </c>
    </row>
    <row r="3199" spans="1:6" ht="14.25" customHeight="1" x14ac:dyDescent="0.25">
      <c r="A3199" s="25" t="s">
        <v>581</v>
      </c>
      <c r="B3199" s="26" t="str">
        <f ca="1">IFERROR(INDEX(UNSPSCDes,MATCH(INDIRECT(ADDRESS(ROW(),COLUMN()-1,4)),UNSPSCCode,0)),IF(INDIRECT(ADDRESS(ROW(),COLUMN()-1,4))="44121618","Tijeras",""))</f>
        <v>Tijeras</v>
      </c>
      <c r="C3199" s="58" t="str">
        <f>IFERROR(VLOOKUP("UD",'Informacion '!P:Q,2,FALSE),"")</f>
        <v>Unidad</v>
      </c>
      <c r="D3199" s="25">
        <v>100</v>
      </c>
      <c r="E3199" s="28">
        <v>61.36</v>
      </c>
      <c r="F3199" s="27">
        <f t="shared" ca="1" si="104"/>
        <v>6136</v>
      </c>
    </row>
    <row r="3200" spans="1:6" ht="14.25" customHeight="1" x14ac:dyDescent="0.25">
      <c r="A3200" s="25" t="s">
        <v>1041</v>
      </c>
      <c r="B3200" s="26" t="str">
        <f ca="1">IFERROR(INDEX(UNSPSCDes,MATCH(INDIRECT(ADDRESS(ROW(),COLUMN()-1,4)),UNSPSCCode,0)),IF(INDIRECT(ADDRESS(ROW(),COLUMN()-1,4))="11111606","Pizarra",""))</f>
        <v>Pizarra</v>
      </c>
      <c r="C3200" s="58" t="str">
        <f>IFERROR(VLOOKUP("UD",'Informacion '!P:Q,2,FALSE),"")</f>
        <v>Unidad</v>
      </c>
      <c r="D3200" s="25">
        <v>30</v>
      </c>
      <c r="E3200" s="28">
        <v>800</v>
      </c>
      <c r="F3200" s="27">
        <f t="shared" ca="1" si="104"/>
        <v>24000</v>
      </c>
    </row>
    <row r="3201" spans="1:10" ht="14.25" customHeight="1" x14ac:dyDescent="0.25">
      <c r="A3201" s="25" t="s">
        <v>1041</v>
      </c>
      <c r="B3201" s="26" t="str">
        <f ca="1">IFERROR(INDEX(UNSPSCDes,MATCH(INDIRECT(ADDRESS(ROW(),COLUMN()-1,4)),UNSPSCCode,0)),IF(INDIRECT(ADDRESS(ROW(),COLUMN()-1,4))="11111606","Pizarra",""))</f>
        <v>Pizarra</v>
      </c>
      <c r="C3201" s="58" t="str">
        <f>IFERROR(VLOOKUP("UD",'Informacion '!P:Q,2,FALSE),"")</f>
        <v>Unidad</v>
      </c>
      <c r="D3201" s="25">
        <v>30</v>
      </c>
      <c r="E3201" s="28">
        <v>2750</v>
      </c>
      <c r="F3201" s="27">
        <f t="shared" ca="1" si="104"/>
        <v>82500</v>
      </c>
    </row>
    <row r="3202" spans="1:10" ht="14.25" customHeight="1" x14ac:dyDescent="0.25">
      <c r="A3202" s="25" t="s">
        <v>202</v>
      </c>
      <c r="B3202" s="26" t="str">
        <f ca="1">IFERROR(INDEX(UNSPSCDes,MATCH(INDIRECT(ADDRESS(ROW(),COLUMN()-1,4)),UNSPSCCode,0)),IF(INDIRECT(ADDRESS(ROW(),COLUMN()-1,4))="44111503","Organizadores o bandejas para el escritorio",""))</f>
        <v>Organizadores o bandejas para el escritorio</v>
      </c>
      <c r="C3202" s="58" t="str">
        <f>IFERROR(VLOOKUP("UD",'Informacion '!P:Q,2,FALSE),"")</f>
        <v>Unidad</v>
      </c>
      <c r="D3202" s="25">
        <v>100</v>
      </c>
      <c r="E3202" s="28">
        <v>208.86</v>
      </c>
      <c r="F3202" s="27">
        <f t="shared" ca="1" si="104"/>
        <v>20886</v>
      </c>
    </row>
    <row r="3203" spans="1:10" ht="14.25" customHeight="1" x14ac:dyDescent="0.25">
      <c r="A3203" s="25" t="s">
        <v>417</v>
      </c>
      <c r="B3203" s="26" t="str">
        <f ca="1">IFERROR(INDEX(UNSPSCDes,MATCH(INDIRECT(ADDRESS(ROW(),COLUMN()-1,4)),UNSPSCCode,0)),IF(INDIRECT(ADDRESS(ROW(),COLUMN()-1,4))="44122101","Cauchos",""))</f>
        <v>Cauchos</v>
      </c>
      <c r="C3203" s="58" t="str">
        <f>IFERROR(VLOOKUP("CAJ",'Informacion '!P:Q,2,FALSE),"")</f>
        <v>Caja</v>
      </c>
      <c r="D3203" s="25">
        <v>50</v>
      </c>
      <c r="E3203" s="28">
        <v>34.22</v>
      </c>
      <c r="F3203" s="27">
        <f t="shared" ca="1" si="104"/>
        <v>1711</v>
      </c>
    </row>
    <row r="3204" spans="1:10" ht="14.25" customHeight="1" x14ac:dyDescent="0.25">
      <c r="A3204" s="25" t="s">
        <v>409</v>
      </c>
      <c r="B3204" s="26" t="str">
        <f ca="1">IFERROR(INDEX(UNSPSCDes,MATCH(INDIRECT(ADDRESS(ROW(),COLUMN()-1,4)),UNSPSCCode,0)),IF(INDIRECT(ADDRESS(ROW(),COLUMN()-1,4))="44121804","Borradores",""))</f>
        <v>Borradores</v>
      </c>
      <c r="C3204" s="58" t="str">
        <f>IFERROR(VLOOKUP("UD",'Informacion '!P:Q,2,FALSE),"")</f>
        <v>Unidad</v>
      </c>
      <c r="D3204" s="25">
        <v>75</v>
      </c>
      <c r="E3204" s="28">
        <v>141.06</v>
      </c>
      <c r="F3204" s="27">
        <f t="shared" ca="1" si="104"/>
        <v>10579.5</v>
      </c>
    </row>
    <row r="3205" spans="1:10" ht="14.25" customHeight="1" x14ac:dyDescent="0.25">
      <c r="A3205" s="25" t="s">
        <v>499</v>
      </c>
      <c r="B3205" s="26" t="str">
        <f ca="1">IFERROR(INDEX(UNSPSCDes,MATCH(INDIRECT(ADDRESS(ROW(),COLUMN()-1,4)),UNSPSCCode,0)),IF(INDIRECT(ADDRESS(ROW(),COLUMN()-1,4))="44122011","Folders",""))</f>
        <v>Folders</v>
      </c>
      <c r="C3205" s="58" t="str">
        <f>IFERROR(VLOOKUP("CAJ",'Informacion '!P:Q,2,FALSE),"")</f>
        <v>Caja</v>
      </c>
      <c r="D3205" s="25">
        <v>1</v>
      </c>
      <c r="E3205" s="28">
        <v>1216</v>
      </c>
      <c r="F3205" s="27">
        <f t="shared" ca="1" si="104"/>
        <v>1216</v>
      </c>
    </row>
    <row r="3206" spans="1:10" ht="14.25" customHeight="1" x14ac:dyDescent="0.25">
      <c r="E3206" s="30" t="s">
        <v>816</v>
      </c>
      <c r="F3206" s="31">
        <f ca="1">SUM(Table170[MONTO TOTAL ESTIMADO])</f>
        <v>1400297.25</v>
      </c>
      <c r="H3206" s="21" t="str">
        <f>C3148</f>
        <v>Bienes</v>
      </c>
      <c r="I3206" s="21" t="str">
        <f>E3148</f>
        <v>Sí</v>
      </c>
      <c r="J3206" s="21" t="str">
        <f>D3148</f>
        <v>Compras Menores</v>
      </c>
    </row>
    <row r="3208" spans="1:10" ht="33.950000000000003" customHeight="1" x14ac:dyDescent="0.25">
      <c r="A3208" s="22" t="s">
        <v>1051</v>
      </c>
      <c r="B3208" s="22" t="s">
        <v>11</v>
      </c>
      <c r="C3208" s="22" t="s">
        <v>751</v>
      </c>
      <c r="D3208" s="22" t="s">
        <v>930</v>
      </c>
      <c r="E3208" s="22" t="s">
        <v>699</v>
      </c>
      <c r="F3208" s="22" t="s">
        <v>710</v>
      </c>
    </row>
    <row r="3209" spans="1:10" ht="14.25" customHeight="1" x14ac:dyDescent="0.25">
      <c r="A3209" s="23" t="s">
        <v>575</v>
      </c>
      <c r="B3209" s="23" t="s">
        <v>575</v>
      </c>
      <c r="C3209" s="23" t="s">
        <v>1155</v>
      </c>
      <c r="D3209" s="23" t="s">
        <v>1128</v>
      </c>
      <c r="E3209" s="23" t="s">
        <v>561</v>
      </c>
      <c r="F3209" s="23" t="s">
        <v>436</v>
      </c>
    </row>
    <row r="3210" spans="1:10" ht="14.25" customHeight="1" x14ac:dyDescent="0.25">
      <c r="A3210" s="68" t="s">
        <v>965</v>
      </c>
      <c r="B3210" s="24" t="s">
        <v>543</v>
      </c>
      <c r="C3210" s="54">
        <v>46052</v>
      </c>
      <c r="D3210" s="68" t="s">
        <v>598</v>
      </c>
      <c r="E3210" s="56" t="s">
        <v>858</v>
      </c>
      <c r="F3210" s="57" t="s">
        <v>184</v>
      </c>
    </row>
    <row r="3211" spans="1:10" ht="14.25" customHeight="1" x14ac:dyDescent="0.25">
      <c r="A3211" s="69"/>
      <c r="B3211" s="24" t="s">
        <v>112</v>
      </c>
      <c r="C3211" s="55">
        <f>IF(C3210="","",IF(AND(MONTH(C3210)&gt;=1,MONTH(C3210)&lt;=3),1,IF(AND(MONTH(C3210)&gt;=4,MONTH(C3210)&lt;=6),2,IF(AND(MONTH(C3210)&gt;=7,MONTH(C3210)&lt;=9),3,4))))</f>
        <v>1</v>
      </c>
      <c r="D3211" s="69"/>
      <c r="E3211" s="56" t="s">
        <v>143</v>
      </c>
      <c r="F3211" s="57"/>
    </row>
    <row r="3212" spans="1:10" ht="14.25" customHeight="1" x14ac:dyDescent="0.25">
      <c r="A3212" s="69"/>
      <c r="B3212" s="24" t="s">
        <v>844</v>
      </c>
      <c r="C3212" s="54">
        <v>46061</v>
      </c>
      <c r="D3212" s="69"/>
      <c r="E3212" s="56" t="s">
        <v>183</v>
      </c>
      <c r="F3212" s="57"/>
    </row>
    <row r="3213" spans="1:10" ht="14.25" customHeight="1" x14ac:dyDescent="0.25">
      <c r="A3213" s="69"/>
      <c r="B3213" s="24" t="s">
        <v>112</v>
      </c>
      <c r="C3213" s="55">
        <f>IF(C3212="","",IF(AND(MONTH(C3212)&gt;=1,MONTH(C3212)&lt;=3),1,IF(AND(MONTH(C3212)&gt;=4,MONTH(C3212)&lt;=6),2,IF(AND(MONTH(C3212)&gt;=7,MONTH(C3212)&lt;=9),3,4))))</f>
        <v>1</v>
      </c>
      <c r="D3213" s="69"/>
      <c r="E3213" s="56" t="s">
        <v>865</v>
      </c>
      <c r="F3213" s="57"/>
    </row>
    <row r="3215" spans="1:10" ht="14.25" customHeight="1" x14ac:dyDescent="0.25">
      <c r="A3215" s="29" t="s">
        <v>1017</v>
      </c>
      <c r="B3215" s="29" t="s">
        <v>1042</v>
      </c>
      <c r="C3215" s="29" t="s">
        <v>1011</v>
      </c>
      <c r="D3215" s="29" t="s">
        <v>985</v>
      </c>
      <c r="E3215" s="29" t="s">
        <v>449</v>
      </c>
      <c r="F3215" s="29" t="s">
        <v>989</v>
      </c>
    </row>
    <row r="3216" spans="1:10" ht="14.25" customHeight="1" x14ac:dyDescent="0.25">
      <c r="A3216" s="25" t="s">
        <v>75</v>
      </c>
      <c r="B3216" s="26" t="str">
        <f ca="1">IFERROR(INDEX(UNSPSCDes,MATCH(INDIRECT(ADDRESS(ROW(),COLUMN()-1,4)),UNSPSCCode,0)),IF(INDIRECT(ADDRESS(ROW(),COLUMN()-1,4))="25174218","Cobertor de timones o volantes ",""))</f>
        <v xml:space="preserve">Cobertor de timones o volantes </v>
      </c>
      <c r="C3216" s="58" t="str">
        <f>IFERROR(VLOOKUP("UD",'Informacion '!P:Q,2,FALSE),"")</f>
        <v>Unidad</v>
      </c>
      <c r="D3216" s="25">
        <v>25</v>
      </c>
      <c r="E3216" s="28">
        <v>50000</v>
      </c>
      <c r="F3216" s="27">
        <f ca="1">INDIRECT(ADDRESS(ROW(),COLUMN()-2,4))*INDIRECT(ADDRESS(ROW(),COLUMN()-1,4))</f>
        <v>1250000</v>
      </c>
    </row>
    <row r="3217" spans="1:10" ht="14.25" customHeight="1" x14ac:dyDescent="0.25">
      <c r="A3217" s="25" t="s">
        <v>869</v>
      </c>
      <c r="B3217" s="26" t="str">
        <f ca="1">IFERROR(INDEX(UNSPSCDes,MATCH(INDIRECT(ADDRESS(ROW(),COLUMN()-1,4)),UNSPSCCode,0)),IF(INDIRECT(ADDRESS(ROW(),COLUMN()-1,4))="25174418","Tapetes del vehículo",""))</f>
        <v>Tapetes del vehículo</v>
      </c>
      <c r="C3217" s="58" t="str">
        <f>IFERROR(VLOOKUP("UD",'Informacion '!P:Q,2,FALSE),"")</f>
        <v>Unidad</v>
      </c>
      <c r="D3217" s="25">
        <v>50</v>
      </c>
      <c r="E3217" s="28">
        <v>12000</v>
      </c>
      <c r="F3217" s="27">
        <f ca="1">INDIRECT(ADDRESS(ROW(),COLUMN()-2,4))*INDIRECT(ADDRESS(ROW(),COLUMN()-1,4))</f>
        <v>600000</v>
      </c>
    </row>
    <row r="3218" spans="1:10" ht="14.25" customHeight="1" x14ac:dyDescent="0.25">
      <c r="E3218" s="30" t="s">
        <v>816</v>
      </c>
      <c r="F3218" s="31">
        <f ca="1">SUM(Table171[MONTO TOTAL ESTIMADO])</f>
        <v>1850000</v>
      </c>
      <c r="H3218" s="21" t="str">
        <f>C3209</f>
        <v>Bienes</v>
      </c>
      <c r="I3218" s="21" t="str">
        <f>E3209</f>
        <v>Sí</v>
      </c>
      <c r="J3218" s="21" t="str">
        <f>D3209</f>
        <v>Compras Menores</v>
      </c>
    </row>
    <row r="3220" spans="1:10" ht="33.950000000000003" customHeight="1" x14ac:dyDescent="0.25">
      <c r="A3220" s="22" t="s">
        <v>1051</v>
      </c>
      <c r="B3220" s="22" t="s">
        <v>11</v>
      </c>
      <c r="C3220" s="22" t="s">
        <v>751</v>
      </c>
      <c r="D3220" s="22" t="s">
        <v>930</v>
      </c>
      <c r="E3220" s="22" t="s">
        <v>699</v>
      </c>
      <c r="F3220" s="22" t="s">
        <v>710</v>
      </c>
    </row>
    <row r="3221" spans="1:10" ht="14.25" customHeight="1" x14ac:dyDescent="0.25">
      <c r="A3221" s="23" t="s">
        <v>218</v>
      </c>
      <c r="B3221" s="23" t="s">
        <v>218</v>
      </c>
      <c r="C3221" s="23" t="s">
        <v>1155</v>
      </c>
      <c r="D3221" s="23" t="s">
        <v>1128</v>
      </c>
      <c r="E3221" s="23" t="s">
        <v>561</v>
      </c>
      <c r="F3221" s="23" t="s">
        <v>436</v>
      </c>
    </row>
    <row r="3222" spans="1:10" ht="14.25" customHeight="1" x14ac:dyDescent="0.25">
      <c r="A3222" s="68" t="s">
        <v>965</v>
      </c>
      <c r="B3222" s="24" t="s">
        <v>543</v>
      </c>
      <c r="C3222" s="54">
        <v>46204</v>
      </c>
      <c r="D3222" s="68" t="s">
        <v>598</v>
      </c>
      <c r="E3222" s="56" t="s">
        <v>858</v>
      </c>
      <c r="F3222" s="57" t="s">
        <v>184</v>
      </c>
    </row>
    <row r="3223" spans="1:10" ht="14.25" customHeight="1" x14ac:dyDescent="0.25">
      <c r="A3223" s="69"/>
      <c r="B3223" s="24" t="s">
        <v>112</v>
      </c>
      <c r="C3223" s="55">
        <f>IF(C3222="","",IF(AND(MONTH(C3222)&gt;=1,MONTH(C3222)&lt;=3),1,IF(AND(MONTH(C3222)&gt;=4,MONTH(C3222)&lt;=6),2,IF(AND(MONTH(C3222)&gt;=7,MONTH(C3222)&lt;=9),3,4))))</f>
        <v>3</v>
      </c>
      <c r="D3223" s="69"/>
      <c r="E3223" s="56" t="s">
        <v>143</v>
      </c>
      <c r="F3223" s="57"/>
    </row>
    <row r="3224" spans="1:10" ht="14.25" customHeight="1" x14ac:dyDescent="0.25">
      <c r="A3224" s="69"/>
      <c r="B3224" s="24" t="s">
        <v>844</v>
      </c>
      <c r="C3224" s="54">
        <v>46243</v>
      </c>
      <c r="D3224" s="69"/>
      <c r="E3224" s="56" t="s">
        <v>183</v>
      </c>
      <c r="F3224" s="57"/>
    </row>
    <row r="3225" spans="1:10" ht="14.25" customHeight="1" x14ac:dyDescent="0.25">
      <c r="A3225" s="69"/>
      <c r="B3225" s="24" t="s">
        <v>112</v>
      </c>
      <c r="C3225" s="55">
        <f>IF(C3224="","",IF(AND(MONTH(C3224)&gt;=1,MONTH(C3224)&lt;=3),1,IF(AND(MONTH(C3224)&gt;=4,MONTH(C3224)&lt;=6),2,IF(AND(MONTH(C3224)&gt;=7,MONTH(C3224)&lt;=9),3,4))))</f>
        <v>3</v>
      </c>
      <c r="D3225" s="69"/>
      <c r="E3225" s="56" t="s">
        <v>865</v>
      </c>
      <c r="F3225" s="57"/>
    </row>
    <row r="3227" spans="1:10" ht="14.25" customHeight="1" x14ac:dyDescent="0.25">
      <c r="A3227" s="29" t="s">
        <v>1017</v>
      </c>
      <c r="B3227" s="29" t="s">
        <v>1042</v>
      </c>
      <c r="C3227" s="29" t="s">
        <v>1011</v>
      </c>
      <c r="D3227" s="29" t="s">
        <v>985</v>
      </c>
      <c r="E3227" s="29" t="s">
        <v>449</v>
      </c>
      <c r="F3227" s="29" t="s">
        <v>989</v>
      </c>
    </row>
    <row r="3228" spans="1:10" ht="14.25" customHeight="1" x14ac:dyDescent="0.25">
      <c r="A3228" s="25" t="s">
        <v>993</v>
      </c>
      <c r="B3228" s="26" t="str">
        <f ca="1">IFERROR(INDEX(UNSPSCDes,MATCH(INDIRECT(ADDRESS(ROW(),COLUMN()-1,4)),UNSPSCCode,0)),IF(INDIRECT(ADDRESS(ROW(),COLUMN()-1,4))="81111812","Servicio de mantenimiento o soporte equipos de tecnología",""))</f>
        <v>Servicio de mantenimiento o soporte equipos de tecnología</v>
      </c>
      <c r="C3228" s="58" t="str">
        <f>IFERROR(VLOOKUP("UD",'Informacion '!P:Q,2,FALSE),"")</f>
        <v>Unidad</v>
      </c>
      <c r="D3228" s="25">
        <v>1</v>
      </c>
      <c r="E3228" s="28">
        <v>800000</v>
      </c>
      <c r="F3228" s="27">
        <f ca="1">INDIRECT(ADDRESS(ROW(),COLUMN()-2,4))*INDIRECT(ADDRESS(ROW(),COLUMN()-1,4))</f>
        <v>800000</v>
      </c>
    </row>
    <row r="3229" spans="1:10" ht="14.25" customHeight="1" x14ac:dyDescent="0.25">
      <c r="A3229" s="25" t="s">
        <v>993</v>
      </c>
      <c r="B3229" s="26" t="str">
        <f ca="1">IFERROR(INDEX(UNSPSCDes,MATCH(INDIRECT(ADDRESS(ROW(),COLUMN()-1,4)),UNSPSCCode,0)),IF(INDIRECT(ADDRESS(ROW(),COLUMN()-1,4))="81111812","Servicio de mantenimiento o soporte equipos de tecnología",""))</f>
        <v>Servicio de mantenimiento o soporte equipos de tecnología</v>
      </c>
      <c r="C3229" s="58" t="str">
        <f>IFERROR(VLOOKUP("UD",'Informacion '!P:Q,2,FALSE),"")</f>
        <v>Unidad</v>
      </c>
      <c r="D3229" s="25">
        <v>3</v>
      </c>
      <c r="E3229" s="28">
        <v>150000</v>
      </c>
      <c r="F3229" s="27">
        <f ca="1">INDIRECT(ADDRESS(ROW(),COLUMN()-2,4))*INDIRECT(ADDRESS(ROW(),COLUMN()-1,4))</f>
        <v>450000</v>
      </c>
    </row>
    <row r="3230" spans="1:10" ht="14.25" customHeight="1" x14ac:dyDescent="0.25">
      <c r="A3230" s="25" t="s">
        <v>1111</v>
      </c>
      <c r="B3230" s="26" t="str">
        <f ca="1">IFERROR(INDEX(UNSPSCDes,MATCH(INDIRECT(ADDRESS(ROW(),COLUMN()-1,4)),UNSPSCCode,0)),IF(INDIRECT(ADDRESS(ROW(),COLUMN()-1,4))="25202003","Unidades de la fuente de alimentación de avión",""))</f>
        <v>Unidades de la fuente de alimentación de avión</v>
      </c>
      <c r="C3230" s="58" t="str">
        <f>IFERROR(VLOOKUP("UD",'Informacion '!P:Q,2,FALSE),"")</f>
        <v>Unidad</v>
      </c>
      <c r="D3230" s="25">
        <v>3</v>
      </c>
      <c r="E3230" s="28">
        <v>60000</v>
      </c>
      <c r="F3230" s="27">
        <f ca="1">INDIRECT(ADDRESS(ROW(),COLUMN()-2,4))*INDIRECT(ADDRESS(ROW(),COLUMN()-1,4))</f>
        <v>180000</v>
      </c>
    </row>
    <row r="3231" spans="1:10" ht="14.25" customHeight="1" x14ac:dyDescent="0.25">
      <c r="E3231" s="30" t="s">
        <v>816</v>
      </c>
      <c r="F3231" s="31">
        <f ca="1">SUM(Table172[MONTO TOTAL ESTIMADO])</f>
        <v>1430000</v>
      </c>
      <c r="H3231" s="21" t="str">
        <f>C3221</f>
        <v>Bienes</v>
      </c>
      <c r="I3231" s="21" t="str">
        <f>E3221</f>
        <v>Sí</v>
      </c>
      <c r="J3231" s="21" t="str">
        <f>D3221</f>
        <v>Compras Menores</v>
      </c>
    </row>
    <row r="3233" spans="1:10" ht="33.950000000000003" customHeight="1" x14ac:dyDescent="0.25">
      <c r="A3233" s="22" t="s">
        <v>1051</v>
      </c>
      <c r="B3233" s="22" t="s">
        <v>11</v>
      </c>
      <c r="C3233" s="22" t="s">
        <v>751</v>
      </c>
      <c r="D3233" s="22" t="s">
        <v>930</v>
      </c>
      <c r="E3233" s="22" t="s">
        <v>699</v>
      </c>
      <c r="F3233" s="22" t="s">
        <v>710</v>
      </c>
    </row>
    <row r="3234" spans="1:10" ht="14.25" customHeight="1" x14ac:dyDescent="0.25">
      <c r="A3234" s="23" t="s">
        <v>207</v>
      </c>
      <c r="B3234" s="23" t="s">
        <v>207</v>
      </c>
      <c r="C3234" s="23" t="s">
        <v>1155</v>
      </c>
      <c r="D3234" s="23" t="s">
        <v>1128</v>
      </c>
      <c r="E3234" s="23" t="s">
        <v>1156</v>
      </c>
      <c r="F3234" s="23" t="s">
        <v>436</v>
      </c>
    </row>
    <row r="3235" spans="1:10" ht="14.25" customHeight="1" x14ac:dyDescent="0.25">
      <c r="A3235" s="68" t="s">
        <v>965</v>
      </c>
      <c r="B3235" s="24" t="s">
        <v>543</v>
      </c>
      <c r="C3235" s="54">
        <v>46209</v>
      </c>
      <c r="D3235" s="68" t="s">
        <v>598</v>
      </c>
      <c r="E3235" s="56" t="s">
        <v>858</v>
      </c>
      <c r="F3235" s="57" t="s">
        <v>184</v>
      </c>
    </row>
    <row r="3236" spans="1:10" ht="14.25" customHeight="1" x14ac:dyDescent="0.25">
      <c r="A3236" s="69"/>
      <c r="B3236" s="24" t="s">
        <v>112</v>
      </c>
      <c r="C3236" s="55">
        <f>IF(C3235="","",IF(AND(MONTH(C3235)&gt;=1,MONTH(C3235)&lt;=3),1,IF(AND(MONTH(C3235)&gt;=4,MONTH(C3235)&lt;=6),2,IF(AND(MONTH(C3235)&gt;=7,MONTH(C3235)&lt;=9),3,4))))</f>
        <v>3</v>
      </c>
      <c r="D3236" s="69"/>
      <c r="E3236" s="56" t="s">
        <v>143</v>
      </c>
      <c r="F3236" s="57"/>
    </row>
    <row r="3237" spans="1:10" ht="14.25" customHeight="1" x14ac:dyDescent="0.25">
      <c r="A3237" s="69"/>
      <c r="B3237" s="24" t="s">
        <v>844</v>
      </c>
      <c r="C3237" s="54">
        <v>46248</v>
      </c>
      <c r="D3237" s="69"/>
      <c r="E3237" s="56" t="s">
        <v>183</v>
      </c>
      <c r="F3237" s="57"/>
    </row>
    <row r="3238" spans="1:10" ht="14.25" customHeight="1" x14ac:dyDescent="0.25">
      <c r="A3238" s="69"/>
      <c r="B3238" s="24" t="s">
        <v>112</v>
      </c>
      <c r="C3238" s="55">
        <f>IF(C3237="","",IF(AND(MONTH(C3237)&gt;=1,MONTH(C3237)&lt;=3),1,IF(AND(MONTH(C3237)&gt;=4,MONTH(C3237)&lt;=6),2,IF(AND(MONTH(C3237)&gt;=7,MONTH(C3237)&lt;=9),3,4))))</f>
        <v>3</v>
      </c>
      <c r="D3238" s="69"/>
      <c r="E3238" s="56" t="s">
        <v>865</v>
      </c>
      <c r="F3238" s="57"/>
    </row>
    <row r="3240" spans="1:10" ht="14.25" customHeight="1" x14ac:dyDescent="0.25">
      <c r="A3240" s="29" t="s">
        <v>1017</v>
      </c>
      <c r="B3240" s="29" t="s">
        <v>1042</v>
      </c>
      <c r="C3240" s="29" t="s">
        <v>1011</v>
      </c>
      <c r="D3240" s="29" t="s">
        <v>985</v>
      </c>
      <c r="E3240" s="29" t="s">
        <v>449</v>
      </c>
      <c r="F3240" s="29" t="s">
        <v>989</v>
      </c>
    </row>
    <row r="3241" spans="1:10" ht="14.25" customHeight="1" x14ac:dyDescent="0.25">
      <c r="A3241" s="25" t="s">
        <v>1045</v>
      </c>
      <c r="B3241" s="26" t="str">
        <f ca="1">IFERROR(INDEX(UNSPSCDes,MATCH(INDIRECT(ADDRESS(ROW(),COLUMN()-1,4)),UNSPSCCode,0)),IF(INDIRECT(ADDRESS(ROW(),COLUMN()-1,4))="60101401","Insignias",""))</f>
        <v>Insignias</v>
      </c>
      <c r="C3241" s="58" t="str">
        <f>IFERROR(VLOOKUP("UD",'Informacion '!P:Q,2,FALSE),"")</f>
        <v>Unidad</v>
      </c>
      <c r="D3241" s="25">
        <v>300</v>
      </c>
      <c r="E3241" s="28">
        <v>1000</v>
      </c>
      <c r="F3241" s="27">
        <f ca="1">INDIRECT(ADDRESS(ROW(),COLUMN()-2,4))*INDIRECT(ADDRESS(ROW(),COLUMN()-1,4))</f>
        <v>300000</v>
      </c>
    </row>
    <row r="3242" spans="1:10" ht="14.25" customHeight="1" x14ac:dyDescent="0.25">
      <c r="E3242" s="30" t="s">
        <v>816</v>
      </c>
      <c r="F3242" s="31">
        <f ca="1">SUM(Table173[MONTO TOTAL ESTIMADO])</f>
        <v>300000</v>
      </c>
      <c r="H3242" s="21" t="str">
        <f>C3234</f>
        <v>Bienes</v>
      </c>
      <c r="I3242" s="21" t="str">
        <f>E3234</f>
        <v>No</v>
      </c>
      <c r="J3242" s="21" t="str">
        <f>D3234</f>
        <v>Compras Menores</v>
      </c>
    </row>
    <row r="3244" spans="1:10" ht="33.950000000000003" customHeight="1" x14ac:dyDescent="0.25">
      <c r="A3244" s="22" t="s">
        <v>1051</v>
      </c>
      <c r="B3244" s="22" t="s">
        <v>11</v>
      </c>
      <c r="C3244" s="22" t="s">
        <v>751</v>
      </c>
      <c r="D3244" s="22" t="s">
        <v>930</v>
      </c>
      <c r="E3244" s="22" t="s">
        <v>699</v>
      </c>
      <c r="F3244" s="22" t="s">
        <v>710</v>
      </c>
    </row>
    <row r="3245" spans="1:10" ht="14.25" customHeight="1" x14ac:dyDescent="0.25">
      <c r="A3245" s="23" t="s">
        <v>656</v>
      </c>
      <c r="B3245" s="23" t="s">
        <v>656</v>
      </c>
      <c r="C3245" s="23" t="s">
        <v>1155</v>
      </c>
      <c r="D3245" s="23" t="s">
        <v>1128</v>
      </c>
      <c r="E3245" s="23" t="s">
        <v>1156</v>
      </c>
      <c r="F3245" s="23" t="s">
        <v>436</v>
      </c>
    </row>
    <row r="3246" spans="1:10" ht="14.25" customHeight="1" x14ac:dyDescent="0.25">
      <c r="A3246" s="68" t="s">
        <v>965</v>
      </c>
      <c r="B3246" s="24" t="s">
        <v>543</v>
      </c>
      <c r="C3246" s="54">
        <v>46218</v>
      </c>
      <c r="D3246" s="68" t="s">
        <v>598</v>
      </c>
      <c r="E3246" s="56" t="s">
        <v>858</v>
      </c>
      <c r="F3246" s="57" t="s">
        <v>184</v>
      </c>
    </row>
    <row r="3247" spans="1:10" ht="14.25" customHeight="1" x14ac:dyDescent="0.25">
      <c r="A3247" s="69"/>
      <c r="B3247" s="24" t="s">
        <v>112</v>
      </c>
      <c r="C3247" s="55">
        <f>IF(C3246="","",IF(AND(MONTH(C3246)&gt;=1,MONTH(C3246)&lt;=3),1,IF(AND(MONTH(C3246)&gt;=4,MONTH(C3246)&lt;=6),2,IF(AND(MONTH(C3246)&gt;=7,MONTH(C3246)&lt;=9),3,4))))</f>
        <v>3</v>
      </c>
      <c r="D3247" s="69"/>
      <c r="E3247" s="56" t="s">
        <v>143</v>
      </c>
      <c r="F3247" s="57"/>
    </row>
    <row r="3248" spans="1:10" ht="14.25" customHeight="1" x14ac:dyDescent="0.25">
      <c r="A3248" s="69"/>
      <c r="B3248" s="24" t="s">
        <v>844</v>
      </c>
      <c r="C3248" s="54">
        <v>46240</v>
      </c>
      <c r="D3248" s="69"/>
      <c r="E3248" s="56" t="s">
        <v>183</v>
      </c>
      <c r="F3248" s="57"/>
    </row>
    <row r="3249" spans="1:10" ht="14.25" customHeight="1" x14ac:dyDescent="0.25">
      <c r="A3249" s="69"/>
      <c r="B3249" s="24" t="s">
        <v>112</v>
      </c>
      <c r="C3249" s="55">
        <f>IF(C3248="","",IF(AND(MONTH(C3248)&gt;=1,MONTH(C3248)&lt;=3),1,IF(AND(MONTH(C3248)&gt;=4,MONTH(C3248)&lt;=6),2,IF(AND(MONTH(C3248)&gt;=7,MONTH(C3248)&lt;=9),3,4))))</f>
        <v>3</v>
      </c>
      <c r="D3249" s="69"/>
      <c r="E3249" s="56" t="s">
        <v>865</v>
      </c>
      <c r="F3249" s="57"/>
    </row>
    <row r="3251" spans="1:10" ht="14.25" customHeight="1" x14ac:dyDescent="0.25">
      <c r="A3251" s="29" t="s">
        <v>1017</v>
      </c>
      <c r="B3251" s="29" t="s">
        <v>1042</v>
      </c>
      <c r="C3251" s="29" t="s">
        <v>1011</v>
      </c>
      <c r="D3251" s="29" t="s">
        <v>985</v>
      </c>
      <c r="E3251" s="29" t="s">
        <v>449</v>
      </c>
      <c r="F3251" s="29" t="s">
        <v>989</v>
      </c>
    </row>
    <row r="3252" spans="1:10" ht="14.25" customHeight="1" x14ac:dyDescent="0.25">
      <c r="A3252" s="25" t="s">
        <v>515</v>
      </c>
      <c r="B3252" s="26" t="str">
        <f t="shared" ref="B3252:B3263" ca="1" si="105">IFERROR(INDEX(UNSPSCDes,MATCH(INDIRECT(ADDRESS(ROW(),COLUMN()-1,4)),UNSPSCCode,0)),IF(INDIRECT(ADDRESS(ROW(),COLUMN()-1,4))="49101609","Ornamentos o decoraciones",""))</f>
        <v>Ornamentos o decoraciones</v>
      </c>
      <c r="C3252" s="58" t="str">
        <f>IFERROR(VLOOKUP("UD",'Informacion '!P:Q,2,FALSE),"")</f>
        <v>Unidad</v>
      </c>
      <c r="D3252" s="25">
        <v>10</v>
      </c>
      <c r="E3252" s="28">
        <v>5000</v>
      </c>
      <c r="F3252" s="27">
        <f t="shared" ref="F3252:F3263" ca="1" si="106">INDIRECT(ADDRESS(ROW(),COLUMN()-2,4))*INDIRECT(ADDRESS(ROW(),COLUMN()-1,4))</f>
        <v>50000</v>
      </c>
    </row>
    <row r="3253" spans="1:10" ht="14.25" customHeight="1" x14ac:dyDescent="0.25">
      <c r="A3253" s="25" t="s">
        <v>515</v>
      </c>
      <c r="B3253" s="26" t="str">
        <f t="shared" ca="1" si="105"/>
        <v>Ornamentos o decoraciones</v>
      </c>
      <c r="C3253" s="58" t="str">
        <f>IFERROR(VLOOKUP("UD",'Informacion '!P:Q,2,FALSE),"")</f>
        <v>Unidad</v>
      </c>
      <c r="D3253" s="25">
        <v>1</v>
      </c>
      <c r="E3253" s="28">
        <v>10000</v>
      </c>
      <c r="F3253" s="27">
        <f t="shared" ca="1" si="106"/>
        <v>10000</v>
      </c>
    </row>
    <row r="3254" spans="1:10" ht="14.25" customHeight="1" x14ac:dyDescent="0.25">
      <c r="A3254" s="25" t="s">
        <v>515</v>
      </c>
      <c r="B3254" s="26" t="str">
        <f t="shared" ca="1" si="105"/>
        <v>Ornamentos o decoraciones</v>
      </c>
      <c r="C3254" s="58" t="str">
        <f>IFERROR(VLOOKUP("UD",'Informacion '!P:Q,2,FALSE),"")</f>
        <v>Unidad</v>
      </c>
      <c r="D3254" s="25">
        <v>300</v>
      </c>
      <c r="E3254" s="28">
        <v>500</v>
      </c>
      <c r="F3254" s="27">
        <f t="shared" ca="1" si="106"/>
        <v>150000</v>
      </c>
    </row>
    <row r="3255" spans="1:10" ht="14.25" customHeight="1" x14ac:dyDescent="0.25">
      <c r="A3255" s="25" t="s">
        <v>515</v>
      </c>
      <c r="B3255" s="26" t="str">
        <f t="shared" ca="1" si="105"/>
        <v>Ornamentos o decoraciones</v>
      </c>
      <c r="C3255" s="58" t="str">
        <f>IFERROR(VLOOKUP("UD",'Informacion '!P:Q,2,FALSE),"")</f>
        <v>Unidad</v>
      </c>
      <c r="D3255" s="25">
        <v>100</v>
      </c>
      <c r="E3255" s="28">
        <v>600</v>
      </c>
      <c r="F3255" s="27">
        <f t="shared" ca="1" si="106"/>
        <v>60000</v>
      </c>
    </row>
    <row r="3256" spans="1:10" ht="14.25" customHeight="1" x14ac:dyDescent="0.25">
      <c r="A3256" s="25" t="s">
        <v>515</v>
      </c>
      <c r="B3256" s="26" t="str">
        <f t="shared" ca="1" si="105"/>
        <v>Ornamentos o decoraciones</v>
      </c>
      <c r="C3256" s="58" t="str">
        <f>IFERROR(VLOOKUP("UD",'Informacion '!P:Q,2,FALSE),"")</f>
        <v>Unidad</v>
      </c>
      <c r="D3256" s="25">
        <v>30</v>
      </c>
      <c r="E3256" s="28">
        <v>3000</v>
      </c>
      <c r="F3256" s="27">
        <f t="shared" ca="1" si="106"/>
        <v>90000</v>
      </c>
    </row>
    <row r="3257" spans="1:10" ht="14.25" customHeight="1" x14ac:dyDescent="0.25">
      <c r="A3257" s="25" t="s">
        <v>515</v>
      </c>
      <c r="B3257" s="26" t="str">
        <f t="shared" ca="1" si="105"/>
        <v>Ornamentos o decoraciones</v>
      </c>
      <c r="C3257" s="58" t="str">
        <f>IFERROR(VLOOKUP("UD",'Informacion '!P:Q,2,FALSE),"")</f>
        <v>Unidad</v>
      </c>
      <c r="D3257" s="25">
        <v>100</v>
      </c>
      <c r="E3257" s="28">
        <v>6588.3293999999996</v>
      </c>
      <c r="F3257" s="27">
        <f t="shared" ca="1" si="106"/>
        <v>658832.93999999994</v>
      </c>
    </row>
    <row r="3258" spans="1:10" ht="14.25" customHeight="1" x14ac:dyDescent="0.25">
      <c r="A3258" s="25" t="s">
        <v>515</v>
      </c>
      <c r="B3258" s="26" t="str">
        <f t="shared" ca="1" si="105"/>
        <v>Ornamentos o decoraciones</v>
      </c>
      <c r="C3258" s="58" t="str">
        <f>IFERROR(VLOOKUP("UD",'Informacion '!P:Q,2,FALSE),"")</f>
        <v>Unidad</v>
      </c>
      <c r="D3258" s="25">
        <v>2</v>
      </c>
      <c r="E3258" s="28">
        <v>4179.1588000000002</v>
      </c>
      <c r="F3258" s="27">
        <f t="shared" ca="1" si="106"/>
        <v>8358.3176000000003</v>
      </c>
    </row>
    <row r="3259" spans="1:10" ht="14.25" customHeight="1" x14ac:dyDescent="0.25">
      <c r="A3259" s="25" t="s">
        <v>515</v>
      </c>
      <c r="B3259" s="26" t="str">
        <f t="shared" ca="1" si="105"/>
        <v>Ornamentos o decoraciones</v>
      </c>
      <c r="C3259" s="58" t="str">
        <f>IFERROR(VLOOKUP("UD",'Informacion '!P:Q,2,FALSE),"")</f>
        <v>Unidad</v>
      </c>
      <c r="D3259" s="25">
        <v>50</v>
      </c>
      <c r="E3259" s="28">
        <v>700</v>
      </c>
      <c r="F3259" s="27">
        <f t="shared" ca="1" si="106"/>
        <v>35000</v>
      </c>
    </row>
    <row r="3260" spans="1:10" ht="14.25" customHeight="1" x14ac:dyDescent="0.25">
      <c r="A3260" s="25" t="s">
        <v>515</v>
      </c>
      <c r="B3260" s="26" t="str">
        <f t="shared" ca="1" si="105"/>
        <v>Ornamentos o decoraciones</v>
      </c>
      <c r="C3260" s="58" t="str">
        <f>IFERROR(VLOOKUP("UD",'Informacion '!P:Q,2,FALSE),"")</f>
        <v>Unidad</v>
      </c>
      <c r="D3260" s="25">
        <v>1</v>
      </c>
      <c r="E3260" s="28">
        <v>15000</v>
      </c>
      <c r="F3260" s="27">
        <f t="shared" ca="1" si="106"/>
        <v>15000</v>
      </c>
    </row>
    <row r="3261" spans="1:10" ht="14.25" customHeight="1" x14ac:dyDescent="0.25">
      <c r="A3261" s="25" t="s">
        <v>515</v>
      </c>
      <c r="B3261" s="26" t="str">
        <f t="shared" ca="1" si="105"/>
        <v>Ornamentos o decoraciones</v>
      </c>
      <c r="C3261" s="58" t="str">
        <f>IFERROR(VLOOKUP("UD",'Informacion '!P:Q,2,FALSE),"")</f>
        <v>Unidad</v>
      </c>
      <c r="D3261" s="25">
        <v>10</v>
      </c>
      <c r="E3261" s="28">
        <v>350</v>
      </c>
      <c r="F3261" s="27">
        <f t="shared" ca="1" si="106"/>
        <v>3500</v>
      </c>
    </row>
    <row r="3262" spans="1:10" ht="14.25" customHeight="1" x14ac:dyDescent="0.25">
      <c r="A3262" s="25" t="s">
        <v>515</v>
      </c>
      <c r="B3262" s="26" t="str">
        <f t="shared" ca="1" si="105"/>
        <v>Ornamentos o decoraciones</v>
      </c>
      <c r="C3262" s="58" t="str">
        <f>IFERROR(VLOOKUP("UD",'Informacion '!P:Q,2,FALSE),"")</f>
        <v>Unidad</v>
      </c>
      <c r="D3262" s="25">
        <v>20</v>
      </c>
      <c r="E3262" s="28">
        <v>5000</v>
      </c>
      <c r="F3262" s="27">
        <f t="shared" ca="1" si="106"/>
        <v>100000</v>
      </c>
    </row>
    <row r="3263" spans="1:10" ht="14.25" customHeight="1" x14ac:dyDescent="0.25">
      <c r="A3263" s="25" t="s">
        <v>515</v>
      </c>
      <c r="B3263" s="26" t="str">
        <f t="shared" ca="1" si="105"/>
        <v>Ornamentos o decoraciones</v>
      </c>
      <c r="C3263" s="58" t="str">
        <f>IFERROR(VLOOKUP("UD",'Informacion '!P:Q,2,FALSE),"")</f>
        <v>Unidad</v>
      </c>
      <c r="D3263" s="25">
        <v>10</v>
      </c>
      <c r="E3263" s="28">
        <v>20000</v>
      </c>
      <c r="F3263" s="27">
        <f t="shared" ca="1" si="106"/>
        <v>200000</v>
      </c>
    </row>
    <row r="3264" spans="1:10" ht="14.25" customHeight="1" x14ac:dyDescent="0.25">
      <c r="E3264" s="30" t="s">
        <v>816</v>
      </c>
      <c r="F3264" s="31">
        <f ca="1">SUM(Table174[MONTO TOTAL ESTIMADO])</f>
        <v>1380691.2575999999</v>
      </c>
      <c r="H3264" s="21" t="str">
        <f>C3245</f>
        <v>Bienes</v>
      </c>
      <c r="I3264" s="21" t="str">
        <f>E3245</f>
        <v>No</v>
      </c>
      <c r="J3264" s="21" t="str">
        <f>D3245</f>
        <v>Compras Menores</v>
      </c>
    </row>
    <row r="3266" spans="1:10" ht="33.950000000000003" customHeight="1" x14ac:dyDescent="0.25">
      <c r="A3266" s="22" t="s">
        <v>1051</v>
      </c>
      <c r="B3266" s="22" t="s">
        <v>11</v>
      </c>
      <c r="C3266" s="22" t="s">
        <v>751</v>
      </c>
      <c r="D3266" s="22" t="s">
        <v>930</v>
      </c>
      <c r="E3266" s="22" t="s">
        <v>699</v>
      </c>
      <c r="F3266" s="22" t="s">
        <v>710</v>
      </c>
    </row>
    <row r="3267" spans="1:10" ht="14.25" customHeight="1" x14ac:dyDescent="0.25">
      <c r="A3267" s="23" t="s">
        <v>287</v>
      </c>
      <c r="B3267" s="23" t="s">
        <v>287</v>
      </c>
      <c r="C3267" s="23" t="s">
        <v>438</v>
      </c>
      <c r="D3267" s="23" t="s">
        <v>116</v>
      </c>
      <c r="E3267" s="23" t="s">
        <v>1156</v>
      </c>
      <c r="F3267" s="23" t="s">
        <v>436</v>
      </c>
    </row>
    <row r="3268" spans="1:10" ht="14.25" customHeight="1" x14ac:dyDescent="0.25">
      <c r="A3268" s="68" t="s">
        <v>965</v>
      </c>
      <c r="B3268" s="24" t="s">
        <v>543</v>
      </c>
      <c r="C3268" s="54">
        <v>46246</v>
      </c>
      <c r="D3268" s="68" t="s">
        <v>598</v>
      </c>
      <c r="E3268" s="56" t="s">
        <v>858</v>
      </c>
      <c r="F3268" s="57" t="s">
        <v>184</v>
      </c>
    </row>
    <row r="3269" spans="1:10" ht="14.25" customHeight="1" x14ac:dyDescent="0.25">
      <c r="A3269" s="69"/>
      <c r="B3269" s="24" t="s">
        <v>112</v>
      </c>
      <c r="C3269" s="55">
        <f>IF(C3268="","",IF(AND(MONTH(C3268)&gt;=1,MONTH(C3268)&lt;=3),1,IF(AND(MONTH(C3268)&gt;=4,MONTH(C3268)&lt;=6),2,IF(AND(MONTH(C3268)&gt;=7,MONTH(C3268)&lt;=9),3,4))))</f>
        <v>3</v>
      </c>
      <c r="D3269" s="69"/>
      <c r="E3269" s="56" t="s">
        <v>143</v>
      </c>
      <c r="F3269" s="57"/>
    </row>
    <row r="3270" spans="1:10" ht="14.25" customHeight="1" x14ac:dyDescent="0.25">
      <c r="A3270" s="69"/>
      <c r="B3270" s="24" t="s">
        <v>844</v>
      </c>
      <c r="C3270" s="54">
        <v>46295</v>
      </c>
      <c r="D3270" s="69"/>
      <c r="E3270" s="56" t="s">
        <v>183</v>
      </c>
      <c r="F3270" s="57"/>
    </row>
    <row r="3271" spans="1:10" ht="14.25" customHeight="1" x14ac:dyDescent="0.25">
      <c r="A3271" s="69"/>
      <c r="B3271" s="24" t="s">
        <v>112</v>
      </c>
      <c r="C3271" s="55">
        <f>IF(C3270="","",IF(AND(MONTH(C3270)&gt;=1,MONTH(C3270)&lt;=3),1,IF(AND(MONTH(C3270)&gt;=4,MONTH(C3270)&lt;=6),2,IF(AND(MONTH(C3270)&gt;=7,MONTH(C3270)&lt;=9),3,4))))</f>
        <v>3</v>
      </c>
      <c r="D3271" s="69"/>
      <c r="E3271" s="56" t="s">
        <v>865</v>
      </c>
      <c r="F3271" s="57"/>
    </row>
    <row r="3273" spans="1:10" ht="14.25" customHeight="1" x14ac:dyDescent="0.25">
      <c r="A3273" s="29" t="s">
        <v>1017</v>
      </c>
      <c r="B3273" s="29" t="s">
        <v>1042</v>
      </c>
      <c r="C3273" s="29" t="s">
        <v>1011</v>
      </c>
      <c r="D3273" s="29" t="s">
        <v>985</v>
      </c>
      <c r="E3273" s="29" t="s">
        <v>449</v>
      </c>
      <c r="F3273" s="29" t="s">
        <v>989</v>
      </c>
    </row>
    <row r="3274" spans="1:10" ht="14.25" customHeight="1" x14ac:dyDescent="0.25">
      <c r="A3274" s="25" t="s">
        <v>398</v>
      </c>
      <c r="B3274" s="26" t="str">
        <f ca="1">IFERROR(INDEX(UNSPSCDes,MATCH(INDIRECT(ADDRESS(ROW(),COLUMN()-1,4)),UNSPSCCode,0)),IF(INDIRECT(ADDRESS(ROW(),COLUMN()-1,4))="80161507","Servicios audiovisuales",""))</f>
        <v>Servicios audiovisuales</v>
      </c>
      <c r="C3274" s="58" t="str">
        <f>IFERROR(VLOOKUP("UD",'Informacion '!P:Q,2,FALSE),"")</f>
        <v>Unidad</v>
      </c>
      <c r="D3274" s="25">
        <v>5</v>
      </c>
      <c r="E3274" s="28">
        <v>1000000</v>
      </c>
      <c r="F3274" s="27">
        <f ca="1">INDIRECT(ADDRESS(ROW(),COLUMN()-2,4))*INDIRECT(ADDRESS(ROW(),COLUMN()-1,4))</f>
        <v>5000000</v>
      </c>
    </row>
    <row r="3275" spans="1:10" ht="14.25" customHeight="1" x14ac:dyDescent="0.25">
      <c r="E3275" s="30" t="s">
        <v>816</v>
      </c>
      <c r="F3275" s="31">
        <f ca="1">SUM(Table175[MONTO TOTAL ESTIMADO])</f>
        <v>5000000</v>
      </c>
      <c r="H3275" s="21" t="str">
        <f>C3267</f>
        <v>Servicios</v>
      </c>
      <c r="I3275" s="21" t="str">
        <f>E3267</f>
        <v>No</v>
      </c>
      <c r="J3275" s="21" t="str">
        <f>D3267</f>
        <v>Comparacion de Precios</v>
      </c>
    </row>
    <row r="3277" spans="1:10" ht="33.950000000000003" customHeight="1" x14ac:dyDescent="0.25">
      <c r="A3277" s="22" t="s">
        <v>1051</v>
      </c>
      <c r="B3277" s="22" t="s">
        <v>11</v>
      </c>
      <c r="C3277" s="22" t="s">
        <v>751</v>
      </c>
      <c r="D3277" s="22" t="s">
        <v>930</v>
      </c>
      <c r="E3277" s="22" t="s">
        <v>699</v>
      </c>
      <c r="F3277" s="22" t="s">
        <v>710</v>
      </c>
    </row>
    <row r="3278" spans="1:10" ht="14.25" customHeight="1" x14ac:dyDescent="0.25">
      <c r="A3278" s="23" t="s">
        <v>880</v>
      </c>
      <c r="B3278" s="23" t="s">
        <v>880</v>
      </c>
      <c r="C3278" s="23" t="s">
        <v>438</v>
      </c>
      <c r="D3278" s="23" t="s">
        <v>654</v>
      </c>
      <c r="E3278" s="23" t="s">
        <v>1156</v>
      </c>
      <c r="F3278" s="23"/>
    </row>
    <row r="3279" spans="1:10" ht="14.25" customHeight="1" x14ac:dyDescent="0.25">
      <c r="A3279" s="68" t="s">
        <v>965</v>
      </c>
      <c r="B3279" s="24" t="s">
        <v>543</v>
      </c>
      <c r="C3279" s="54">
        <v>46042</v>
      </c>
      <c r="D3279" s="68" t="s">
        <v>598</v>
      </c>
      <c r="E3279" s="56" t="s">
        <v>858</v>
      </c>
      <c r="F3279" s="57" t="s">
        <v>184</v>
      </c>
    </row>
    <row r="3280" spans="1:10" ht="14.25" customHeight="1" x14ac:dyDescent="0.25">
      <c r="A3280" s="69"/>
      <c r="B3280" s="24" t="s">
        <v>112</v>
      </c>
      <c r="C3280" s="55">
        <f>IF(C3279="","",IF(AND(MONTH(C3279)&gt;=1,MONTH(C3279)&lt;=3),1,IF(AND(MONTH(C3279)&gt;=4,MONTH(C3279)&lt;=6),2,IF(AND(MONTH(C3279)&gt;=7,MONTH(C3279)&lt;=9),3,4))))</f>
        <v>1</v>
      </c>
      <c r="D3280" s="69"/>
      <c r="E3280" s="56" t="s">
        <v>143</v>
      </c>
      <c r="F3280" s="57"/>
    </row>
    <row r="3281" spans="1:10" ht="14.25" customHeight="1" x14ac:dyDescent="0.25">
      <c r="A3281" s="69"/>
      <c r="B3281" s="24" t="s">
        <v>844</v>
      </c>
      <c r="C3281" s="54">
        <v>46049</v>
      </c>
      <c r="D3281" s="69"/>
      <c r="E3281" s="56" t="s">
        <v>183</v>
      </c>
      <c r="F3281" s="57"/>
    </row>
    <row r="3282" spans="1:10" ht="14.25" customHeight="1" x14ac:dyDescent="0.25">
      <c r="A3282" s="69"/>
      <c r="B3282" s="24" t="s">
        <v>112</v>
      </c>
      <c r="C3282" s="55">
        <f>IF(C3281="","",IF(AND(MONTH(C3281)&gt;=1,MONTH(C3281)&lt;=3),1,IF(AND(MONTH(C3281)&gt;=4,MONTH(C3281)&lt;=6),2,IF(AND(MONTH(C3281)&gt;=7,MONTH(C3281)&lt;=9),3,4))))</f>
        <v>1</v>
      </c>
      <c r="D3282" s="69"/>
      <c r="E3282" s="56" t="s">
        <v>865</v>
      </c>
      <c r="F3282" s="57"/>
    </row>
    <row r="3284" spans="1:10" ht="14.25" customHeight="1" x14ac:dyDescent="0.25">
      <c r="A3284" s="29" t="s">
        <v>1017</v>
      </c>
      <c r="B3284" s="29" t="s">
        <v>1042</v>
      </c>
      <c r="C3284" s="29" t="s">
        <v>1011</v>
      </c>
      <c r="D3284" s="29" t="s">
        <v>985</v>
      </c>
      <c r="E3284" s="29" t="s">
        <v>449</v>
      </c>
      <c r="F3284" s="29" t="s">
        <v>989</v>
      </c>
    </row>
    <row r="3285" spans="1:10" ht="14.25" customHeight="1" x14ac:dyDescent="0.25">
      <c r="A3285" s="25" t="s">
        <v>165</v>
      </c>
      <c r="B3285" s="26" t="str">
        <f ca="1">IFERROR(INDEX(UNSPSCDes,MATCH(INDIRECT(ADDRESS(ROW(),COLUMN()-1,4)),UNSPSCCode,0)),IF(INDIRECT(ADDRESS(ROW(),COLUMN()-1,4))="80141611","Servicios de personalización de obsequios o productos",""))</f>
        <v>Servicios de personalización de obsequios o productos</v>
      </c>
      <c r="C3285" s="58" t="str">
        <f>IFERROR(VLOOKUP("UD",'Informacion '!P:Q,2,FALSE),"")</f>
        <v>Unidad</v>
      </c>
      <c r="D3285" s="25">
        <v>2700</v>
      </c>
      <c r="E3285" s="28">
        <v>175</v>
      </c>
      <c r="F3285" s="27">
        <f ca="1">INDIRECT(ADDRESS(ROW(),COLUMN()-2,4))*INDIRECT(ADDRESS(ROW(),COLUMN()-1,4))</f>
        <v>472500</v>
      </c>
    </row>
    <row r="3286" spans="1:10" ht="14.25" customHeight="1" x14ac:dyDescent="0.25">
      <c r="E3286" s="30" t="s">
        <v>816</v>
      </c>
      <c r="F3286" s="31">
        <f ca="1">SUM(Table176[MONTO TOTAL ESTIMADO])</f>
        <v>472500</v>
      </c>
      <c r="H3286" s="21" t="str">
        <f>C3278</f>
        <v>Servicios</v>
      </c>
      <c r="I3286" s="21" t="str">
        <f>E3278</f>
        <v>No</v>
      </c>
      <c r="J3286" s="21" t="str">
        <f>D3278</f>
        <v>Compras por debajo del Umbral</v>
      </c>
    </row>
    <row r="3288" spans="1:10" ht="33.950000000000003" customHeight="1" x14ac:dyDescent="0.25">
      <c r="A3288" s="22" t="s">
        <v>1051</v>
      </c>
      <c r="B3288" s="22" t="s">
        <v>11</v>
      </c>
      <c r="C3288" s="22" t="s">
        <v>751</v>
      </c>
      <c r="D3288" s="22" t="s">
        <v>930</v>
      </c>
      <c r="E3288" s="22" t="s">
        <v>699</v>
      </c>
      <c r="F3288" s="22" t="s">
        <v>710</v>
      </c>
    </row>
    <row r="3289" spans="1:10" ht="14.25" customHeight="1" x14ac:dyDescent="0.25">
      <c r="A3289" s="23" t="s">
        <v>163</v>
      </c>
      <c r="B3289" s="23" t="s">
        <v>454</v>
      </c>
      <c r="C3289" s="23" t="s">
        <v>438</v>
      </c>
      <c r="D3289" s="23" t="s">
        <v>654</v>
      </c>
      <c r="E3289" s="23" t="s">
        <v>1156</v>
      </c>
      <c r="F3289" s="23"/>
    </row>
    <row r="3290" spans="1:10" ht="14.25" customHeight="1" x14ac:dyDescent="0.25">
      <c r="A3290" s="68" t="s">
        <v>965</v>
      </c>
      <c r="B3290" s="24" t="s">
        <v>543</v>
      </c>
      <c r="C3290" s="54">
        <v>46042</v>
      </c>
      <c r="D3290" s="68" t="s">
        <v>598</v>
      </c>
      <c r="E3290" s="56" t="s">
        <v>858</v>
      </c>
      <c r="F3290" s="57" t="s">
        <v>184</v>
      </c>
    </row>
    <row r="3291" spans="1:10" ht="14.25" customHeight="1" x14ac:dyDescent="0.25">
      <c r="A3291" s="69"/>
      <c r="B3291" s="24" t="s">
        <v>112</v>
      </c>
      <c r="C3291" s="55">
        <f>IF(C3290="","",IF(AND(MONTH(C3290)&gt;=1,MONTH(C3290)&lt;=3),1,IF(AND(MONTH(C3290)&gt;=4,MONTH(C3290)&lt;=6),2,IF(AND(MONTH(C3290)&gt;=7,MONTH(C3290)&lt;=9),3,4))))</f>
        <v>1</v>
      </c>
      <c r="D3291" s="69"/>
      <c r="E3291" s="56" t="s">
        <v>143</v>
      </c>
      <c r="F3291" s="57"/>
    </row>
    <row r="3292" spans="1:10" ht="14.25" customHeight="1" x14ac:dyDescent="0.25">
      <c r="A3292" s="69"/>
      <c r="B3292" s="24" t="s">
        <v>844</v>
      </c>
      <c r="C3292" s="54">
        <v>46049</v>
      </c>
      <c r="D3292" s="69"/>
      <c r="E3292" s="56" t="s">
        <v>183</v>
      </c>
      <c r="F3292" s="57"/>
    </row>
    <row r="3293" spans="1:10" ht="14.25" customHeight="1" x14ac:dyDescent="0.25">
      <c r="A3293" s="69"/>
      <c r="B3293" s="24" t="s">
        <v>112</v>
      </c>
      <c r="C3293" s="55">
        <f>IF(C3292="","",IF(AND(MONTH(C3292)&gt;=1,MONTH(C3292)&lt;=3),1,IF(AND(MONTH(C3292)&gt;=4,MONTH(C3292)&lt;=6),2,IF(AND(MONTH(C3292)&gt;=7,MONTH(C3292)&lt;=9),3,4))))</f>
        <v>1</v>
      </c>
      <c r="D3293" s="69"/>
      <c r="E3293" s="56" t="s">
        <v>865</v>
      </c>
      <c r="F3293" s="57"/>
    </row>
    <row r="3295" spans="1:10" ht="14.25" customHeight="1" x14ac:dyDescent="0.25">
      <c r="A3295" s="29" t="s">
        <v>1017</v>
      </c>
      <c r="B3295" s="29" t="s">
        <v>1042</v>
      </c>
      <c r="C3295" s="29" t="s">
        <v>1011</v>
      </c>
      <c r="D3295" s="29" t="s">
        <v>985</v>
      </c>
      <c r="E3295" s="29" t="s">
        <v>449</v>
      </c>
      <c r="F3295" s="29" t="s">
        <v>989</v>
      </c>
    </row>
    <row r="3296" spans="1:10" ht="14.25" customHeight="1" x14ac:dyDescent="0.25">
      <c r="A3296" s="25" t="s">
        <v>165</v>
      </c>
      <c r="B3296" s="26" t="str">
        <f ca="1">IFERROR(INDEX(UNSPSCDes,MATCH(INDIRECT(ADDRESS(ROW(),COLUMN()-1,4)),UNSPSCCode,0)),IF(INDIRECT(ADDRESS(ROW(),COLUMN()-1,4))="80141611","Servicios de personalización de obsequios o productos",""))</f>
        <v>Servicios de personalización de obsequios o productos</v>
      </c>
      <c r="C3296" s="58" t="str">
        <f>IFERROR(VLOOKUP("UD",'Informacion '!P:Q,2,FALSE),"")</f>
        <v>Unidad</v>
      </c>
      <c r="D3296" s="25">
        <v>1100</v>
      </c>
      <c r="E3296" s="28">
        <v>350</v>
      </c>
      <c r="F3296" s="27">
        <f ca="1">INDIRECT(ADDRESS(ROW(),COLUMN()-2,4))*INDIRECT(ADDRESS(ROW(),COLUMN()-1,4))</f>
        <v>385000</v>
      </c>
    </row>
    <row r="3297" spans="1:10" ht="14.25" customHeight="1" x14ac:dyDescent="0.25">
      <c r="E3297" s="30" t="s">
        <v>816</v>
      </c>
      <c r="F3297" s="31">
        <f ca="1">SUM(Table177[MONTO TOTAL ESTIMADO])</f>
        <v>385000</v>
      </c>
      <c r="H3297" s="21" t="str">
        <f>C3289</f>
        <v>Servicios</v>
      </c>
      <c r="I3297" s="21" t="str">
        <f>E3289</f>
        <v>No</v>
      </c>
      <c r="J3297" s="21" t="str">
        <f>D3289</f>
        <v>Compras por debajo del Umbral</v>
      </c>
    </row>
    <row r="3299" spans="1:10" ht="33.950000000000003" customHeight="1" x14ac:dyDescent="0.25">
      <c r="A3299" s="22" t="s">
        <v>1051</v>
      </c>
      <c r="B3299" s="22" t="s">
        <v>11</v>
      </c>
      <c r="C3299" s="22" t="s">
        <v>751</v>
      </c>
      <c r="D3299" s="22" t="s">
        <v>930</v>
      </c>
      <c r="E3299" s="22" t="s">
        <v>699</v>
      </c>
      <c r="F3299" s="22" t="s">
        <v>710</v>
      </c>
    </row>
    <row r="3300" spans="1:10" ht="14.25" customHeight="1" x14ac:dyDescent="0.25">
      <c r="A3300" s="23" t="s">
        <v>256</v>
      </c>
      <c r="B3300" s="23" t="s">
        <v>256</v>
      </c>
      <c r="C3300" s="23" t="s">
        <v>438</v>
      </c>
      <c r="D3300" s="23" t="s">
        <v>146</v>
      </c>
      <c r="E3300" s="23" t="s">
        <v>1156</v>
      </c>
      <c r="F3300" s="23"/>
    </row>
    <row r="3301" spans="1:10" ht="14.25" customHeight="1" x14ac:dyDescent="0.25">
      <c r="A3301" s="68" t="s">
        <v>965</v>
      </c>
      <c r="B3301" s="24" t="s">
        <v>543</v>
      </c>
      <c r="C3301" s="54">
        <v>46042</v>
      </c>
      <c r="D3301" s="68" t="s">
        <v>598</v>
      </c>
      <c r="E3301" s="56" t="s">
        <v>858</v>
      </c>
      <c r="F3301" s="57" t="s">
        <v>184</v>
      </c>
    </row>
    <row r="3302" spans="1:10" ht="14.25" customHeight="1" x14ac:dyDescent="0.25">
      <c r="A3302" s="69"/>
      <c r="B3302" s="24" t="s">
        <v>112</v>
      </c>
      <c r="C3302" s="55">
        <f>IF(C3301="","",IF(AND(MONTH(C3301)&gt;=1,MONTH(C3301)&lt;=3),1,IF(AND(MONTH(C3301)&gt;=4,MONTH(C3301)&lt;=6),2,IF(AND(MONTH(C3301)&gt;=7,MONTH(C3301)&lt;=9),3,4))))</f>
        <v>1</v>
      </c>
      <c r="D3302" s="69"/>
      <c r="E3302" s="56" t="s">
        <v>143</v>
      </c>
      <c r="F3302" s="57"/>
    </row>
    <row r="3303" spans="1:10" ht="14.25" customHeight="1" x14ac:dyDescent="0.25">
      <c r="A3303" s="69"/>
      <c r="B3303" s="24" t="s">
        <v>844</v>
      </c>
      <c r="C3303" s="54">
        <v>46105</v>
      </c>
      <c r="D3303" s="69"/>
      <c r="E3303" s="56" t="s">
        <v>183</v>
      </c>
      <c r="F3303" s="57"/>
    </row>
    <row r="3304" spans="1:10" ht="14.25" customHeight="1" x14ac:dyDescent="0.25">
      <c r="A3304" s="69"/>
      <c r="B3304" s="24" t="s">
        <v>112</v>
      </c>
      <c r="C3304" s="55">
        <f>IF(C3303="","",IF(AND(MONTH(C3303)&gt;=1,MONTH(C3303)&lt;=3),1,IF(AND(MONTH(C3303)&gt;=4,MONTH(C3303)&lt;=6),2,IF(AND(MONTH(C3303)&gt;=7,MONTH(C3303)&lt;=9),3,4))))</f>
        <v>1</v>
      </c>
      <c r="D3304" s="69"/>
      <c r="E3304" s="56" t="s">
        <v>865</v>
      </c>
      <c r="F3304" s="57"/>
    </row>
    <row r="3306" spans="1:10" ht="14.25" customHeight="1" x14ac:dyDescent="0.25">
      <c r="A3306" s="29" t="s">
        <v>1017</v>
      </c>
      <c r="B3306" s="29" t="s">
        <v>1042</v>
      </c>
      <c r="C3306" s="29" t="s">
        <v>1011</v>
      </c>
      <c r="D3306" s="29" t="s">
        <v>985</v>
      </c>
      <c r="E3306" s="29" t="s">
        <v>449</v>
      </c>
      <c r="F3306" s="29" t="s">
        <v>989</v>
      </c>
    </row>
    <row r="3307" spans="1:10" ht="14.25" customHeight="1" x14ac:dyDescent="0.25">
      <c r="A3307" s="25" t="s">
        <v>594</v>
      </c>
      <c r="B3307" s="26" t="str">
        <f ca="1">IFERROR(INDEX(UNSPSCDes,MATCH(INDIRECT(ADDRESS(ROW(),COLUMN()-1,4)),UNSPSCCode,0)),IF(INDIRECT(ADDRESS(ROW(),COLUMN()-1,4))="80131502","Arrendamiento de instalaciones comerciales o industriales",""))</f>
        <v>Arrendamiento de instalaciones comerciales o industriales</v>
      </c>
      <c r="C3307" s="58" t="str">
        <f>IFERROR(VLOOKUP("UD",'Informacion '!P:Q,2,FALSE),"")</f>
        <v>Unidad</v>
      </c>
      <c r="D3307" s="25">
        <v>12</v>
      </c>
      <c r="E3307" s="28">
        <v>981288</v>
      </c>
      <c r="F3307" s="27">
        <f ca="1">INDIRECT(ADDRESS(ROW(),COLUMN()-2,4))*INDIRECT(ADDRESS(ROW(),COLUMN()-1,4))</f>
        <v>11775456</v>
      </c>
    </row>
    <row r="3308" spans="1:10" ht="14.25" customHeight="1" x14ac:dyDescent="0.25">
      <c r="E3308" s="30" t="s">
        <v>816</v>
      </c>
      <c r="F3308" s="31">
        <f ca="1">SUM(Table178[MONTO TOTAL ESTIMADO])</f>
        <v>11775456</v>
      </c>
      <c r="H3308" s="21" t="str">
        <f>C3300</f>
        <v>Servicios</v>
      </c>
      <c r="I3308" s="21" t="str">
        <f>E3300</f>
        <v>No</v>
      </c>
      <c r="J3308" s="21" t="str">
        <f>D3300</f>
        <v>Licitacion Publica</v>
      </c>
    </row>
    <row r="3310" spans="1:10" ht="33.950000000000003" customHeight="1" x14ac:dyDescent="0.25">
      <c r="A3310" s="22" t="s">
        <v>1051</v>
      </c>
      <c r="B3310" s="22" t="s">
        <v>11</v>
      </c>
      <c r="C3310" s="22" t="s">
        <v>751</v>
      </c>
      <c r="D3310" s="22" t="s">
        <v>930</v>
      </c>
      <c r="E3310" s="22" t="s">
        <v>699</v>
      </c>
      <c r="F3310" s="22" t="s">
        <v>710</v>
      </c>
    </row>
    <row r="3311" spans="1:10" ht="14.25" customHeight="1" x14ac:dyDescent="0.25">
      <c r="A3311" s="23" t="s">
        <v>120</v>
      </c>
      <c r="B3311" s="23" t="s">
        <v>223</v>
      </c>
      <c r="C3311" s="23" t="s">
        <v>438</v>
      </c>
      <c r="D3311" s="23" t="s">
        <v>1128</v>
      </c>
      <c r="E3311" s="23" t="s">
        <v>1156</v>
      </c>
      <c r="F3311" s="23"/>
    </row>
    <row r="3312" spans="1:10" ht="14.25" customHeight="1" x14ac:dyDescent="0.25">
      <c r="A3312" s="68" t="s">
        <v>965</v>
      </c>
      <c r="B3312" s="24" t="s">
        <v>543</v>
      </c>
      <c r="C3312" s="54">
        <v>46042</v>
      </c>
      <c r="D3312" s="68" t="s">
        <v>598</v>
      </c>
      <c r="E3312" s="56" t="s">
        <v>858</v>
      </c>
      <c r="F3312" s="57" t="s">
        <v>184</v>
      </c>
    </row>
    <row r="3313" spans="1:10" ht="14.25" customHeight="1" x14ac:dyDescent="0.25">
      <c r="A3313" s="69"/>
      <c r="B3313" s="24" t="s">
        <v>112</v>
      </c>
      <c r="C3313" s="55">
        <f>IF(C3312="","",IF(AND(MONTH(C3312)&gt;=1,MONTH(C3312)&lt;=3),1,IF(AND(MONTH(C3312)&gt;=4,MONTH(C3312)&lt;=6),2,IF(AND(MONTH(C3312)&gt;=7,MONTH(C3312)&lt;=9),3,4))))</f>
        <v>1</v>
      </c>
      <c r="D3313" s="69"/>
      <c r="E3313" s="56" t="s">
        <v>143</v>
      </c>
      <c r="F3313" s="57"/>
    </row>
    <row r="3314" spans="1:10" ht="14.25" customHeight="1" x14ac:dyDescent="0.25">
      <c r="A3314" s="69"/>
      <c r="B3314" s="24" t="s">
        <v>844</v>
      </c>
      <c r="C3314" s="54">
        <v>46049</v>
      </c>
      <c r="D3314" s="69"/>
      <c r="E3314" s="56" t="s">
        <v>183</v>
      </c>
      <c r="F3314" s="57"/>
    </row>
    <row r="3315" spans="1:10" ht="14.25" customHeight="1" x14ac:dyDescent="0.25">
      <c r="A3315" s="69"/>
      <c r="B3315" s="24" t="s">
        <v>112</v>
      </c>
      <c r="C3315" s="55">
        <f>IF(C3314="","",IF(AND(MONTH(C3314)&gt;=1,MONTH(C3314)&lt;=3),1,IF(AND(MONTH(C3314)&gt;=4,MONTH(C3314)&lt;=6),2,IF(AND(MONTH(C3314)&gt;=7,MONTH(C3314)&lt;=9),3,4))))</f>
        <v>1</v>
      </c>
      <c r="D3315" s="69"/>
      <c r="E3315" s="56" t="s">
        <v>865</v>
      </c>
      <c r="F3315" s="57"/>
    </row>
    <row r="3317" spans="1:10" ht="14.25" customHeight="1" x14ac:dyDescent="0.25">
      <c r="A3317" s="29" t="s">
        <v>1017</v>
      </c>
      <c r="B3317" s="29" t="s">
        <v>1042</v>
      </c>
      <c r="C3317" s="29" t="s">
        <v>1011</v>
      </c>
      <c r="D3317" s="29" t="s">
        <v>985</v>
      </c>
      <c r="E3317" s="29" t="s">
        <v>449</v>
      </c>
      <c r="F3317" s="29" t="s">
        <v>989</v>
      </c>
    </row>
    <row r="3318" spans="1:10" ht="14.25" customHeight="1" x14ac:dyDescent="0.25">
      <c r="A3318" s="25" t="s">
        <v>1124</v>
      </c>
      <c r="B3318" s="26" t="str">
        <f ca="1">IFERROR(INDEX(UNSPSCDes,MATCH(INDIRECT(ADDRESS(ROW(),COLUMN()-1,4)),UNSPSCCode,0)),IF(INDIRECT(ADDRESS(ROW(),COLUMN()-1,4))="31152002","Alambre de púas",""))</f>
        <v>Alambre de púas</v>
      </c>
      <c r="C3318" s="58" t="str">
        <f>IFERROR(VLOOKUP("UD",'Informacion '!P:Q,2,FALSE),"")</f>
        <v>Unidad</v>
      </c>
      <c r="D3318" s="25">
        <v>1</v>
      </c>
      <c r="E3318" s="28">
        <v>1000000</v>
      </c>
      <c r="F3318" s="27">
        <f ca="1">INDIRECT(ADDRESS(ROW(),COLUMN()-2,4))*INDIRECT(ADDRESS(ROW(),COLUMN()-1,4))</f>
        <v>1000000</v>
      </c>
    </row>
    <row r="3319" spans="1:10" ht="14.25" customHeight="1" x14ac:dyDescent="0.25">
      <c r="E3319" s="30" t="s">
        <v>816</v>
      </c>
      <c r="F3319" s="31">
        <f ca="1">SUM(Table179[MONTO TOTAL ESTIMADO])</f>
        <v>1000000</v>
      </c>
      <c r="H3319" s="21" t="str">
        <f>C3311</f>
        <v>Servicios</v>
      </c>
      <c r="I3319" s="21" t="str">
        <f>E3311</f>
        <v>No</v>
      </c>
      <c r="J3319" s="21" t="str">
        <f>D3311</f>
        <v>Compras Menores</v>
      </c>
    </row>
    <row r="3321" spans="1:10" ht="33.950000000000003" customHeight="1" x14ac:dyDescent="0.25">
      <c r="A3321" s="22" t="s">
        <v>1051</v>
      </c>
      <c r="B3321" s="22" t="s">
        <v>11</v>
      </c>
      <c r="C3321" s="22" t="s">
        <v>751</v>
      </c>
      <c r="D3321" s="22" t="s">
        <v>930</v>
      </c>
      <c r="E3321" s="22" t="s">
        <v>699</v>
      </c>
      <c r="F3321" s="22" t="s">
        <v>710</v>
      </c>
    </row>
    <row r="3322" spans="1:10" ht="14.25" customHeight="1" x14ac:dyDescent="0.25">
      <c r="A3322" s="23" t="s">
        <v>643</v>
      </c>
      <c r="B3322" s="23" t="s">
        <v>290</v>
      </c>
      <c r="C3322" s="23" t="s">
        <v>1155</v>
      </c>
      <c r="D3322" s="23" t="s">
        <v>1128</v>
      </c>
      <c r="E3322" s="23" t="s">
        <v>1156</v>
      </c>
      <c r="F3322" s="23"/>
    </row>
    <row r="3323" spans="1:10" ht="14.25" customHeight="1" x14ac:dyDescent="0.25">
      <c r="A3323" s="68" t="s">
        <v>965</v>
      </c>
      <c r="B3323" s="24" t="s">
        <v>543</v>
      </c>
      <c r="C3323" s="54">
        <v>46042</v>
      </c>
      <c r="D3323" s="68" t="s">
        <v>598</v>
      </c>
      <c r="E3323" s="56" t="s">
        <v>858</v>
      </c>
      <c r="F3323" s="57" t="s">
        <v>184</v>
      </c>
    </row>
    <row r="3324" spans="1:10" ht="14.25" customHeight="1" x14ac:dyDescent="0.25">
      <c r="A3324" s="69"/>
      <c r="B3324" s="24" t="s">
        <v>112</v>
      </c>
      <c r="C3324" s="55">
        <f>IF(C3323="","",IF(AND(MONTH(C3323)&gt;=1,MONTH(C3323)&lt;=3),1,IF(AND(MONTH(C3323)&gt;=4,MONTH(C3323)&lt;=6),2,IF(AND(MONTH(C3323)&gt;=7,MONTH(C3323)&lt;=9),3,4))))</f>
        <v>1</v>
      </c>
      <c r="D3324" s="69"/>
      <c r="E3324" s="56" t="s">
        <v>143</v>
      </c>
      <c r="F3324" s="57"/>
    </row>
    <row r="3325" spans="1:10" ht="14.25" customHeight="1" x14ac:dyDescent="0.25">
      <c r="A3325" s="69"/>
      <c r="B3325" s="24" t="s">
        <v>844</v>
      </c>
      <c r="C3325" s="54">
        <v>46053</v>
      </c>
      <c r="D3325" s="69"/>
      <c r="E3325" s="56" t="s">
        <v>183</v>
      </c>
      <c r="F3325" s="57"/>
    </row>
    <row r="3326" spans="1:10" ht="14.25" customHeight="1" x14ac:dyDescent="0.25">
      <c r="A3326" s="69"/>
      <c r="B3326" s="24" t="s">
        <v>112</v>
      </c>
      <c r="C3326" s="55">
        <f>IF(C3325="","",IF(AND(MONTH(C3325)&gt;=1,MONTH(C3325)&lt;=3),1,IF(AND(MONTH(C3325)&gt;=4,MONTH(C3325)&lt;=6),2,IF(AND(MONTH(C3325)&gt;=7,MONTH(C3325)&lt;=9),3,4))))</f>
        <v>1</v>
      </c>
      <c r="D3326" s="69"/>
      <c r="E3326" s="56" t="s">
        <v>865</v>
      </c>
      <c r="F3326" s="57"/>
    </row>
    <row r="3328" spans="1:10" ht="14.25" customHeight="1" x14ac:dyDescent="0.25">
      <c r="A3328" s="29" t="s">
        <v>1017</v>
      </c>
      <c r="B3328" s="29" t="s">
        <v>1042</v>
      </c>
      <c r="C3328" s="29" t="s">
        <v>1011</v>
      </c>
      <c r="D3328" s="29" t="s">
        <v>985</v>
      </c>
      <c r="E3328" s="29" t="s">
        <v>449</v>
      </c>
      <c r="F3328" s="29" t="s">
        <v>989</v>
      </c>
    </row>
    <row r="3329" spans="1:10" ht="14.25" customHeight="1" x14ac:dyDescent="0.25">
      <c r="A3329" s="25" t="s">
        <v>803</v>
      </c>
      <c r="B3329" s="26" t="str">
        <f ca="1">IFERROR(INDEX(UNSPSCDes,MATCH(INDIRECT(ADDRESS(ROW(),COLUMN()-1,4)),UNSPSCCode,0)),IF(INDIRECT(ADDRESS(ROW(),COLUMN()-1,4))="47121501","Carritos de portero",""))</f>
        <v>Carritos de portero</v>
      </c>
      <c r="C3329" s="58" t="str">
        <f>IFERROR(VLOOKUP("UD",'Informacion '!P:Q,2,FALSE),"")</f>
        <v>Unidad</v>
      </c>
      <c r="D3329" s="25">
        <v>7</v>
      </c>
      <c r="E3329" s="28">
        <v>4000</v>
      </c>
      <c r="F3329" s="27">
        <f ca="1">INDIRECT(ADDRESS(ROW(),COLUMN()-2,4))*INDIRECT(ADDRESS(ROW(),COLUMN()-1,4))</f>
        <v>28000</v>
      </c>
    </row>
    <row r="3330" spans="1:10" ht="14.25" customHeight="1" x14ac:dyDescent="0.25">
      <c r="E3330" s="30" t="s">
        <v>816</v>
      </c>
      <c r="F3330" s="31">
        <f ca="1">SUM(Table180[MONTO TOTAL ESTIMADO])</f>
        <v>28000</v>
      </c>
      <c r="H3330" s="21" t="str">
        <f>C3322</f>
        <v>Bienes</v>
      </c>
      <c r="I3330" s="21" t="str">
        <f>E3322</f>
        <v>No</v>
      </c>
      <c r="J3330" s="21" t="str">
        <f>D3322</f>
        <v>Compras Menores</v>
      </c>
    </row>
    <row r="3332" spans="1:10" ht="33.950000000000003" customHeight="1" x14ac:dyDescent="0.25">
      <c r="A3332" s="22" t="s">
        <v>1051</v>
      </c>
      <c r="B3332" s="22" t="s">
        <v>11</v>
      </c>
      <c r="C3332" s="22" t="s">
        <v>751</v>
      </c>
      <c r="D3332" s="22" t="s">
        <v>930</v>
      </c>
      <c r="E3332" s="22" t="s">
        <v>699</v>
      </c>
      <c r="F3332" s="22" t="s">
        <v>710</v>
      </c>
    </row>
    <row r="3333" spans="1:10" ht="14.25" customHeight="1" x14ac:dyDescent="0.25">
      <c r="A3333" s="23" t="s">
        <v>299</v>
      </c>
      <c r="B3333" s="23" t="s">
        <v>399</v>
      </c>
      <c r="C3333" s="23" t="s">
        <v>438</v>
      </c>
      <c r="D3333" s="23" t="s">
        <v>1128</v>
      </c>
      <c r="E3333" s="23" t="s">
        <v>1156</v>
      </c>
      <c r="F3333" s="23"/>
    </row>
    <row r="3334" spans="1:10" ht="14.25" customHeight="1" x14ac:dyDescent="0.25">
      <c r="A3334" s="68" t="s">
        <v>965</v>
      </c>
      <c r="B3334" s="24" t="s">
        <v>543</v>
      </c>
      <c r="C3334" s="54">
        <v>46042</v>
      </c>
      <c r="D3334" s="68" t="s">
        <v>598</v>
      </c>
      <c r="E3334" s="56" t="s">
        <v>858</v>
      </c>
      <c r="F3334" s="57" t="s">
        <v>184</v>
      </c>
    </row>
    <row r="3335" spans="1:10" ht="14.25" customHeight="1" x14ac:dyDescent="0.25">
      <c r="A3335" s="69"/>
      <c r="B3335" s="24" t="s">
        <v>112</v>
      </c>
      <c r="C3335" s="55">
        <f>IF(C3334="","",IF(AND(MONTH(C3334)&gt;=1,MONTH(C3334)&lt;=3),1,IF(AND(MONTH(C3334)&gt;=4,MONTH(C3334)&lt;=6),2,IF(AND(MONTH(C3334)&gt;=7,MONTH(C3334)&lt;=9),3,4))))</f>
        <v>1</v>
      </c>
      <c r="D3335" s="69"/>
      <c r="E3335" s="56" t="s">
        <v>143</v>
      </c>
      <c r="F3335" s="57"/>
    </row>
    <row r="3336" spans="1:10" ht="14.25" customHeight="1" x14ac:dyDescent="0.25">
      <c r="A3336" s="69"/>
      <c r="B3336" s="24" t="s">
        <v>844</v>
      </c>
      <c r="C3336" s="54">
        <v>46053</v>
      </c>
      <c r="D3336" s="69"/>
      <c r="E3336" s="56" t="s">
        <v>183</v>
      </c>
      <c r="F3336" s="57"/>
    </row>
    <row r="3337" spans="1:10" ht="14.25" customHeight="1" x14ac:dyDescent="0.25">
      <c r="A3337" s="69"/>
      <c r="B3337" s="24" t="s">
        <v>112</v>
      </c>
      <c r="C3337" s="55">
        <f>IF(C3336="","",IF(AND(MONTH(C3336)&gt;=1,MONTH(C3336)&lt;=3),1,IF(AND(MONTH(C3336)&gt;=4,MONTH(C3336)&lt;=6),2,IF(AND(MONTH(C3336)&gt;=7,MONTH(C3336)&lt;=9),3,4))))</f>
        <v>1</v>
      </c>
      <c r="D3337" s="69"/>
      <c r="E3337" s="56" t="s">
        <v>865</v>
      </c>
      <c r="F3337" s="57"/>
    </row>
    <row r="3339" spans="1:10" ht="14.25" customHeight="1" x14ac:dyDescent="0.25">
      <c r="A3339" s="29" t="s">
        <v>1017</v>
      </c>
      <c r="B3339" s="29" t="s">
        <v>1042</v>
      </c>
      <c r="C3339" s="29" t="s">
        <v>1011</v>
      </c>
      <c r="D3339" s="29" t="s">
        <v>985</v>
      </c>
      <c r="E3339" s="29" t="s">
        <v>449</v>
      </c>
      <c r="F3339" s="29" t="s">
        <v>989</v>
      </c>
    </row>
    <row r="3340" spans="1:10" ht="14.25" customHeight="1" x14ac:dyDescent="0.25">
      <c r="A3340" s="25" t="s">
        <v>993</v>
      </c>
      <c r="B3340" s="26" t="str">
        <f ca="1">IFERROR(INDEX(UNSPSCDes,MATCH(INDIRECT(ADDRESS(ROW(),COLUMN()-1,4)),UNSPSCCode,0)),IF(INDIRECT(ADDRESS(ROW(),COLUMN()-1,4))="81111812","Servicio de mantenimiento o soporte equipos de tecnología",""))</f>
        <v>Servicio de mantenimiento o soporte equipos de tecnología</v>
      </c>
      <c r="C3340" s="58" t="str">
        <f>IFERROR(VLOOKUP("UD",'Informacion '!P:Q,2,FALSE),"")</f>
        <v>Unidad</v>
      </c>
      <c r="D3340" s="25">
        <v>4</v>
      </c>
      <c r="E3340" s="28">
        <v>85000</v>
      </c>
      <c r="F3340" s="27">
        <f ca="1">INDIRECT(ADDRESS(ROW(),COLUMN()-2,4))*INDIRECT(ADDRESS(ROW(),COLUMN()-1,4))</f>
        <v>340000</v>
      </c>
    </row>
    <row r="3341" spans="1:10" ht="14.25" customHeight="1" x14ac:dyDescent="0.25">
      <c r="E3341" s="30" t="s">
        <v>816</v>
      </c>
      <c r="F3341" s="31">
        <f ca="1">SUM(Table181[MONTO TOTAL ESTIMADO])</f>
        <v>340000</v>
      </c>
      <c r="H3341" s="21" t="str">
        <f>C3333</f>
        <v>Servicios</v>
      </c>
      <c r="I3341" s="21" t="str">
        <f>E3333</f>
        <v>No</v>
      </c>
      <c r="J3341" s="21" t="str">
        <f>D3333</f>
        <v>Compras Menores</v>
      </c>
    </row>
    <row r="3343" spans="1:10" ht="33.950000000000003" customHeight="1" x14ac:dyDescent="0.25">
      <c r="A3343" s="22" t="s">
        <v>1051</v>
      </c>
      <c r="B3343" s="22" t="s">
        <v>11</v>
      </c>
      <c r="C3343" s="22" t="s">
        <v>751</v>
      </c>
      <c r="D3343" s="22" t="s">
        <v>930</v>
      </c>
      <c r="E3343" s="22" t="s">
        <v>699</v>
      </c>
      <c r="F3343" s="22" t="s">
        <v>710</v>
      </c>
    </row>
    <row r="3344" spans="1:10" ht="14.25" customHeight="1" x14ac:dyDescent="0.25">
      <c r="A3344" s="23" t="s">
        <v>217</v>
      </c>
      <c r="B3344" s="23" t="s">
        <v>6</v>
      </c>
      <c r="C3344" s="23" t="s">
        <v>438</v>
      </c>
      <c r="D3344" s="23" t="s">
        <v>654</v>
      </c>
      <c r="E3344" s="23" t="s">
        <v>1156</v>
      </c>
      <c r="F3344" s="23"/>
    </row>
    <row r="3345" spans="1:10" ht="14.25" customHeight="1" x14ac:dyDescent="0.25">
      <c r="A3345" s="68" t="s">
        <v>965</v>
      </c>
      <c r="B3345" s="24" t="s">
        <v>543</v>
      </c>
      <c r="C3345" s="54">
        <v>46042</v>
      </c>
      <c r="D3345" s="68" t="s">
        <v>598</v>
      </c>
      <c r="E3345" s="56" t="s">
        <v>858</v>
      </c>
      <c r="F3345" s="57" t="s">
        <v>184</v>
      </c>
    </row>
    <row r="3346" spans="1:10" ht="14.25" customHeight="1" x14ac:dyDescent="0.25">
      <c r="A3346" s="69"/>
      <c r="B3346" s="24" t="s">
        <v>112</v>
      </c>
      <c r="C3346" s="55">
        <f>IF(C3345="","",IF(AND(MONTH(C3345)&gt;=1,MONTH(C3345)&lt;=3),1,IF(AND(MONTH(C3345)&gt;=4,MONTH(C3345)&lt;=6),2,IF(AND(MONTH(C3345)&gt;=7,MONTH(C3345)&lt;=9),3,4))))</f>
        <v>1</v>
      </c>
      <c r="D3346" s="69"/>
      <c r="E3346" s="56" t="s">
        <v>143</v>
      </c>
      <c r="F3346" s="57"/>
    </row>
    <row r="3347" spans="1:10" ht="14.25" customHeight="1" x14ac:dyDescent="0.25">
      <c r="A3347" s="69"/>
      <c r="B3347" s="24" t="s">
        <v>844</v>
      </c>
      <c r="C3347" s="54">
        <v>46053</v>
      </c>
      <c r="D3347" s="69"/>
      <c r="E3347" s="56" t="s">
        <v>183</v>
      </c>
      <c r="F3347" s="57"/>
    </row>
    <row r="3348" spans="1:10" ht="14.25" customHeight="1" x14ac:dyDescent="0.25">
      <c r="A3348" s="69"/>
      <c r="B3348" s="24" t="s">
        <v>112</v>
      </c>
      <c r="C3348" s="55">
        <f>IF(C3347="","",IF(AND(MONTH(C3347)&gt;=1,MONTH(C3347)&lt;=3),1,IF(AND(MONTH(C3347)&gt;=4,MONTH(C3347)&lt;=6),2,IF(AND(MONTH(C3347)&gt;=7,MONTH(C3347)&lt;=9),3,4))))</f>
        <v>1</v>
      </c>
      <c r="D3348" s="69"/>
      <c r="E3348" s="56" t="s">
        <v>865</v>
      </c>
      <c r="F3348" s="57"/>
    </row>
    <row r="3350" spans="1:10" ht="14.25" customHeight="1" x14ac:dyDescent="0.25">
      <c r="A3350" s="29" t="s">
        <v>1017</v>
      </c>
      <c r="B3350" s="29" t="s">
        <v>1042</v>
      </c>
      <c r="C3350" s="29" t="s">
        <v>1011</v>
      </c>
      <c r="D3350" s="29" t="s">
        <v>985</v>
      </c>
      <c r="E3350" s="29" t="s">
        <v>449</v>
      </c>
      <c r="F3350" s="29" t="s">
        <v>989</v>
      </c>
    </row>
    <row r="3351" spans="1:10" ht="14.25" customHeight="1" x14ac:dyDescent="0.25">
      <c r="A3351" s="25" t="s">
        <v>67</v>
      </c>
      <c r="B3351" s="26" t="str">
        <f ca="1">IFERROR(INDEX(UNSPSCDes,MATCH(INDIRECT(ADDRESS(ROW(),COLUMN()-1,4)),UNSPSCCode,0)),IF(INDIRECT(ADDRESS(ROW(),COLUMN()-1,4))="10161707","Arreglo de flores cortadas",""))</f>
        <v>Arreglo de flores cortadas</v>
      </c>
      <c r="C3351" s="58" t="str">
        <f>IFERROR(VLOOKUP("UD",'Informacion '!P:Q,2,FALSE),"")</f>
        <v>Unidad</v>
      </c>
      <c r="D3351" s="25">
        <v>2</v>
      </c>
      <c r="E3351" s="28">
        <v>100000</v>
      </c>
      <c r="F3351" s="27">
        <f ca="1">INDIRECT(ADDRESS(ROW(),COLUMN()-2,4))*INDIRECT(ADDRESS(ROW(),COLUMN()-1,4))</f>
        <v>200000</v>
      </c>
    </row>
    <row r="3352" spans="1:10" ht="14.25" customHeight="1" x14ac:dyDescent="0.25">
      <c r="E3352" s="30" t="s">
        <v>816</v>
      </c>
      <c r="F3352" s="31">
        <f ca="1">SUM(Table182[MONTO TOTAL ESTIMADO])</f>
        <v>200000</v>
      </c>
      <c r="H3352" s="21" t="str">
        <f>C3344</f>
        <v>Servicios</v>
      </c>
      <c r="I3352" s="21" t="str">
        <f>E3344</f>
        <v>No</v>
      </c>
      <c r="J3352" s="21" t="str">
        <f>D3344</f>
        <v>Compras por debajo del Umbral</v>
      </c>
    </row>
    <row r="3354" spans="1:10" ht="33.950000000000003" customHeight="1" x14ac:dyDescent="0.25">
      <c r="A3354" s="22" t="s">
        <v>1051</v>
      </c>
      <c r="B3354" s="22" t="s">
        <v>11</v>
      </c>
      <c r="C3354" s="22" t="s">
        <v>751</v>
      </c>
      <c r="D3354" s="22" t="s">
        <v>930</v>
      </c>
      <c r="E3354" s="22" t="s">
        <v>699</v>
      </c>
      <c r="F3354" s="22" t="s">
        <v>710</v>
      </c>
    </row>
    <row r="3355" spans="1:10" ht="14.25" customHeight="1" x14ac:dyDescent="0.25">
      <c r="A3355" s="23" t="s">
        <v>627</v>
      </c>
      <c r="B3355" s="23" t="s">
        <v>627</v>
      </c>
      <c r="C3355" s="23" t="s">
        <v>1155</v>
      </c>
      <c r="D3355" s="23" t="s">
        <v>654</v>
      </c>
      <c r="E3355" s="23" t="s">
        <v>1156</v>
      </c>
      <c r="F3355" s="23"/>
    </row>
    <row r="3356" spans="1:10" ht="14.25" customHeight="1" x14ac:dyDescent="0.25">
      <c r="A3356" s="68" t="s">
        <v>965</v>
      </c>
      <c r="B3356" s="24" t="s">
        <v>543</v>
      </c>
      <c r="C3356" s="54">
        <v>46042</v>
      </c>
      <c r="D3356" s="68" t="s">
        <v>598</v>
      </c>
      <c r="E3356" s="56" t="s">
        <v>858</v>
      </c>
      <c r="F3356" s="57" t="s">
        <v>184</v>
      </c>
    </row>
    <row r="3357" spans="1:10" ht="14.25" customHeight="1" x14ac:dyDescent="0.25">
      <c r="A3357" s="69"/>
      <c r="B3357" s="24" t="s">
        <v>112</v>
      </c>
      <c r="C3357" s="55">
        <f>IF(C3356="","",IF(AND(MONTH(C3356)&gt;=1,MONTH(C3356)&lt;=3),1,IF(AND(MONTH(C3356)&gt;=4,MONTH(C3356)&lt;=6),2,IF(AND(MONTH(C3356)&gt;=7,MONTH(C3356)&lt;=9),3,4))))</f>
        <v>1</v>
      </c>
      <c r="D3357" s="69"/>
      <c r="E3357" s="56" t="s">
        <v>143</v>
      </c>
      <c r="F3357" s="57"/>
    </row>
    <row r="3358" spans="1:10" ht="14.25" customHeight="1" x14ac:dyDescent="0.25">
      <c r="A3358" s="69"/>
      <c r="B3358" s="24" t="s">
        <v>844</v>
      </c>
      <c r="C3358" s="54">
        <v>46053</v>
      </c>
      <c r="D3358" s="69"/>
      <c r="E3358" s="56" t="s">
        <v>183</v>
      </c>
      <c r="F3358" s="57"/>
    </row>
    <row r="3359" spans="1:10" ht="14.25" customHeight="1" x14ac:dyDescent="0.25">
      <c r="A3359" s="69"/>
      <c r="B3359" s="24" t="s">
        <v>112</v>
      </c>
      <c r="C3359" s="55">
        <f>IF(C3358="","",IF(AND(MONTH(C3358)&gt;=1,MONTH(C3358)&lt;=3),1,IF(AND(MONTH(C3358)&gt;=4,MONTH(C3358)&lt;=6),2,IF(AND(MONTH(C3358)&gt;=7,MONTH(C3358)&lt;=9),3,4))))</f>
        <v>1</v>
      </c>
      <c r="D3359" s="69"/>
      <c r="E3359" s="56" t="s">
        <v>865</v>
      </c>
      <c r="F3359" s="57"/>
    </row>
    <row r="3361" spans="1:10" ht="14.25" customHeight="1" x14ac:dyDescent="0.25">
      <c r="A3361" s="29" t="s">
        <v>1017</v>
      </c>
      <c r="B3361" s="29" t="s">
        <v>1042</v>
      </c>
      <c r="C3361" s="29" t="s">
        <v>1011</v>
      </c>
      <c r="D3361" s="29" t="s">
        <v>985</v>
      </c>
      <c r="E3361" s="29" t="s">
        <v>449</v>
      </c>
      <c r="F3361" s="29" t="s">
        <v>989</v>
      </c>
    </row>
    <row r="3362" spans="1:10" ht="14.25" customHeight="1" x14ac:dyDescent="0.25">
      <c r="A3362" s="25" t="s">
        <v>812</v>
      </c>
      <c r="B3362" s="26" t="str">
        <f ca="1">IFERROR(INDEX(UNSPSCDes,MATCH(INDIRECT(ADDRESS(ROW(),COLUMN()-1,4)),UNSPSCCode,0)),IF(INDIRECT(ADDRESS(ROW(),COLUMN()-1,4))="45111501","Atriles autónomos",""))</f>
        <v>Atriles autónomos</v>
      </c>
      <c r="C3362" s="58" t="str">
        <f>IFERROR(VLOOKUP("UD",'Informacion '!P:Q,2,FALSE),"")</f>
        <v>Unidad</v>
      </c>
      <c r="D3362" s="25">
        <v>1</v>
      </c>
      <c r="E3362" s="28">
        <v>150000</v>
      </c>
      <c r="F3362" s="27">
        <f ca="1">INDIRECT(ADDRESS(ROW(),COLUMN()-2,4))*INDIRECT(ADDRESS(ROW(),COLUMN()-1,4))</f>
        <v>150000</v>
      </c>
    </row>
    <row r="3363" spans="1:10" ht="14.25" customHeight="1" x14ac:dyDescent="0.25">
      <c r="E3363" s="30" t="s">
        <v>816</v>
      </c>
      <c r="F3363" s="31">
        <f ca="1">SUM(Table183[MONTO TOTAL ESTIMADO])</f>
        <v>150000</v>
      </c>
      <c r="H3363" s="21" t="str">
        <f>C3355</f>
        <v>Bienes</v>
      </c>
      <c r="I3363" s="21" t="str">
        <f>E3355</f>
        <v>No</v>
      </c>
      <c r="J3363" s="21" t="str">
        <f>D3355</f>
        <v>Compras por debajo del Umbral</v>
      </c>
    </row>
    <row r="3365" spans="1:10" ht="33.950000000000003" customHeight="1" x14ac:dyDescent="0.25">
      <c r="A3365" s="22" t="s">
        <v>1051</v>
      </c>
      <c r="B3365" s="22" t="s">
        <v>11</v>
      </c>
      <c r="C3365" s="22" t="s">
        <v>751</v>
      </c>
      <c r="D3365" s="22" t="s">
        <v>930</v>
      </c>
      <c r="E3365" s="22" t="s">
        <v>699</v>
      </c>
      <c r="F3365" s="22" t="s">
        <v>710</v>
      </c>
    </row>
    <row r="3366" spans="1:10" ht="14.25" customHeight="1" x14ac:dyDescent="0.25">
      <c r="A3366" s="23" t="s">
        <v>55</v>
      </c>
      <c r="B3366" s="23" t="s">
        <v>953</v>
      </c>
      <c r="C3366" s="23" t="s">
        <v>438</v>
      </c>
      <c r="D3366" s="23" t="s">
        <v>654</v>
      </c>
      <c r="E3366" s="23" t="s">
        <v>1156</v>
      </c>
      <c r="F3366" s="23"/>
    </row>
    <row r="3367" spans="1:10" ht="14.25" customHeight="1" x14ac:dyDescent="0.25">
      <c r="A3367" s="68" t="s">
        <v>965</v>
      </c>
      <c r="B3367" s="24" t="s">
        <v>543</v>
      </c>
      <c r="C3367" s="54">
        <v>46042</v>
      </c>
      <c r="D3367" s="68" t="s">
        <v>598</v>
      </c>
      <c r="E3367" s="56" t="s">
        <v>858</v>
      </c>
      <c r="F3367" s="57" t="s">
        <v>184</v>
      </c>
    </row>
    <row r="3368" spans="1:10" ht="14.25" customHeight="1" x14ac:dyDescent="0.25">
      <c r="A3368" s="69"/>
      <c r="B3368" s="24" t="s">
        <v>112</v>
      </c>
      <c r="C3368" s="55">
        <f>IF(C3367="","",IF(AND(MONTH(C3367)&gt;=1,MONTH(C3367)&lt;=3),1,IF(AND(MONTH(C3367)&gt;=4,MONTH(C3367)&lt;=6),2,IF(AND(MONTH(C3367)&gt;=7,MONTH(C3367)&lt;=9),3,4))))</f>
        <v>1</v>
      </c>
      <c r="D3368" s="69"/>
      <c r="E3368" s="56" t="s">
        <v>143</v>
      </c>
      <c r="F3368" s="57"/>
    </row>
    <row r="3369" spans="1:10" ht="14.25" customHeight="1" x14ac:dyDescent="0.25">
      <c r="A3369" s="69"/>
      <c r="B3369" s="24" t="s">
        <v>844</v>
      </c>
      <c r="C3369" s="54">
        <v>46053</v>
      </c>
      <c r="D3369" s="69"/>
      <c r="E3369" s="56" t="s">
        <v>183</v>
      </c>
      <c r="F3369" s="57"/>
    </row>
    <row r="3370" spans="1:10" ht="14.25" customHeight="1" x14ac:dyDescent="0.25">
      <c r="A3370" s="69"/>
      <c r="B3370" s="24" t="s">
        <v>112</v>
      </c>
      <c r="C3370" s="55">
        <f>IF(C3369="","",IF(AND(MONTH(C3369)&gt;=1,MONTH(C3369)&lt;=3),1,IF(AND(MONTH(C3369)&gt;=4,MONTH(C3369)&lt;=6),2,IF(AND(MONTH(C3369)&gt;=7,MONTH(C3369)&lt;=9),3,4))))</f>
        <v>1</v>
      </c>
      <c r="D3370" s="69"/>
      <c r="E3370" s="56" t="s">
        <v>865</v>
      </c>
      <c r="F3370" s="57"/>
    </row>
    <row r="3372" spans="1:10" ht="14.25" customHeight="1" x14ac:dyDescent="0.25">
      <c r="A3372" s="29" t="s">
        <v>1017</v>
      </c>
      <c r="B3372" s="29" t="s">
        <v>1042</v>
      </c>
      <c r="C3372" s="29" t="s">
        <v>1011</v>
      </c>
      <c r="D3372" s="29" t="s">
        <v>985</v>
      </c>
      <c r="E3372" s="29" t="s">
        <v>449</v>
      </c>
      <c r="F3372" s="29" t="s">
        <v>989</v>
      </c>
    </row>
    <row r="3373" spans="1:10" ht="14.25" customHeight="1" x14ac:dyDescent="0.25">
      <c r="A3373" s="25" t="s">
        <v>863</v>
      </c>
      <c r="B3373" s="26" t="str">
        <f ca="1">IFERROR(INDEX(UNSPSCDes,MATCH(INDIRECT(ADDRESS(ROW(),COLUMN()-1,4)),UNSPSCCode,0)),IF(INDIRECT(ADDRESS(ROW(),COLUMN()-1,4))="72102602","Instalación de ventanas, puertas o dispositivos",""))</f>
        <v>Instalación de ventanas, puertas o dispositivos</v>
      </c>
      <c r="C3373" s="58" t="str">
        <f>IFERROR(VLOOKUP("UD",'Informacion '!P:Q,2,FALSE),"")</f>
        <v>Unidad</v>
      </c>
      <c r="D3373" s="25">
        <v>1</v>
      </c>
      <c r="E3373" s="28">
        <v>75000</v>
      </c>
      <c r="F3373" s="27">
        <f ca="1">INDIRECT(ADDRESS(ROW(),COLUMN()-2,4))*INDIRECT(ADDRESS(ROW(),COLUMN()-1,4))</f>
        <v>75000</v>
      </c>
    </row>
    <row r="3374" spans="1:10" ht="14.25" customHeight="1" x14ac:dyDescent="0.25">
      <c r="E3374" s="30" t="s">
        <v>816</v>
      </c>
      <c r="F3374" s="31">
        <f ca="1">SUM(Table184[MONTO TOTAL ESTIMADO])</f>
        <v>75000</v>
      </c>
      <c r="H3374" s="21" t="str">
        <f>C3366</f>
        <v>Servicios</v>
      </c>
      <c r="I3374" s="21" t="str">
        <f>E3366</f>
        <v>No</v>
      </c>
      <c r="J3374" s="21" t="str">
        <f>D3366</f>
        <v>Compras por debajo del Umbral</v>
      </c>
    </row>
    <row r="3376" spans="1:10" ht="33.950000000000003" customHeight="1" x14ac:dyDescent="0.25">
      <c r="A3376" s="22" t="s">
        <v>1051</v>
      </c>
      <c r="B3376" s="22" t="s">
        <v>11</v>
      </c>
      <c r="C3376" s="22" t="s">
        <v>751</v>
      </c>
      <c r="D3376" s="22" t="s">
        <v>930</v>
      </c>
      <c r="E3376" s="22" t="s">
        <v>699</v>
      </c>
      <c r="F3376" s="22" t="s">
        <v>710</v>
      </c>
    </row>
    <row r="3377" spans="1:10" ht="14.25" customHeight="1" x14ac:dyDescent="0.25">
      <c r="A3377" s="23" t="s">
        <v>878</v>
      </c>
      <c r="B3377" s="23" t="s">
        <v>747</v>
      </c>
      <c r="C3377" s="23" t="s">
        <v>438</v>
      </c>
      <c r="D3377" s="23" t="s">
        <v>1128</v>
      </c>
      <c r="E3377" s="23" t="s">
        <v>1156</v>
      </c>
      <c r="F3377" s="23"/>
    </row>
    <row r="3378" spans="1:10" ht="14.25" customHeight="1" x14ac:dyDescent="0.25">
      <c r="A3378" s="68" t="s">
        <v>965</v>
      </c>
      <c r="B3378" s="24" t="s">
        <v>543</v>
      </c>
      <c r="C3378" s="54">
        <v>46042</v>
      </c>
      <c r="D3378" s="68" t="s">
        <v>598</v>
      </c>
      <c r="E3378" s="56" t="s">
        <v>858</v>
      </c>
      <c r="F3378" s="57" t="s">
        <v>184</v>
      </c>
    </row>
    <row r="3379" spans="1:10" ht="14.25" customHeight="1" x14ac:dyDescent="0.25">
      <c r="A3379" s="69"/>
      <c r="B3379" s="24" t="s">
        <v>112</v>
      </c>
      <c r="C3379" s="55">
        <f>IF(C3378="","",IF(AND(MONTH(C3378)&gt;=1,MONTH(C3378)&lt;=3),1,IF(AND(MONTH(C3378)&gt;=4,MONTH(C3378)&lt;=6),2,IF(AND(MONTH(C3378)&gt;=7,MONTH(C3378)&lt;=9),3,4))))</f>
        <v>1</v>
      </c>
      <c r="D3379" s="69"/>
      <c r="E3379" s="56" t="s">
        <v>143</v>
      </c>
      <c r="F3379" s="57"/>
    </row>
    <row r="3380" spans="1:10" ht="14.25" customHeight="1" x14ac:dyDescent="0.25">
      <c r="A3380" s="69"/>
      <c r="B3380" s="24" t="s">
        <v>844</v>
      </c>
      <c r="C3380" s="54">
        <v>46053</v>
      </c>
      <c r="D3380" s="69"/>
      <c r="E3380" s="56" t="s">
        <v>183</v>
      </c>
      <c r="F3380" s="57"/>
    </row>
    <row r="3381" spans="1:10" ht="14.25" customHeight="1" x14ac:dyDescent="0.25">
      <c r="A3381" s="69"/>
      <c r="B3381" s="24" t="s">
        <v>112</v>
      </c>
      <c r="C3381" s="55">
        <f>IF(C3380="","",IF(AND(MONTH(C3380)&gt;=1,MONTH(C3380)&lt;=3),1,IF(AND(MONTH(C3380)&gt;=4,MONTH(C3380)&lt;=6),2,IF(AND(MONTH(C3380)&gt;=7,MONTH(C3380)&lt;=9),3,4))))</f>
        <v>1</v>
      </c>
      <c r="D3381" s="69"/>
      <c r="E3381" s="56" t="s">
        <v>865</v>
      </c>
      <c r="F3381" s="57"/>
    </row>
    <row r="3383" spans="1:10" ht="14.25" customHeight="1" x14ac:dyDescent="0.25">
      <c r="A3383" s="29" t="s">
        <v>1017</v>
      </c>
      <c r="B3383" s="29" t="s">
        <v>1042</v>
      </c>
      <c r="C3383" s="29" t="s">
        <v>1011</v>
      </c>
      <c r="D3383" s="29" t="s">
        <v>985</v>
      </c>
      <c r="E3383" s="29" t="s">
        <v>449</v>
      </c>
      <c r="F3383" s="29" t="s">
        <v>989</v>
      </c>
    </row>
    <row r="3384" spans="1:10" ht="14.25" customHeight="1" x14ac:dyDescent="0.25">
      <c r="A3384" s="25" t="s">
        <v>863</v>
      </c>
      <c r="B3384" s="26" t="str">
        <f ca="1">IFERROR(INDEX(UNSPSCDes,MATCH(INDIRECT(ADDRESS(ROW(),COLUMN()-1,4)),UNSPSCCode,0)),IF(INDIRECT(ADDRESS(ROW(),COLUMN()-1,4))="72102602","Instalación de ventanas, puertas o dispositivos",""))</f>
        <v>Instalación de ventanas, puertas o dispositivos</v>
      </c>
      <c r="C3384" s="58" t="str">
        <f>IFERROR(VLOOKUP("UD",'Informacion '!P:Q,2,FALSE),"")</f>
        <v>Unidad</v>
      </c>
      <c r="D3384" s="25">
        <v>1</v>
      </c>
      <c r="E3384" s="28">
        <v>198000</v>
      </c>
      <c r="F3384" s="27">
        <f ca="1">INDIRECT(ADDRESS(ROW(),COLUMN()-2,4))*INDIRECT(ADDRESS(ROW(),COLUMN()-1,4))</f>
        <v>198000</v>
      </c>
    </row>
    <row r="3385" spans="1:10" ht="14.25" customHeight="1" x14ac:dyDescent="0.25">
      <c r="E3385" s="30" t="s">
        <v>816</v>
      </c>
      <c r="F3385" s="31">
        <f ca="1">SUM(Table185[MONTO TOTAL ESTIMADO])</f>
        <v>198000</v>
      </c>
      <c r="H3385" s="21" t="str">
        <f>C3377</f>
        <v>Servicios</v>
      </c>
      <c r="I3385" s="21" t="str">
        <f>E3377</f>
        <v>No</v>
      </c>
      <c r="J3385" s="21" t="str">
        <f>D3377</f>
        <v>Compras Menores</v>
      </c>
    </row>
    <row r="3387" spans="1:10" ht="33.950000000000003" customHeight="1" x14ac:dyDescent="0.25">
      <c r="A3387" s="22" t="s">
        <v>1051</v>
      </c>
      <c r="B3387" s="22" t="s">
        <v>11</v>
      </c>
      <c r="C3387" s="22" t="s">
        <v>751</v>
      </c>
      <c r="D3387" s="22" t="s">
        <v>930</v>
      </c>
      <c r="E3387" s="22" t="s">
        <v>699</v>
      </c>
      <c r="F3387" s="22" t="s">
        <v>710</v>
      </c>
    </row>
    <row r="3388" spans="1:10" ht="14.25" customHeight="1" x14ac:dyDescent="0.25">
      <c r="A3388" s="23" t="s">
        <v>44</v>
      </c>
      <c r="B3388" s="23" t="s">
        <v>44</v>
      </c>
      <c r="C3388" s="23" t="s">
        <v>1155</v>
      </c>
      <c r="D3388" s="23" t="s">
        <v>654</v>
      </c>
      <c r="E3388" s="23" t="s">
        <v>1156</v>
      </c>
      <c r="F3388" s="23"/>
    </row>
    <row r="3389" spans="1:10" ht="14.25" customHeight="1" x14ac:dyDescent="0.25">
      <c r="A3389" s="68" t="s">
        <v>965</v>
      </c>
      <c r="B3389" s="24" t="s">
        <v>543</v>
      </c>
      <c r="C3389" s="54">
        <v>46042</v>
      </c>
      <c r="D3389" s="68" t="s">
        <v>598</v>
      </c>
      <c r="E3389" s="56" t="s">
        <v>858</v>
      </c>
      <c r="F3389" s="57" t="s">
        <v>184</v>
      </c>
    </row>
    <row r="3390" spans="1:10" ht="14.25" customHeight="1" x14ac:dyDescent="0.25">
      <c r="A3390" s="69"/>
      <c r="B3390" s="24" t="s">
        <v>112</v>
      </c>
      <c r="C3390" s="55">
        <f>IF(C3389="","",IF(AND(MONTH(C3389)&gt;=1,MONTH(C3389)&lt;=3),1,IF(AND(MONTH(C3389)&gt;=4,MONTH(C3389)&lt;=6),2,IF(AND(MONTH(C3389)&gt;=7,MONTH(C3389)&lt;=9),3,4))))</f>
        <v>1</v>
      </c>
      <c r="D3390" s="69"/>
      <c r="E3390" s="56" t="s">
        <v>143</v>
      </c>
      <c r="F3390" s="57"/>
    </row>
    <row r="3391" spans="1:10" ht="14.25" customHeight="1" x14ac:dyDescent="0.25">
      <c r="A3391" s="69"/>
      <c r="B3391" s="24" t="s">
        <v>844</v>
      </c>
      <c r="C3391" s="54">
        <v>46053</v>
      </c>
      <c r="D3391" s="69"/>
      <c r="E3391" s="56" t="s">
        <v>183</v>
      </c>
      <c r="F3391" s="57"/>
    </row>
    <row r="3392" spans="1:10" ht="14.25" customHeight="1" x14ac:dyDescent="0.25">
      <c r="A3392" s="69"/>
      <c r="B3392" s="24" t="s">
        <v>112</v>
      </c>
      <c r="C3392" s="55">
        <f>IF(C3391="","",IF(AND(MONTH(C3391)&gt;=1,MONTH(C3391)&lt;=3),1,IF(AND(MONTH(C3391)&gt;=4,MONTH(C3391)&lt;=6),2,IF(AND(MONTH(C3391)&gt;=7,MONTH(C3391)&lt;=9),3,4))))</f>
        <v>1</v>
      </c>
      <c r="D3392" s="69"/>
      <c r="E3392" s="56" t="s">
        <v>865</v>
      </c>
      <c r="F3392" s="57"/>
    </row>
    <row r="3394" spans="1:10" ht="14.25" customHeight="1" x14ac:dyDescent="0.25">
      <c r="A3394" s="29" t="s">
        <v>1017</v>
      </c>
      <c r="B3394" s="29" t="s">
        <v>1042</v>
      </c>
      <c r="C3394" s="29" t="s">
        <v>1011</v>
      </c>
      <c r="D3394" s="29" t="s">
        <v>985</v>
      </c>
      <c r="E3394" s="29" t="s">
        <v>449</v>
      </c>
      <c r="F3394" s="29" t="s">
        <v>989</v>
      </c>
    </row>
    <row r="3395" spans="1:10" ht="14.25" customHeight="1" x14ac:dyDescent="0.25">
      <c r="A3395" s="25" t="s">
        <v>1203</v>
      </c>
      <c r="B3395" s="26" t="str">
        <f ca="1">IFERROR(INDEX(UNSPSCDes,MATCH(INDIRECT(ADDRESS(ROW(),COLUMN()-1,4)),UNSPSCCode,0)),IF(INDIRECT(ADDRESS(ROW(),COLUMN()-1,4))="52151604","Coladores o coladeras para uso doméstico",""))</f>
        <v>Coladores o coladeras para uso doméstico</v>
      </c>
      <c r="C3395" s="58" t="str">
        <f>IFERROR(VLOOKUP("YD",'Informacion '!P:Q,2,FALSE),"")</f>
        <v>Yarda</v>
      </c>
      <c r="D3395" s="25">
        <v>100</v>
      </c>
      <c r="E3395" s="28">
        <v>85</v>
      </c>
      <c r="F3395" s="27">
        <f ca="1">INDIRECT(ADDRESS(ROW(),COLUMN()-2,4))*INDIRECT(ADDRESS(ROW(),COLUMN()-1,4))</f>
        <v>8500</v>
      </c>
    </row>
    <row r="3396" spans="1:10" ht="14.25" customHeight="1" x14ac:dyDescent="0.25">
      <c r="E3396" s="30" t="s">
        <v>816</v>
      </c>
      <c r="F3396" s="31">
        <f ca="1">SUM(Table186[MONTO TOTAL ESTIMADO])</f>
        <v>8500</v>
      </c>
      <c r="H3396" s="21" t="str">
        <f>C3388</f>
        <v>Bienes</v>
      </c>
      <c r="I3396" s="21" t="str">
        <f>E3388</f>
        <v>No</v>
      </c>
      <c r="J3396" s="21" t="str">
        <f>D3388</f>
        <v>Compras por debajo del Umbral</v>
      </c>
    </row>
    <row r="3398" spans="1:10" ht="33.950000000000003" customHeight="1" x14ac:dyDescent="0.25">
      <c r="A3398" s="22" t="s">
        <v>1051</v>
      </c>
      <c r="B3398" s="22" t="s">
        <v>11</v>
      </c>
      <c r="C3398" s="22" t="s">
        <v>751</v>
      </c>
      <c r="D3398" s="22" t="s">
        <v>930</v>
      </c>
      <c r="E3398" s="22" t="s">
        <v>699</v>
      </c>
      <c r="F3398" s="22" t="s">
        <v>710</v>
      </c>
    </row>
    <row r="3399" spans="1:10" ht="14.25" customHeight="1" x14ac:dyDescent="0.25">
      <c r="A3399" s="23" t="s">
        <v>671</v>
      </c>
      <c r="B3399" s="23" t="s">
        <v>714</v>
      </c>
      <c r="C3399" s="23" t="s">
        <v>438</v>
      </c>
      <c r="D3399" s="23" t="s">
        <v>1128</v>
      </c>
      <c r="E3399" s="23" t="s">
        <v>1156</v>
      </c>
      <c r="F3399" s="23"/>
    </row>
    <row r="3400" spans="1:10" ht="14.25" customHeight="1" x14ac:dyDescent="0.25">
      <c r="A3400" s="68" t="s">
        <v>965</v>
      </c>
      <c r="B3400" s="24" t="s">
        <v>543</v>
      </c>
      <c r="C3400" s="54">
        <v>46042</v>
      </c>
      <c r="D3400" s="68" t="s">
        <v>598</v>
      </c>
      <c r="E3400" s="56" t="s">
        <v>858</v>
      </c>
      <c r="F3400" s="57" t="s">
        <v>184</v>
      </c>
    </row>
    <row r="3401" spans="1:10" ht="14.25" customHeight="1" x14ac:dyDescent="0.25">
      <c r="A3401" s="69"/>
      <c r="B3401" s="24" t="s">
        <v>112</v>
      </c>
      <c r="C3401" s="55">
        <f>IF(C3400="","",IF(AND(MONTH(C3400)&gt;=1,MONTH(C3400)&lt;=3),1,IF(AND(MONTH(C3400)&gt;=4,MONTH(C3400)&lt;=6),2,IF(AND(MONTH(C3400)&gt;=7,MONTH(C3400)&lt;=9),3,4))))</f>
        <v>1</v>
      </c>
      <c r="D3401" s="69"/>
      <c r="E3401" s="56" t="s">
        <v>143</v>
      </c>
      <c r="F3401" s="57"/>
    </row>
    <row r="3402" spans="1:10" ht="14.25" customHeight="1" x14ac:dyDescent="0.25">
      <c r="A3402" s="69"/>
      <c r="B3402" s="24" t="s">
        <v>844</v>
      </c>
      <c r="C3402" s="54">
        <v>46053</v>
      </c>
      <c r="D3402" s="69"/>
      <c r="E3402" s="56" t="s">
        <v>183</v>
      </c>
      <c r="F3402" s="57"/>
    </row>
    <row r="3403" spans="1:10" ht="14.25" customHeight="1" x14ac:dyDescent="0.25">
      <c r="A3403" s="69"/>
      <c r="B3403" s="24" t="s">
        <v>112</v>
      </c>
      <c r="C3403" s="55">
        <f>IF(C3402="","",IF(AND(MONTH(C3402)&gt;=1,MONTH(C3402)&lt;=3),1,IF(AND(MONTH(C3402)&gt;=4,MONTH(C3402)&lt;=6),2,IF(AND(MONTH(C3402)&gt;=7,MONTH(C3402)&lt;=9),3,4))))</f>
        <v>1</v>
      </c>
      <c r="D3403" s="69"/>
      <c r="E3403" s="56" t="s">
        <v>865</v>
      </c>
      <c r="F3403" s="57"/>
    </row>
    <row r="3405" spans="1:10" ht="14.25" customHeight="1" x14ac:dyDescent="0.25">
      <c r="A3405" s="29" t="s">
        <v>1017</v>
      </c>
      <c r="B3405" s="29" t="s">
        <v>1042</v>
      </c>
      <c r="C3405" s="29" t="s">
        <v>1011</v>
      </c>
      <c r="D3405" s="29" t="s">
        <v>985</v>
      </c>
      <c r="E3405" s="29" t="s">
        <v>449</v>
      </c>
      <c r="F3405" s="29" t="s">
        <v>989</v>
      </c>
    </row>
    <row r="3406" spans="1:10" ht="14.25" customHeight="1" x14ac:dyDescent="0.25">
      <c r="A3406" s="25" t="s">
        <v>477</v>
      </c>
      <c r="B3406" s="26"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3406" s="58" t="str">
        <f>IFERROR(VLOOKUP("UD",'Informacion '!P:Q,2,FALSE),"")</f>
        <v>Unidad</v>
      </c>
      <c r="D3406" s="25">
        <v>1</v>
      </c>
      <c r="E3406" s="28">
        <v>120000</v>
      </c>
      <c r="F3406" s="27">
        <f ca="1">INDIRECT(ADDRESS(ROW(),COLUMN()-2,4))*INDIRECT(ADDRESS(ROW(),COLUMN()-1,4))</f>
        <v>120000</v>
      </c>
    </row>
    <row r="3407" spans="1:10" ht="14.25" customHeight="1" x14ac:dyDescent="0.25">
      <c r="A3407" s="25" t="s">
        <v>477</v>
      </c>
      <c r="B3407" s="26"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3407" s="58" t="str">
        <f>IFERROR(VLOOKUP("UD",'Informacion '!P:Q,2,FALSE),"")</f>
        <v>Unidad</v>
      </c>
      <c r="D3407" s="25">
        <v>1</v>
      </c>
      <c r="E3407" s="28">
        <v>150000</v>
      </c>
      <c r="F3407" s="27">
        <f ca="1">INDIRECT(ADDRESS(ROW(),COLUMN()-2,4))*INDIRECT(ADDRESS(ROW(),COLUMN()-1,4))</f>
        <v>150000</v>
      </c>
    </row>
    <row r="3408" spans="1:10" ht="14.25" customHeight="1" x14ac:dyDescent="0.25">
      <c r="E3408" s="30" t="s">
        <v>816</v>
      </c>
      <c r="F3408" s="31">
        <f ca="1">SUM(Table187[MONTO TOTAL ESTIMADO])</f>
        <v>270000</v>
      </c>
      <c r="H3408" s="21" t="str">
        <f>C3399</f>
        <v>Servicios</v>
      </c>
      <c r="I3408" s="21" t="str">
        <f>E3399</f>
        <v>No</v>
      </c>
      <c r="J3408" s="21" t="str">
        <f>D3399</f>
        <v>Compras Menores</v>
      </c>
    </row>
    <row r="3410" spans="1:10" ht="33.950000000000003" customHeight="1" x14ac:dyDescent="0.25">
      <c r="A3410" s="22" t="s">
        <v>1051</v>
      </c>
      <c r="B3410" s="22" t="s">
        <v>11</v>
      </c>
      <c r="C3410" s="22" t="s">
        <v>751</v>
      </c>
      <c r="D3410" s="22" t="s">
        <v>930</v>
      </c>
      <c r="E3410" s="22" t="s">
        <v>699</v>
      </c>
      <c r="F3410" s="22" t="s">
        <v>710</v>
      </c>
    </row>
    <row r="3411" spans="1:10" ht="14.25" customHeight="1" x14ac:dyDescent="0.25">
      <c r="A3411" s="23" t="s">
        <v>631</v>
      </c>
      <c r="B3411" s="23" t="s">
        <v>244</v>
      </c>
      <c r="C3411" s="23" t="s">
        <v>438</v>
      </c>
      <c r="D3411" s="23" t="s">
        <v>1128</v>
      </c>
      <c r="E3411" s="23" t="s">
        <v>1156</v>
      </c>
      <c r="F3411" s="23"/>
    </row>
    <row r="3412" spans="1:10" ht="14.25" customHeight="1" x14ac:dyDescent="0.25">
      <c r="A3412" s="68" t="s">
        <v>965</v>
      </c>
      <c r="B3412" s="24" t="s">
        <v>543</v>
      </c>
      <c r="C3412" s="54">
        <v>46241</v>
      </c>
      <c r="D3412" s="68" t="s">
        <v>598</v>
      </c>
      <c r="E3412" s="56" t="s">
        <v>858</v>
      </c>
      <c r="F3412" s="57" t="s">
        <v>184</v>
      </c>
    </row>
    <row r="3413" spans="1:10" ht="14.25" customHeight="1" x14ac:dyDescent="0.25">
      <c r="A3413" s="69"/>
      <c r="B3413" s="24" t="s">
        <v>112</v>
      </c>
      <c r="C3413" s="55">
        <f>IF(C3412="","",IF(AND(MONTH(C3412)&gt;=1,MONTH(C3412)&lt;=3),1,IF(AND(MONTH(C3412)&gt;=4,MONTH(C3412)&lt;=6),2,IF(AND(MONTH(C3412)&gt;=7,MONTH(C3412)&lt;=9),3,4))))</f>
        <v>3</v>
      </c>
      <c r="D3413" s="69"/>
      <c r="E3413" s="56" t="s">
        <v>143</v>
      </c>
      <c r="F3413" s="57"/>
    </row>
    <row r="3414" spans="1:10" ht="14.25" customHeight="1" x14ac:dyDescent="0.25">
      <c r="A3414" s="69"/>
      <c r="B3414" s="24" t="s">
        <v>844</v>
      </c>
      <c r="C3414" s="54">
        <v>46248</v>
      </c>
      <c r="D3414" s="69"/>
      <c r="E3414" s="56" t="s">
        <v>183</v>
      </c>
      <c r="F3414" s="57"/>
    </row>
    <row r="3415" spans="1:10" ht="14.25" customHeight="1" x14ac:dyDescent="0.25">
      <c r="A3415" s="69"/>
      <c r="B3415" s="24" t="s">
        <v>112</v>
      </c>
      <c r="C3415" s="55">
        <f>IF(C3414="","",IF(AND(MONTH(C3414)&gt;=1,MONTH(C3414)&lt;=3),1,IF(AND(MONTH(C3414)&gt;=4,MONTH(C3414)&lt;=6),2,IF(AND(MONTH(C3414)&gt;=7,MONTH(C3414)&lt;=9),3,4))))</f>
        <v>3</v>
      </c>
      <c r="D3415" s="69"/>
      <c r="E3415" s="56" t="s">
        <v>865</v>
      </c>
      <c r="F3415" s="57"/>
    </row>
    <row r="3417" spans="1:10" ht="14.25" customHeight="1" x14ac:dyDescent="0.25">
      <c r="A3417" s="29" t="s">
        <v>1017</v>
      </c>
      <c r="B3417" s="29" t="s">
        <v>1042</v>
      </c>
      <c r="C3417" s="29" t="s">
        <v>1011</v>
      </c>
      <c r="D3417" s="29" t="s">
        <v>985</v>
      </c>
      <c r="E3417" s="29" t="s">
        <v>449</v>
      </c>
      <c r="F3417" s="29" t="s">
        <v>989</v>
      </c>
    </row>
    <row r="3418" spans="1:10" ht="14.25" customHeight="1" x14ac:dyDescent="0.25">
      <c r="A3418" s="25" t="s">
        <v>862</v>
      </c>
      <c r="B3418" s="26" t="str">
        <f ca="1">IFERROR(INDEX(UNSPSCDes,MATCH(INDIRECT(ADDRESS(ROW(),COLUMN()-1,4)),UNSPSCCode,0)),IF(INDIRECT(ADDRESS(ROW(),COLUMN()-1,4))="85121801","Servicios de laboratorios de análisis de sangre",""))</f>
        <v>Servicios de laboratorios de análisis de sangre</v>
      </c>
      <c r="C3418" s="58" t="str">
        <f>IFERROR(VLOOKUP("UD",'Informacion '!P:Q,2,FALSE),"")</f>
        <v>Unidad</v>
      </c>
      <c r="D3418" s="25">
        <v>75</v>
      </c>
      <c r="E3418" s="28">
        <v>1410</v>
      </c>
      <c r="F3418" s="27">
        <f ca="1">INDIRECT(ADDRESS(ROW(),COLUMN()-2,4))*INDIRECT(ADDRESS(ROW(),COLUMN()-1,4))</f>
        <v>105750</v>
      </c>
    </row>
    <row r="3419" spans="1:10" ht="14.25" customHeight="1" x14ac:dyDescent="0.25">
      <c r="A3419" s="25" t="s">
        <v>862</v>
      </c>
      <c r="B3419" s="26" t="str">
        <f ca="1">IFERROR(INDEX(UNSPSCDes,MATCH(INDIRECT(ADDRESS(ROW(),COLUMN()-1,4)),UNSPSCCode,0)),IF(INDIRECT(ADDRESS(ROW(),COLUMN()-1,4))="85121801","Servicios de laboratorios de análisis de sangre",""))</f>
        <v>Servicios de laboratorios de análisis de sangre</v>
      </c>
      <c r="C3419" s="58" t="str">
        <f>IFERROR(VLOOKUP("UD",'Informacion '!P:Q,2,FALSE),"")</f>
        <v>Unidad</v>
      </c>
      <c r="D3419" s="25">
        <v>75</v>
      </c>
      <c r="E3419" s="28">
        <v>1410</v>
      </c>
      <c r="F3419" s="27">
        <f ca="1">INDIRECT(ADDRESS(ROW(),COLUMN()-2,4))*INDIRECT(ADDRESS(ROW(),COLUMN()-1,4))</f>
        <v>105750</v>
      </c>
    </row>
    <row r="3420" spans="1:10" ht="14.25" customHeight="1" x14ac:dyDescent="0.25">
      <c r="E3420" s="30" t="s">
        <v>816</v>
      </c>
      <c r="F3420" s="31">
        <f ca="1">SUM(Table188[MONTO TOTAL ESTIMADO])</f>
        <v>211500</v>
      </c>
      <c r="H3420" s="21" t="str">
        <f>C3411</f>
        <v>Servicios</v>
      </c>
      <c r="I3420" s="21" t="str">
        <f>E3411</f>
        <v>No</v>
      </c>
      <c r="J3420" s="21" t="str">
        <f>D3411</f>
        <v>Compras Menores</v>
      </c>
    </row>
    <row r="3422" spans="1:10" ht="33.950000000000003" customHeight="1" x14ac:dyDescent="0.25">
      <c r="A3422" s="22" t="s">
        <v>1051</v>
      </c>
      <c r="B3422" s="22" t="s">
        <v>11</v>
      </c>
      <c r="C3422" s="22" t="s">
        <v>751</v>
      </c>
      <c r="D3422" s="22" t="s">
        <v>930</v>
      </c>
      <c r="E3422" s="22" t="s">
        <v>699</v>
      </c>
      <c r="F3422" s="22" t="s">
        <v>710</v>
      </c>
    </row>
    <row r="3423" spans="1:10" ht="14.25" customHeight="1" x14ac:dyDescent="0.25">
      <c r="A3423" s="23" t="s">
        <v>129</v>
      </c>
      <c r="B3423" s="23" t="s">
        <v>129</v>
      </c>
      <c r="C3423" s="23" t="s">
        <v>1155</v>
      </c>
      <c r="D3423" s="23" t="s">
        <v>654</v>
      </c>
      <c r="E3423" s="23" t="s">
        <v>1156</v>
      </c>
      <c r="F3423" s="23"/>
    </row>
    <row r="3424" spans="1:10" ht="14.25" customHeight="1" x14ac:dyDescent="0.25">
      <c r="A3424" s="68" t="s">
        <v>965</v>
      </c>
      <c r="B3424" s="24" t="s">
        <v>543</v>
      </c>
      <c r="C3424" s="54">
        <v>46042</v>
      </c>
      <c r="D3424" s="68" t="s">
        <v>598</v>
      </c>
      <c r="E3424" s="56" t="s">
        <v>858</v>
      </c>
      <c r="F3424" s="57" t="s">
        <v>184</v>
      </c>
    </row>
    <row r="3425" spans="1:10" ht="14.25" customHeight="1" x14ac:dyDescent="0.25">
      <c r="A3425" s="69"/>
      <c r="B3425" s="24" t="s">
        <v>112</v>
      </c>
      <c r="C3425" s="55">
        <f>IF(C3424="","",IF(AND(MONTH(C3424)&gt;=1,MONTH(C3424)&lt;=3),1,IF(AND(MONTH(C3424)&gt;=4,MONTH(C3424)&lt;=6),2,IF(AND(MONTH(C3424)&gt;=7,MONTH(C3424)&lt;=9),3,4))))</f>
        <v>1</v>
      </c>
      <c r="D3425" s="69"/>
      <c r="E3425" s="56" t="s">
        <v>143</v>
      </c>
      <c r="F3425" s="57"/>
    </row>
    <row r="3426" spans="1:10" ht="14.25" customHeight="1" x14ac:dyDescent="0.25">
      <c r="A3426" s="69"/>
      <c r="B3426" s="24" t="s">
        <v>844</v>
      </c>
      <c r="C3426" s="54">
        <v>46053</v>
      </c>
      <c r="D3426" s="69"/>
      <c r="E3426" s="56" t="s">
        <v>183</v>
      </c>
      <c r="F3426" s="57"/>
    </row>
    <row r="3427" spans="1:10" ht="14.25" customHeight="1" x14ac:dyDescent="0.25">
      <c r="A3427" s="69"/>
      <c r="B3427" s="24" t="s">
        <v>112</v>
      </c>
      <c r="C3427" s="55">
        <f>IF(C3426="","",IF(AND(MONTH(C3426)&gt;=1,MONTH(C3426)&lt;=3),1,IF(AND(MONTH(C3426)&gt;=4,MONTH(C3426)&lt;=6),2,IF(AND(MONTH(C3426)&gt;=7,MONTH(C3426)&lt;=9),3,4))))</f>
        <v>1</v>
      </c>
      <c r="D3427" s="69"/>
      <c r="E3427" s="56" t="s">
        <v>865</v>
      </c>
      <c r="F3427" s="57"/>
    </row>
    <row r="3429" spans="1:10" ht="14.25" customHeight="1" x14ac:dyDescent="0.25">
      <c r="A3429" s="29" t="s">
        <v>1017</v>
      </c>
      <c r="B3429" s="29" t="s">
        <v>1042</v>
      </c>
      <c r="C3429" s="29" t="s">
        <v>1011</v>
      </c>
      <c r="D3429" s="29" t="s">
        <v>985</v>
      </c>
      <c r="E3429" s="29" t="s">
        <v>449</v>
      </c>
      <c r="F3429" s="29" t="s">
        <v>989</v>
      </c>
    </row>
    <row r="3430" spans="1:10" ht="14.25" customHeight="1" x14ac:dyDescent="0.25">
      <c r="A3430" s="25" t="s">
        <v>1111</v>
      </c>
      <c r="B3430" s="26" t="str">
        <f ca="1">IFERROR(INDEX(UNSPSCDes,MATCH(INDIRECT(ADDRESS(ROW(),COLUMN()-1,4)),UNSPSCCode,0)),IF(INDIRECT(ADDRESS(ROW(),COLUMN()-1,4))="25202003","Unidades de la fuente de alimentación de avión",""))</f>
        <v>Unidades de la fuente de alimentación de avión</v>
      </c>
      <c r="C3430" s="58" t="str">
        <f>IFERROR(VLOOKUP("UD",'Informacion '!P:Q,2,FALSE),"")</f>
        <v>Unidad</v>
      </c>
      <c r="D3430" s="25">
        <v>12</v>
      </c>
      <c r="E3430" s="28">
        <v>7500</v>
      </c>
      <c r="F3430" s="27">
        <f ca="1">INDIRECT(ADDRESS(ROW(),COLUMN()-2,4))*INDIRECT(ADDRESS(ROW(),COLUMN()-1,4))</f>
        <v>90000</v>
      </c>
    </row>
    <row r="3431" spans="1:10" ht="14.25" customHeight="1" x14ac:dyDescent="0.25">
      <c r="A3431" s="25" t="s">
        <v>1111</v>
      </c>
      <c r="B3431" s="26" t="str">
        <f ca="1">IFERROR(INDEX(UNSPSCDes,MATCH(INDIRECT(ADDRESS(ROW(),COLUMN()-1,4)),UNSPSCCode,0)),IF(INDIRECT(ADDRESS(ROW(),COLUMN()-1,4))="25202003","Unidades de la fuente de alimentación de avión",""))</f>
        <v>Unidades de la fuente de alimentación de avión</v>
      </c>
      <c r="C3431" s="58" t="str">
        <f>IFERROR(VLOOKUP("UD",'Informacion '!P:Q,2,FALSE),"")</f>
        <v>Unidad</v>
      </c>
      <c r="D3431" s="25">
        <v>5</v>
      </c>
      <c r="E3431" s="28">
        <v>2500</v>
      </c>
      <c r="F3431" s="27">
        <f ca="1">INDIRECT(ADDRESS(ROW(),COLUMN()-2,4))*INDIRECT(ADDRESS(ROW(),COLUMN()-1,4))</f>
        <v>12500</v>
      </c>
    </row>
    <row r="3432" spans="1:10" ht="14.25" customHeight="1" x14ac:dyDescent="0.25">
      <c r="E3432" s="30" t="s">
        <v>816</v>
      </c>
      <c r="F3432" s="31">
        <f ca="1">SUM(Table189[MONTO TOTAL ESTIMADO])</f>
        <v>102500</v>
      </c>
      <c r="H3432" s="21" t="str">
        <f>C3423</f>
        <v>Bienes</v>
      </c>
      <c r="I3432" s="21" t="str">
        <f>E3423</f>
        <v>No</v>
      </c>
      <c r="J3432" s="21" t="str">
        <f>D3423</f>
        <v>Compras por debajo del Umbral</v>
      </c>
    </row>
    <row r="3434" spans="1:10" ht="33.950000000000003" customHeight="1" x14ac:dyDescent="0.25">
      <c r="A3434" s="22" t="s">
        <v>1051</v>
      </c>
      <c r="B3434" s="22" t="s">
        <v>11</v>
      </c>
      <c r="C3434" s="22" t="s">
        <v>751</v>
      </c>
      <c r="D3434" s="22" t="s">
        <v>930</v>
      </c>
      <c r="E3434" s="22" t="s">
        <v>699</v>
      </c>
      <c r="F3434" s="22" t="s">
        <v>710</v>
      </c>
    </row>
    <row r="3435" spans="1:10" ht="14.25" customHeight="1" x14ac:dyDescent="0.25">
      <c r="A3435" s="23" t="s">
        <v>742</v>
      </c>
      <c r="B3435" s="23" t="s">
        <v>742</v>
      </c>
      <c r="C3435" s="23" t="s">
        <v>1155</v>
      </c>
      <c r="D3435" s="23" t="s">
        <v>654</v>
      </c>
      <c r="E3435" s="23" t="s">
        <v>1156</v>
      </c>
      <c r="F3435" s="23"/>
    </row>
    <row r="3436" spans="1:10" ht="14.25" customHeight="1" x14ac:dyDescent="0.25">
      <c r="A3436" s="68" t="s">
        <v>965</v>
      </c>
      <c r="B3436" s="24" t="s">
        <v>543</v>
      </c>
      <c r="C3436" s="54">
        <v>46042</v>
      </c>
      <c r="D3436" s="68" t="s">
        <v>598</v>
      </c>
      <c r="E3436" s="56" t="s">
        <v>858</v>
      </c>
      <c r="F3436" s="57" t="s">
        <v>184</v>
      </c>
    </row>
    <row r="3437" spans="1:10" ht="14.25" customHeight="1" x14ac:dyDescent="0.25">
      <c r="A3437" s="69"/>
      <c r="B3437" s="24" t="s">
        <v>112</v>
      </c>
      <c r="C3437" s="55">
        <f>IF(C3436="","",IF(AND(MONTH(C3436)&gt;=1,MONTH(C3436)&lt;=3),1,IF(AND(MONTH(C3436)&gt;=4,MONTH(C3436)&lt;=6),2,IF(AND(MONTH(C3436)&gt;=7,MONTH(C3436)&lt;=9),3,4))))</f>
        <v>1</v>
      </c>
      <c r="D3437" s="69"/>
      <c r="E3437" s="56" t="s">
        <v>143</v>
      </c>
      <c r="F3437" s="57"/>
    </row>
    <row r="3438" spans="1:10" ht="14.25" customHeight="1" x14ac:dyDescent="0.25">
      <c r="A3438" s="69"/>
      <c r="B3438" s="24" t="s">
        <v>844</v>
      </c>
      <c r="C3438" s="54">
        <v>46049</v>
      </c>
      <c r="D3438" s="69"/>
      <c r="E3438" s="56" t="s">
        <v>183</v>
      </c>
      <c r="F3438" s="57"/>
    </row>
    <row r="3439" spans="1:10" ht="14.25" customHeight="1" x14ac:dyDescent="0.25">
      <c r="A3439" s="69"/>
      <c r="B3439" s="24" t="s">
        <v>112</v>
      </c>
      <c r="C3439" s="55">
        <f>IF(C3438="","",IF(AND(MONTH(C3438)&gt;=1,MONTH(C3438)&lt;=3),1,IF(AND(MONTH(C3438)&gt;=4,MONTH(C3438)&lt;=6),2,IF(AND(MONTH(C3438)&gt;=7,MONTH(C3438)&lt;=9),3,4))))</f>
        <v>1</v>
      </c>
      <c r="D3439" s="69"/>
      <c r="E3439" s="56" t="s">
        <v>865</v>
      </c>
      <c r="F3439" s="57"/>
    </row>
    <row r="3441" spans="1:10" ht="14.25" customHeight="1" x14ac:dyDescent="0.25">
      <c r="A3441" s="29" t="s">
        <v>1017</v>
      </c>
      <c r="B3441" s="29" t="s">
        <v>1042</v>
      </c>
      <c r="C3441" s="29" t="s">
        <v>1011</v>
      </c>
      <c r="D3441" s="29" t="s">
        <v>985</v>
      </c>
      <c r="E3441" s="29" t="s">
        <v>449</v>
      </c>
      <c r="F3441" s="29" t="s">
        <v>989</v>
      </c>
    </row>
    <row r="3442" spans="1:10" ht="14.25" customHeight="1" x14ac:dyDescent="0.25">
      <c r="A3442" s="25" t="s">
        <v>31</v>
      </c>
      <c r="B3442" s="26" t="str">
        <f ca="1">IFERROR(INDEX(UNSPSCDes,MATCH(INDIRECT(ADDRESS(ROW(),COLUMN()-1,4)),UNSPSCCode,0)),IF(INDIRECT(ADDRESS(ROW(),COLUMN()-1,4))="44101601","Máquinas cortadoras de papel o accesorios",""))</f>
        <v>Máquinas cortadoras de papel o accesorios</v>
      </c>
      <c r="C3442" s="58" t="str">
        <f>IFERROR(VLOOKUP("UD",'Informacion '!P:Q,2,FALSE),"")</f>
        <v>Unidad</v>
      </c>
      <c r="D3442" s="25">
        <v>1</v>
      </c>
      <c r="E3442" s="28">
        <v>15000</v>
      </c>
      <c r="F3442" s="27">
        <f ca="1">INDIRECT(ADDRESS(ROW(),COLUMN()-2,4))*INDIRECT(ADDRESS(ROW(),COLUMN()-1,4))</f>
        <v>15000</v>
      </c>
    </row>
    <row r="3443" spans="1:10" ht="14.25" customHeight="1" x14ac:dyDescent="0.25">
      <c r="E3443" s="30" t="s">
        <v>816</v>
      </c>
      <c r="F3443" s="31">
        <f ca="1">SUM(Table190[MONTO TOTAL ESTIMADO])</f>
        <v>15000</v>
      </c>
      <c r="H3443" s="21" t="str">
        <f>C3435</f>
        <v>Bienes</v>
      </c>
      <c r="I3443" s="21" t="str">
        <f>E3435</f>
        <v>No</v>
      </c>
      <c r="J3443" s="21" t="str">
        <f>D3435</f>
        <v>Compras por debajo del Umbral</v>
      </c>
    </row>
    <row r="3445" spans="1:10" ht="33.950000000000003" customHeight="1" x14ac:dyDescent="0.25">
      <c r="A3445" s="22" t="s">
        <v>1051</v>
      </c>
      <c r="B3445" s="22" t="s">
        <v>11</v>
      </c>
      <c r="C3445" s="22" t="s">
        <v>751</v>
      </c>
      <c r="D3445" s="22" t="s">
        <v>930</v>
      </c>
      <c r="E3445" s="22" t="s">
        <v>699</v>
      </c>
      <c r="F3445" s="22" t="s">
        <v>710</v>
      </c>
    </row>
    <row r="3446" spans="1:10" ht="14.25" customHeight="1" x14ac:dyDescent="0.25">
      <c r="A3446" s="23" t="s">
        <v>1199</v>
      </c>
      <c r="B3446" s="23" t="s">
        <v>1199</v>
      </c>
      <c r="C3446" s="23" t="s">
        <v>1155</v>
      </c>
      <c r="D3446" s="23" t="s">
        <v>654</v>
      </c>
      <c r="E3446" s="23" t="s">
        <v>1156</v>
      </c>
      <c r="F3446" s="23"/>
    </row>
    <row r="3447" spans="1:10" ht="14.25" customHeight="1" x14ac:dyDescent="0.25">
      <c r="A3447" s="68" t="s">
        <v>965</v>
      </c>
      <c r="B3447" s="24" t="s">
        <v>543</v>
      </c>
      <c r="C3447" s="54">
        <v>46162</v>
      </c>
      <c r="D3447" s="68" t="s">
        <v>598</v>
      </c>
      <c r="E3447" s="56" t="s">
        <v>858</v>
      </c>
      <c r="F3447" s="57" t="s">
        <v>184</v>
      </c>
    </row>
    <row r="3448" spans="1:10" ht="14.25" customHeight="1" x14ac:dyDescent="0.25">
      <c r="A3448" s="69"/>
      <c r="B3448" s="24" t="s">
        <v>112</v>
      </c>
      <c r="C3448" s="55">
        <f>IF(C3447="","",IF(AND(MONTH(C3447)&gt;=1,MONTH(C3447)&lt;=3),1,IF(AND(MONTH(C3447)&gt;=4,MONTH(C3447)&lt;=6),2,IF(AND(MONTH(C3447)&gt;=7,MONTH(C3447)&lt;=9),3,4))))</f>
        <v>2</v>
      </c>
      <c r="D3448" s="69"/>
      <c r="E3448" s="56" t="s">
        <v>143</v>
      </c>
      <c r="F3448" s="57"/>
    </row>
    <row r="3449" spans="1:10" ht="14.25" customHeight="1" x14ac:dyDescent="0.25">
      <c r="A3449" s="69"/>
      <c r="B3449" s="24" t="s">
        <v>844</v>
      </c>
      <c r="C3449" s="54">
        <v>46169</v>
      </c>
      <c r="D3449" s="69"/>
      <c r="E3449" s="56" t="s">
        <v>183</v>
      </c>
      <c r="F3449" s="57"/>
    </row>
    <row r="3450" spans="1:10" ht="14.25" customHeight="1" x14ac:dyDescent="0.25">
      <c r="A3450" s="69"/>
      <c r="B3450" s="24" t="s">
        <v>112</v>
      </c>
      <c r="C3450" s="55">
        <f>IF(C3449="","",IF(AND(MONTH(C3449)&gt;=1,MONTH(C3449)&lt;=3),1,IF(AND(MONTH(C3449)&gt;=4,MONTH(C3449)&lt;=6),2,IF(AND(MONTH(C3449)&gt;=7,MONTH(C3449)&lt;=9),3,4))))</f>
        <v>2</v>
      </c>
      <c r="D3450" s="69"/>
      <c r="E3450" s="56" t="s">
        <v>865</v>
      </c>
      <c r="F3450" s="57"/>
    </row>
    <row r="3452" spans="1:10" ht="14.25" customHeight="1" x14ac:dyDescent="0.25">
      <c r="A3452" s="29" t="s">
        <v>1017</v>
      </c>
      <c r="B3452" s="29" t="s">
        <v>1042</v>
      </c>
      <c r="C3452" s="29" t="s">
        <v>1011</v>
      </c>
      <c r="D3452" s="29" t="s">
        <v>985</v>
      </c>
      <c r="E3452" s="29" t="s">
        <v>449</v>
      </c>
      <c r="F3452" s="29" t="s">
        <v>989</v>
      </c>
    </row>
    <row r="3453" spans="1:10" ht="14.25" customHeight="1" x14ac:dyDescent="0.25">
      <c r="A3453" s="25" t="s">
        <v>602</v>
      </c>
      <c r="B3453" s="26" t="str">
        <f ca="1">IFERROR(INDEX(UNSPSCDes,MATCH(INDIRECT(ADDRESS(ROW(),COLUMN()-1,4)),UNSPSCCode,0)),IF(INDIRECT(ADDRESS(ROW(),COLUMN()-1,4))="52161505","Televisores",""))</f>
        <v>Televisores</v>
      </c>
      <c r="C3453" s="58" t="str">
        <f>IFERROR(VLOOKUP("UD",'Informacion '!P:Q,2,FALSE),"")</f>
        <v>Unidad</v>
      </c>
      <c r="D3453" s="25">
        <v>1</v>
      </c>
      <c r="E3453" s="28">
        <v>20000</v>
      </c>
      <c r="F3453" s="27">
        <f ca="1">INDIRECT(ADDRESS(ROW(),COLUMN()-2,4))*INDIRECT(ADDRESS(ROW(),COLUMN()-1,4))</f>
        <v>20000</v>
      </c>
    </row>
    <row r="3454" spans="1:10" ht="14.25" customHeight="1" x14ac:dyDescent="0.25">
      <c r="A3454" s="25" t="s">
        <v>329</v>
      </c>
      <c r="B3454" s="26" t="str">
        <f ca="1">IFERROR(INDEX(UNSPSCDes,MATCH(INDIRECT(ADDRESS(ROW(),COLUMN()-1,4)),UNSPSCCode,0)),IF(INDIRECT(ADDRESS(ROW(),COLUMN()-1,4))="45111802","Soportes para televisiones",""))</f>
        <v>Soportes para televisiones</v>
      </c>
      <c r="C3454" s="58" t="str">
        <f>IFERROR(VLOOKUP("UD",'Informacion '!P:Q,2,FALSE),"")</f>
        <v>Unidad</v>
      </c>
      <c r="D3454" s="25">
        <v>1</v>
      </c>
      <c r="E3454" s="28">
        <v>2800</v>
      </c>
      <c r="F3454" s="27">
        <f ca="1">INDIRECT(ADDRESS(ROW(),COLUMN()-2,4))*INDIRECT(ADDRESS(ROW(),COLUMN()-1,4))</f>
        <v>2800</v>
      </c>
    </row>
    <row r="3455" spans="1:10" ht="14.25" customHeight="1" x14ac:dyDescent="0.25">
      <c r="E3455" s="30" t="s">
        <v>816</v>
      </c>
      <c r="F3455" s="31">
        <f ca="1">SUM(Table191[MONTO TOTAL ESTIMADO])</f>
        <v>22800</v>
      </c>
      <c r="H3455" s="21" t="str">
        <f>C3446</f>
        <v>Bienes</v>
      </c>
      <c r="I3455" s="21" t="str">
        <f>E3446</f>
        <v>No</v>
      </c>
      <c r="J3455" s="21" t="str">
        <f>D3446</f>
        <v>Compras por debajo del Umbral</v>
      </c>
    </row>
    <row r="3457" spans="1:10" ht="33.950000000000003" customHeight="1" x14ac:dyDescent="0.25">
      <c r="A3457" s="22" t="s">
        <v>1051</v>
      </c>
      <c r="B3457" s="22" t="s">
        <v>11</v>
      </c>
      <c r="C3457" s="22" t="s">
        <v>751</v>
      </c>
      <c r="D3457" s="22" t="s">
        <v>930</v>
      </c>
      <c r="E3457" s="22" t="s">
        <v>699</v>
      </c>
      <c r="F3457" s="22" t="s">
        <v>710</v>
      </c>
    </row>
    <row r="3458" spans="1:10" ht="14.25" customHeight="1" x14ac:dyDescent="0.25">
      <c r="A3458" s="23" t="s">
        <v>738</v>
      </c>
      <c r="B3458" s="23" t="s">
        <v>738</v>
      </c>
      <c r="C3458" s="23" t="s">
        <v>438</v>
      </c>
      <c r="D3458" s="23" t="s">
        <v>599</v>
      </c>
      <c r="E3458" s="23" t="s">
        <v>1156</v>
      </c>
      <c r="F3458" s="23"/>
    </row>
    <row r="3459" spans="1:10" ht="14.25" customHeight="1" x14ac:dyDescent="0.25">
      <c r="A3459" s="68" t="s">
        <v>965</v>
      </c>
      <c r="B3459" s="24" t="s">
        <v>543</v>
      </c>
      <c r="C3459" s="54">
        <v>46162</v>
      </c>
      <c r="D3459" s="68" t="s">
        <v>598</v>
      </c>
      <c r="E3459" s="56" t="s">
        <v>858</v>
      </c>
      <c r="F3459" s="57" t="s">
        <v>184</v>
      </c>
    </row>
    <row r="3460" spans="1:10" ht="14.25" customHeight="1" x14ac:dyDescent="0.25">
      <c r="A3460" s="69"/>
      <c r="B3460" s="24" t="s">
        <v>112</v>
      </c>
      <c r="C3460" s="55">
        <f>IF(C3459="","",IF(AND(MONTH(C3459)&gt;=1,MONTH(C3459)&lt;=3),1,IF(AND(MONTH(C3459)&gt;=4,MONTH(C3459)&lt;=6),2,IF(AND(MONTH(C3459)&gt;=7,MONTH(C3459)&lt;=9),3,4))))</f>
        <v>2</v>
      </c>
      <c r="D3460" s="69"/>
      <c r="E3460" s="56" t="s">
        <v>143</v>
      </c>
      <c r="F3460" s="57"/>
    </row>
    <row r="3461" spans="1:10" ht="14.25" customHeight="1" x14ac:dyDescent="0.25">
      <c r="A3461" s="69"/>
      <c r="B3461" s="24" t="s">
        <v>844</v>
      </c>
      <c r="C3461" s="54">
        <v>46242</v>
      </c>
      <c r="D3461" s="69"/>
      <c r="E3461" s="56" t="s">
        <v>183</v>
      </c>
      <c r="F3461" s="57"/>
    </row>
    <row r="3462" spans="1:10" ht="14.25" customHeight="1" x14ac:dyDescent="0.25">
      <c r="A3462" s="69"/>
      <c r="B3462" s="24" t="s">
        <v>112</v>
      </c>
      <c r="C3462" s="55">
        <f>IF(C3461="","",IF(AND(MONTH(C3461)&gt;=1,MONTH(C3461)&lt;=3),1,IF(AND(MONTH(C3461)&gt;=4,MONTH(C3461)&lt;=6),2,IF(AND(MONTH(C3461)&gt;=7,MONTH(C3461)&lt;=9),3,4))))</f>
        <v>3</v>
      </c>
      <c r="D3462" s="69"/>
      <c r="E3462" s="56" t="s">
        <v>865</v>
      </c>
      <c r="F3462" s="57"/>
    </row>
    <row r="3464" spans="1:10" ht="14.25" customHeight="1" x14ac:dyDescent="0.25">
      <c r="A3464" s="29" t="s">
        <v>1017</v>
      </c>
      <c r="B3464" s="29" t="s">
        <v>1042</v>
      </c>
      <c r="C3464" s="29" t="s">
        <v>1011</v>
      </c>
      <c r="D3464" s="29" t="s">
        <v>985</v>
      </c>
      <c r="E3464" s="29" t="s">
        <v>449</v>
      </c>
      <c r="F3464" s="29" t="s">
        <v>989</v>
      </c>
    </row>
    <row r="3465" spans="1:10" ht="14.25" customHeight="1" x14ac:dyDescent="0.25">
      <c r="A3465" s="25" t="s">
        <v>594</v>
      </c>
      <c r="B3465" s="26" t="str">
        <f ca="1">IFERROR(INDEX(UNSPSCDes,MATCH(INDIRECT(ADDRESS(ROW(),COLUMN()-1,4)),UNSPSCCode,0)),IF(INDIRECT(ADDRESS(ROW(),COLUMN()-1,4))="80131502","Arrendamiento de instalaciones comerciales o industriales",""))</f>
        <v>Arrendamiento de instalaciones comerciales o industriales</v>
      </c>
      <c r="C3465" s="58" t="str">
        <f>IFERROR(VLOOKUP("UD",'Informacion '!P:Q,2,FALSE),"")</f>
        <v>Unidad</v>
      </c>
      <c r="D3465" s="25">
        <v>12</v>
      </c>
      <c r="E3465" s="28">
        <v>718201</v>
      </c>
      <c r="F3465" s="27">
        <f ca="1">INDIRECT(ADDRESS(ROW(),COLUMN()-2,4))*INDIRECT(ADDRESS(ROW(),COLUMN()-1,4))</f>
        <v>8618412</v>
      </c>
    </row>
    <row r="3466" spans="1:10" ht="14.25" customHeight="1" x14ac:dyDescent="0.25">
      <c r="A3466" s="25" t="s">
        <v>594</v>
      </c>
      <c r="B3466" s="26" t="str">
        <f ca="1">IFERROR(INDEX(UNSPSCDes,MATCH(INDIRECT(ADDRESS(ROW(),COLUMN()-1,4)),UNSPSCCode,0)),IF(INDIRECT(ADDRESS(ROW(),COLUMN()-1,4))="80131502","Arrendamiento de instalaciones comerciales o industriales",""))</f>
        <v>Arrendamiento de instalaciones comerciales o industriales</v>
      </c>
      <c r="C3466" s="58" t="str">
        <f>IFERROR(VLOOKUP("UD",'Informacion '!P:Q,2,FALSE),"")</f>
        <v>Unidad</v>
      </c>
      <c r="D3466" s="25">
        <v>12</v>
      </c>
      <c r="E3466" s="28">
        <v>930724.95</v>
      </c>
      <c r="F3466" s="27">
        <f ca="1">INDIRECT(ADDRESS(ROW(),COLUMN()-2,4))*INDIRECT(ADDRESS(ROW(),COLUMN()-1,4))</f>
        <v>11168699.399999999</v>
      </c>
    </row>
    <row r="3467" spans="1:10" ht="14.25" customHeight="1" x14ac:dyDescent="0.25">
      <c r="E3467" s="30" t="s">
        <v>816</v>
      </c>
      <c r="F3467" s="31">
        <f ca="1">SUM(Table192[MONTO TOTAL ESTIMADO])</f>
        <v>19787111.399999999</v>
      </c>
      <c r="H3467" s="21" t="str">
        <f>C3458</f>
        <v>Servicios</v>
      </c>
      <c r="I3467" s="21" t="str">
        <f>E3458</f>
        <v>No</v>
      </c>
      <c r="J3467" s="21" t="str">
        <f>D3458</f>
        <v>Licitacion Restringida</v>
      </c>
    </row>
    <row r="3469" spans="1:10" ht="33.950000000000003" customHeight="1" x14ac:dyDescent="0.25">
      <c r="A3469" s="22" t="s">
        <v>1051</v>
      </c>
      <c r="B3469" s="22" t="s">
        <v>11</v>
      </c>
      <c r="C3469" s="22" t="s">
        <v>751</v>
      </c>
      <c r="D3469" s="22" t="s">
        <v>930</v>
      </c>
      <c r="E3469" s="22" t="s">
        <v>699</v>
      </c>
      <c r="F3469" s="22" t="s">
        <v>710</v>
      </c>
    </row>
    <row r="3470" spans="1:10" ht="14.25" customHeight="1" x14ac:dyDescent="0.25">
      <c r="A3470" s="23" t="s">
        <v>359</v>
      </c>
      <c r="B3470" s="23" t="s">
        <v>359</v>
      </c>
      <c r="C3470" s="23" t="s">
        <v>438</v>
      </c>
      <c r="D3470" s="23" t="s">
        <v>146</v>
      </c>
      <c r="E3470" s="23" t="s">
        <v>1156</v>
      </c>
      <c r="F3470" s="23"/>
    </row>
    <row r="3471" spans="1:10" ht="14.25" customHeight="1" x14ac:dyDescent="0.25">
      <c r="A3471" s="68" t="s">
        <v>965</v>
      </c>
      <c r="B3471" s="24" t="s">
        <v>543</v>
      </c>
      <c r="C3471" s="54">
        <v>46121</v>
      </c>
      <c r="D3471" s="68" t="s">
        <v>598</v>
      </c>
      <c r="E3471" s="56" t="s">
        <v>858</v>
      </c>
      <c r="F3471" s="57" t="s">
        <v>184</v>
      </c>
    </row>
    <row r="3472" spans="1:10" ht="14.25" customHeight="1" x14ac:dyDescent="0.25">
      <c r="A3472" s="69"/>
      <c r="B3472" s="24" t="s">
        <v>112</v>
      </c>
      <c r="C3472" s="55">
        <f>IF(C3471="","",IF(AND(MONTH(C3471)&gt;=1,MONTH(C3471)&lt;=3),1,IF(AND(MONTH(C3471)&gt;=4,MONTH(C3471)&lt;=6),2,IF(AND(MONTH(C3471)&gt;=7,MONTH(C3471)&lt;=9),3,4))))</f>
        <v>2</v>
      </c>
      <c r="D3472" s="69"/>
      <c r="E3472" s="56" t="s">
        <v>143</v>
      </c>
      <c r="F3472" s="57"/>
    </row>
    <row r="3473" spans="1:10" ht="14.25" customHeight="1" x14ac:dyDescent="0.25">
      <c r="A3473" s="69"/>
      <c r="B3473" s="24" t="s">
        <v>844</v>
      </c>
      <c r="C3473" s="54">
        <v>46203</v>
      </c>
      <c r="D3473" s="69"/>
      <c r="E3473" s="56" t="s">
        <v>183</v>
      </c>
      <c r="F3473" s="57"/>
    </row>
    <row r="3474" spans="1:10" ht="14.25" customHeight="1" x14ac:dyDescent="0.25">
      <c r="A3474" s="69"/>
      <c r="B3474" s="24" t="s">
        <v>112</v>
      </c>
      <c r="C3474" s="55">
        <f>IF(C3473="","",IF(AND(MONTH(C3473)&gt;=1,MONTH(C3473)&lt;=3),1,IF(AND(MONTH(C3473)&gt;=4,MONTH(C3473)&lt;=6),2,IF(AND(MONTH(C3473)&gt;=7,MONTH(C3473)&lt;=9),3,4))))</f>
        <v>2</v>
      </c>
      <c r="D3474" s="69"/>
      <c r="E3474" s="56" t="s">
        <v>865</v>
      </c>
      <c r="F3474" s="57"/>
    </row>
    <row r="3476" spans="1:10" ht="14.25" customHeight="1" x14ac:dyDescent="0.25">
      <c r="A3476" s="29" t="s">
        <v>1017</v>
      </c>
      <c r="B3476" s="29" t="s">
        <v>1042</v>
      </c>
      <c r="C3476" s="29" t="s">
        <v>1011</v>
      </c>
      <c r="D3476" s="29" t="s">
        <v>985</v>
      </c>
      <c r="E3476" s="29" t="s">
        <v>449</v>
      </c>
      <c r="F3476" s="29" t="s">
        <v>989</v>
      </c>
    </row>
    <row r="3477" spans="1:10" ht="14.25" customHeight="1" x14ac:dyDescent="0.25">
      <c r="A3477" s="25" t="s">
        <v>1149</v>
      </c>
      <c r="B3477" s="26" t="str">
        <f ca="1">IFERROR(INDEX(UNSPSCDes,MATCH(INDIRECT(ADDRESS(ROW(),COLUMN()-1,4)),UNSPSCCode,0)),IF(INDIRECT(ADDRESS(ROW(),COLUMN()-1,4))="43191609","Teléfonos de diadema",""))</f>
        <v>Teléfonos de diadema</v>
      </c>
      <c r="C3477" s="58" t="str">
        <f>IFERROR(VLOOKUP("UD",'Informacion '!P:Q,2,FALSE),"")</f>
        <v>Unidad</v>
      </c>
      <c r="D3477" s="25">
        <v>1</v>
      </c>
      <c r="E3477" s="28">
        <v>16000000</v>
      </c>
      <c r="F3477" s="27">
        <f ca="1">INDIRECT(ADDRESS(ROW(),COLUMN()-2,4))*INDIRECT(ADDRESS(ROW(),COLUMN()-1,4))</f>
        <v>16000000</v>
      </c>
    </row>
    <row r="3478" spans="1:10" ht="14.25" customHeight="1" x14ac:dyDescent="0.25">
      <c r="E3478" s="30" t="s">
        <v>816</v>
      </c>
      <c r="F3478" s="31">
        <f ca="1">SUM(Table193[MONTO TOTAL ESTIMADO])</f>
        <v>16000000</v>
      </c>
      <c r="H3478" s="21" t="str">
        <f>C3470</f>
        <v>Servicios</v>
      </c>
      <c r="I3478" s="21" t="str">
        <f>E3470</f>
        <v>No</v>
      </c>
      <c r="J3478" s="21" t="str">
        <f>D3470</f>
        <v>Licitacion Publica</v>
      </c>
    </row>
    <row r="3480" spans="1:10" ht="33.950000000000003" customHeight="1" x14ac:dyDescent="0.25">
      <c r="A3480" s="22" t="s">
        <v>1051</v>
      </c>
      <c r="B3480" s="22" t="s">
        <v>11</v>
      </c>
      <c r="C3480" s="22" t="s">
        <v>751</v>
      </c>
      <c r="D3480" s="22" t="s">
        <v>930</v>
      </c>
      <c r="E3480" s="22" t="s">
        <v>699</v>
      </c>
      <c r="F3480" s="22" t="s">
        <v>710</v>
      </c>
    </row>
    <row r="3481" spans="1:10" ht="14.25" customHeight="1" x14ac:dyDescent="0.25">
      <c r="A3481" s="23" t="s">
        <v>414</v>
      </c>
      <c r="B3481" s="23" t="s">
        <v>709</v>
      </c>
      <c r="C3481" s="23" t="s">
        <v>438</v>
      </c>
      <c r="D3481" s="23" t="s">
        <v>146</v>
      </c>
      <c r="E3481" s="23" t="s">
        <v>1156</v>
      </c>
      <c r="F3481" s="23"/>
    </row>
    <row r="3482" spans="1:10" ht="14.25" customHeight="1" x14ac:dyDescent="0.25">
      <c r="A3482" s="68" t="s">
        <v>965</v>
      </c>
      <c r="B3482" s="24" t="s">
        <v>543</v>
      </c>
      <c r="C3482" s="54">
        <v>46212</v>
      </c>
      <c r="D3482" s="68" t="s">
        <v>598</v>
      </c>
      <c r="E3482" s="56" t="s">
        <v>858</v>
      </c>
      <c r="F3482" s="57" t="s">
        <v>184</v>
      </c>
    </row>
    <row r="3483" spans="1:10" ht="14.25" customHeight="1" x14ac:dyDescent="0.25">
      <c r="A3483" s="69"/>
      <c r="B3483" s="24" t="s">
        <v>112</v>
      </c>
      <c r="C3483" s="55">
        <f>IF(C3482="","",IF(AND(MONTH(C3482)&gt;=1,MONTH(C3482)&lt;=3),1,IF(AND(MONTH(C3482)&gt;=4,MONTH(C3482)&lt;=6),2,IF(AND(MONTH(C3482)&gt;=7,MONTH(C3482)&lt;=9),3,4))))</f>
        <v>3</v>
      </c>
      <c r="D3483" s="69"/>
      <c r="E3483" s="56" t="s">
        <v>143</v>
      </c>
      <c r="F3483" s="57"/>
    </row>
    <row r="3484" spans="1:10" ht="14.25" customHeight="1" x14ac:dyDescent="0.25">
      <c r="A3484" s="69"/>
      <c r="B3484" s="24" t="s">
        <v>844</v>
      </c>
      <c r="C3484" s="54">
        <v>46294</v>
      </c>
      <c r="D3484" s="69"/>
      <c r="E3484" s="56" t="s">
        <v>183</v>
      </c>
      <c r="F3484" s="57"/>
    </row>
    <row r="3485" spans="1:10" ht="14.25" customHeight="1" x14ac:dyDescent="0.25">
      <c r="A3485" s="69"/>
      <c r="B3485" s="24" t="s">
        <v>112</v>
      </c>
      <c r="C3485" s="55">
        <f>IF(C3484="","",IF(AND(MONTH(C3484)&gt;=1,MONTH(C3484)&lt;=3),1,IF(AND(MONTH(C3484)&gt;=4,MONTH(C3484)&lt;=6),2,IF(AND(MONTH(C3484)&gt;=7,MONTH(C3484)&lt;=9),3,4))))</f>
        <v>3</v>
      </c>
      <c r="D3485" s="69"/>
      <c r="E3485" s="56" t="s">
        <v>865</v>
      </c>
      <c r="F3485" s="57"/>
    </row>
    <row r="3487" spans="1:10" ht="14.25" customHeight="1" x14ac:dyDescent="0.25">
      <c r="A3487" s="29" t="s">
        <v>1017</v>
      </c>
      <c r="B3487" s="29" t="s">
        <v>1042</v>
      </c>
      <c r="C3487" s="29" t="s">
        <v>1011</v>
      </c>
      <c r="D3487" s="29" t="s">
        <v>985</v>
      </c>
      <c r="E3487" s="29" t="s">
        <v>449</v>
      </c>
      <c r="F3487" s="29" t="s">
        <v>989</v>
      </c>
    </row>
    <row r="3488" spans="1:10" ht="14.25" customHeight="1" x14ac:dyDescent="0.25">
      <c r="A3488" s="25" t="s">
        <v>559</v>
      </c>
      <c r="B3488" s="26" t="str">
        <f ca="1">IFERROR(INDEX(UNSPSCDes,MATCH(INDIRECT(ADDRESS(ROW(),COLUMN()-1,4)),UNSPSCCode,0)),IF(INDIRECT(ADDRESS(ROW(),COLUMN()-1,4))="44101501","Fotocopiadoras",""))</f>
        <v>Fotocopiadoras</v>
      </c>
      <c r="C3488" s="58" t="str">
        <f>IFERROR(VLOOKUP("UD",'Informacion '!P:Q,2,FALSE),"")</f>
        <v>Unidad</v>
      </c>
      <c r="D3488" s="25">
        <v>1</v>
      </c>
      <c r="E3488" s="28">
        <v>15000000</v>
      </c>
      <c r="F3488" s="27">
        <f ca="1">INDIRECT(ADDRESS(ROW(),COLUMN()-2,4))*INDIRECT(ADDRESS(ROW(),COLUMN()-1,4))</f>
        <v>15000000</v>
      </c>
    </row>
    <row r="3489" spans="1:10" ht="14.25" customHeight="1" x14ac:dyDescent="0.25">
      <c r="E3489" s="30" t="s">
        <v>816</v>
      </c>
      <c r="F3489" s="31">
        <f ca="1">SUM(Table194[MONTO TOTAL ESTIMADO])</f>
        <v>15000000</v>
      </c>
      <c r="H3489" s="21" t="str">
        <f>C3481</f>
        <v>Servicios</v>
      </c>
      <c r="I3489" s="21" t="str">
        <f>E3481</f>
        <v>No</v>
      </c>
      <c r="J3489" s="21" t="str">
        <f>D3481</f>
        <v>Licitacion Publica</v>
      </c>
    </row>
    <row r="3491" spans="1:10" ht="33.950000000000003" customHeight="1" x14ac:dyDescent="0.25">
      <c r="A3491" s="22" t="s">
        <v>1051</v>
      </c>
      <c r="B3491" s="22" t="s">
        <v>11</v>
      </c>
      <c r="C3491" s="22" t="s">
        <v>751</v>
      </c>
      <c r="D3491" s="22" t="s">
        <v>930</v>
      </c>
      <c r="E3491" s="22" t="s">
        <v>699</v>
      </c>
      <c r="F3491" s="22" t="s">
        <v>710</v>
      </c>
    </row>
    <row r="3492" spans="1:10" ht="14.25" customHeight="1" x14ac:dyDescent="0.25">
      <c r="A3492" s="23" t="s">
        <v>756</v>
      </c>
      <c r="B3492" s="23" t="s">
        <v>338</v>
      </c>
      <c r="C3492" s="23" t="s">
        <v>1155</v>
      </c>
      <c r="D3492" s="23" t="s">
        <v>654</v>
      </c>
      <c r="E3492" s="23" t="s">
        <v>1156</v>
      </c>
      <c r="F3492" s="23"/>
    </row>
    <row r="3493" spans="1:10" ht="14.25" customHeight="1" x14ac:dyDescent="0.25">
      <c r="A3493" s="68" t="s">
        <v>965</v>
      </c>
      <c r="B3493" s="24" t="s">
        <v>543</v>
      </c>
      <c r="C3493" s="54">
        <v>46121</v>
      </c>
      <c r="D3493" s="68" t="s">
        <v>598</v>
      </c>
      <c r="E3493" s="56" t="s">
        <v>858</v>
      </c>
      <c r="F3493" s="57" t="s">
        <v>184</v>
      </c>
    </row>
    <row r="3494" spans="1:10" ht="14.25" customHeight="1" x14ac:dyDescent="0.25">
      <c r="A3494" s="69"/>
      <c r="B3494" s="24" t="s">
        <v>112</v>
      </c>
      <c r="C3494" s="55">
        <f>IF(C3493="","",IF(AND(MONTH(C3493)&gt;=1,MONTH(C3493)&lt;=3),1,IF(AND(MONTH(C3493)&gt;=4,MONTH(C3493)&lt;=6),2,IF(AND(MONTH(C3493)&gt;=7,MONTH(C3493)&lt;=9),3,4))))</f>
        <v>2</v>
      </c>
      <c r="D3494" s="69"/>
      <c r="E3494" s="56" t="s">
        <v>143</v>
      </c>
      <c r="F3494" s="57"/>
    </row>
    <row r="3495" spans="1:10" ht="14.25" customHeight="1" x14ac:dyDescent="0.25">
      <c r="A3495" s="69"/>
      <c r="B3495" s="24" t="s">
        <v>844</v>
      </c>
      <c r="C3495" s="54">
        <v>46142</v>
      </c>
      <c r="D3495" s="69"/>
      <c r="E3495" s="56" t="s">
        <v>183</v>
      </c>
      <c r="F3495" s="57"/>
    </row>
    <row r="3496" spans="1:10" ht="14.25" customHeight="1" x14ac:dyDescent="0.25">
      <c r="A3496" s="69"/>
      <c r="B3496" s="24" t="s">
        <v>112</v>
      </c>
      <c r="C3496" s="55">
        <f>IF(C3495="","",IF(AND(MONTH(C3495)&gt;=1,MONTH(C3495)&lt;=3),1,IF(AND(MONTH(C3495)&gt;=4,MONTH(C3495)&lt;=6),2,IF(AND(MONTH(C3495)&gt;=7,MONTH(C3495)&lt;=9),3,4))))</f>
        <v>2</v>
      </c>
      <c r="D3496" s="69"/>
      <c r="E3496" s="56" t="s">
        <v>865</v>
      </c>
      <c r="F3496" s="57"/>
    </row>
    <row r="3498" spans="1:10" ht="14.25" customHeight="1" x14ac:dyDescent="0.25">
      <c r="A3498" s="29" t="s">
        <v>1017</v>
      </c>
      <c r="B3498" s="29" t="s">
        <v>1042</v>
      </c>
      <c r="C3498" s="29" t="s">
        <v>1011</v>
      </c>
      <c r="D3498" s="29" t="s">
        <v>985</v>
      </c>
      <c r="E3498" s="29" t="s">
        <v>449</v>
      </c>
      <c r="F3498" s="29" t="s">
        <v>989</v>
      </c>
    </row>
    <row r="3499" spans="1:10" ht="14.25" customHeight="1" x14ac:dyDescent="0.25">
      <c r="A3499" s="25" t="s">
        <v>497</v>
      </c>
      <c r="B3499" s="26" t="str">
        <f ca="1">IFERROR(INDEX(UNSPSCDes,MATCH(INDIRECT(ADDRESS(ROW(),COLUMN()-1,4)),UNSPSCCode,0)),IF(INDIRECT(ADDRESS(ROW(),COLUMN()-1,4))="22101804","Elevador de boom telescópico",""))</f>
        <v>Elevador de boom telescópico</v>
      </c>
      <c r="C3499" s="58" t="str">
        <f>IFERROR(VLOOKUP("UD",'Informacion '!P:Q,2,FALSE),"")</f>
        <v>Unidad</v>
      </c>
      <c r="D3499" s="25">
        <v>1</v>
      </c>
      <c r="E3499" s="28">
        <v>19995</v>
      </c>
      <c r="F3499" s="27">
        <f ca="1">INDIRECT(ADDRESS(ROW(),COLUMN()-2,4))*INDIRECT(ADDRESS(ROW(),COLUMN()-1,4))</f>
        <v>19995</v>
      </c>
    </row>
    <row r="3500" spans="1:10" ht="14.25" customHeight="1" x14ac:dyDescent="0.25">
      <c r="E3500" s="30" t="s">
        <v>816</v>
      </c>
      <c r="F3500" s="31">
        <f ca="1">SUM(Table195[MONTO TOTAL ESTIMADO])</f>
        <v>19995</v>
      </c>
      <c r="H3500" s="21" t="str">
        <f>C3492</f>
        <v>Bienes</v>
      </c>
      <c r="I3500" s="21" t="str">
        <f>E3492</f>
        <v>No</v>
      </c>
      <c r="J3500" s="21" t="str">
        <f>D3492</f>
        <v>Compras por debajo del Umbral</v>
      </c>
    </row>
    <row r="3502" spans="1:10" ht="33.950000000000003" customHeight="1" x14ac:dyDescent="0.25">
      <c r="A3502" s="22" t="s">
        <v>1051</v>
      </c>
      <c r="B3502" s="22" t="s">
        <v>11</v>
      </c>
      <c r="C3502" s="22" t="s">
        <v>751</v>
      </c>
      <c r="D3502" s="22" t="s">
        <v>930</v>
      </c>
      <c r="E3502" s="22" t="s">
        <v>699</v>
      </c>
      <c r="F3502" s="22" t="s">
        <v>710</v>
      </c>
    </row>
    <row r="3503" spans="1:10" ht="14.25" customHeight="1" x14ac:dyDescent="0.25">
      <c r="A3503" s="23" t="s">
        <v>533</v>
      </c>
      <c r="B3503" s="23" t="s">
        <v>997</v>
      </c>
      <c r="C3503" s="23" t="s">
        <v>438</v>
      </c>
      <c r="D3503" s="23" t="s">
        <v>654</v>
      </c>
      <c r="E3503" s="23" t="s">
        <v>1156</v>
      </c>
      <c r="F3503" s="23"/>
    </row>
    <row r="3504" spans="1:10" ht="14.25" customHeight="1" x14ac:dyDescent="0.25">
      <c r="A3504" s="68" t="s">
        <v>965</v>
      </c>
      <c r="B3504" s="24" t="s">
        <v>543</v>
      </c>
      <c r="C3504" s="54">
        <v>46240</v>
      </c>
      <c r="D3504" s="68" t="s">
        <v>598</v>
      </c>
      <c r="E3504" s="56" t="s">
        <v>858</v>
      </c>
      <c r="F3504" s="57" t="s">
        <v>184</v>
      </c>
    </row>
    <row r="3505" spans="1:10" ht="14.25" customHeight="1" x14ac:dyDescent="0.25">
      <c r="A3505" s="69"/>
      <c r="B3505" s="24" t="s">
        <v>112</v>
      </c>
      <c r="C3505" s="55">
        <f>IF(C3504="","",IF(AND(MONTH(C3504)&gt;=1,MONTH(C3504)&lt;=3),1,IF(AND(MONTH(C3504)&gt;=4,MONTH(C3504)&lt;=6),2,IF(AND(MONTH(C3504)&gt;=7,MONTH(C3504)&lt;=9),3,4))))</f>
        <v>3</v>
      </c>
      <c r="D3505" s="69"/>
      <c r="E3505" s="56" t="s">
        <v>143</v>
      </c>
      <c r="F3505" s="57"/>
    </row>
    <row r="3506" spans="1:10" ht="14.25" customHeight="1" x14ac:dyDescent="0.25">
      <c r="A3506" s="69"/>
      <c r="B3506" s="24" t="s">
        <v>844</v>
      </c>
      <c r="C3506" s="54">
        <v>46250</v>
      </c>
      <c r="D3506" s="69"/>
      <c r="E3506" s="56" t="s">
        <v>183</v>
      </c>
      <c r="F3506" s="57"/>
    </row>
    <row r="3507" spans="1:10" ht="14.25" customHeight="1" x14ac:dyDescent="0.25">
      <c r="A3507" s="69"/>
      <c r="B3507" s="24" t="s">
        <v>112</v>
      </c>
      <c r="C3507" s="55">
        <f>IF(C3506="","",IF(AND(MONTH(C3506)&gt;=1,MONTH(C3506)&lt;=3),1,IF(AND(MONTH(C3506)&gt;=4,MONTH(C3506)&lt;=6),2,IF(AND(MONTH(C3506)&gt;=7,MONTH(C3506)&lt;=9),3,4))))</f>
        <v>3</v>
      </c>
      <c r="D3507" s="69"/>
      <c r="E3507" s="56" t="s">
        <v>865</v>
      </c>
      <c r="F3507" s="57"/>
    </row>
    <row r="3509" spans="1:10" ht="14.25" customHeight="1" x14ac:dyDescent="0.25">
      <c r="A3509" s="29" t="s">
        <v>1017</v>
      </c>
      <c r="B3509" s="29" t="s">
        <v>1042</v>
      </c>
      <c r="C3509" s="29" t="s">
        <v>1011</v>
      </c>
      <c r="D3509" s="29" t="s">
        <v>985</v>
      </c>
      <c r="E3509" s="29" t="s">
        <v>449</v>
      </c>
      <c r="F3509" s="29" t="s">
        <v>989</v>
      </c>
    </row>
    <row r="3510" spans="1:10" ht="14.25" customHeight="1" x14ac:dyDescent="0.25">
      <c r="A3510" s="25" t="s">
        <v>755</v>
      </c>
      <c r="B3510" s="26" t="str">
        <f ca="1">IFERROR(INDEX(UNSPSCDes,MATCH(INDIRECT(ADDRESS(ROW(),COLUMN()-1,4)),UNSPSCCode,0)),IF(INDIRECT(ADDRESS(ROW(),COLUMN()-1,4))="46171511","Dispositivos de bloqueo",""))</f>
        <v>Dispositivos de bloqueo</v>
      </c>
      <c r="C3510" s="58" t="str">
        <f>IFERROR(VLOOKUP("UD",'Informacion '!P:Q,2,FALSE),"")</f>
        <v>Unidad</v>
      </c>
      <c r="D3510" s="25">
        <v>1</v>
      </c>
      <c r="E3510" s="28">
        <v>200000</v>
      </c>
      <c r="F3510" s="27">
        <f ca="1">INDIRECT(ADDRESS(ROW(),COLUMN()-2,4))*INDIRECT(ADDRESS(ROW(),COLUMN()-1,4))</f>
        <v>200000</v>
      </c>
    </row>
    <row r="3511" spans="1:10" ht="14.25" customHeight="1" x14ac:dyDescent="0.25">
      <c r="E3511" s="30" t="s">
        <v>816</v>
      </c>
      <c r="F3511" s="31">
        <f ca="1">SUM(Table196[MONTO TOTAL ESTIMADO])</f>
        <v>200000</v>
      </c>
      <c r="H3511" s="21" t="str">
        <f>C3503</f>
        <v>Servicios</v>
      </c>
      <c r="I3511" s="21" t="str">
        <f>E3503</f>
        <v>No</v>
      </c>
      <c r="J3511" s="21" t="str">
        <f>D3503</f>
        <v>Compras por debajo del Umbral</v>
      </c>
    </row>
    <row r="3513" spans="1:10" ht="33.950000000000003" customHeight="1" x14ac:dyDescent="0.25">
      <c r="A3513" s="22" t="s">
        <v>1051</v>
      </c>
      <c r="B3513" s="22" t="s">
        <v>11</v>
      </c>
      <c r="C3513" s="22" t="s">
        <v>751</v>
      </c>
      <c r="D3513" s="22" t="s">
        <v>930</v>
      </c>
      <c r="E3513" s="22" t="s">
        <v>699</v>
      </c>
      <c r="F3513" s="22" t="s">
        <v>710</v>
      </c>
    </row>
    <row r="3514" spans="1:10" ht="14.25" customHeight="1" x14ac:dyDescent="0.25">
      <c r="A3514" s="23" t="s">
        <v>1050</v>
      </c>
      <c r="B3514" s="23" t="s">
        <v>483</v>
      </c>
      <c r="C3514" s="23" t="s">
        <v>1155</v>
      </c>
      <c r="D3514" s="23" t="s">
        <v>1128</v>
      </c>
      <c r="E3514" s="23" t="s">
        <v>1156</v>
      </c>
      <c r="F3514" s="23"/>
    </row>
    <row r="3515" spans="1:10" ht="14.25" customHeight="1" x14ac:dyDescent="0.25">
      <c r="A3515" s="68" t="s">
        <v>965</v>
      </c>
      <c r="B3515" s="24" t="s">
        <v>543</v>
      </c>
      <c r="C3515" s="54">
        <v>46121</v>
      </c>
      <c r="D3515" s="68" t="s">
        <v>598</v>
      </c>
      <c r="E3515" s="56" t="s">
        <v>858</v>
      </c>
      <c r="F3515" s="57" t="s">
        <v>184</v>
      </c>
    </row>
    <row r="3516" spans="1:10" ht="14.25" customHeight="1" x14ac:dyDescent="0.25">
      <c r="A3516" s="69"/>
      <c r="B3516" s="24" t="s">
        <v>112</v>
      </c>
      <c r="C3516" s="55">
        <f>IF(C3515="","",IF(AND(MONTH(C3515)&gt;=1,MONTH(C3515)&lt;=3),1,IF(AND(MONTH(C3515)&gt;=4,MONTH(C3515)&lt;=6),2,IF(AND(MONTH(C3515)&gt;=7,MONTH(C3515)&lt;=9),3,4))))</f>
        <v>2</v>
      </c>
      <c r="D3516" s="69"/>
      <c r="E3516" s="56" t="s">
        <v>143</v>
      </c>
      <c r="F3516" s="57"/>
    </row>
    <row r="3517" spans="1:10" ht="14.25" customHeight="1" x14ac:dyDescent="0.25">
      <c r="A3517" s="69"/>
      <c r="B3517" s="24" t="s">
        <v>844</v>
      </c>
      <c r="C3517" s="54">
        <v>46142</v>
      </c>
      <c r="D3517" s="69"/>
      <c r="E3517" s="56" t="s">
        <v>183</v>
      </c>
      <c r="F3517" s="57"/>
    </row>
    <row r="3518" spans="1:10" ht="14.25" customHeight="1" x14ac:dyDescent="0.25">
      <c r="A3518" s="69"/>
      <c r="B3518" s="24" t="s">
        <v>112</v>
      </c>
      <c r="C3518" s="55">
        <f>IF(C3517="","",IF(AND(MONTH(C3517)&gt;=1,MONTH(C3517)&lt;=3),1,IF(AND(MONTH(C3517)&gt;=4,MONTH(C3517)&lt;=6),2,IF(AND(MONTH(C3517)&gt;=7,MONTH(C3517)&lt;=9),3,4))))</f>
        <v>2</v>
      </c>
      <c r="D3518" s="69"/>
      <c r="E3518" s="56" t="s">
        <v>865</v>
      </c>
      <c r="F3518" s="57"/>
    </row>
    <row r="3520" spans="1:10" ht="14.25" customHeight="1" x14ac:dyDescent="0.25">
      <c r="A3520" s="29" t="s">
        <v>1017</v>
      </c>
      <c r="B3520" s="29" t="s">
        <v>1042</v>
      </c>
      <c r="C3520" s="29" t="s">
        <v>1011</v>
      </c>
      <c r="D3520" s="29" t="s">
        <v>985</v>
      </c>
      <c r="E3520" s="29" t="s">
        <v>449</v>
      </c>
      <c r="F3520" s="29" t="s">
        <v>989</v>
      </c>
    </row>
    <row r="3521" spans="1:10" ht="14.25" customHeight="1" x14ac:dyDescent="0.25">
      <c r="A3521" s="25" t="s">
        <v>1197</v>
      </c>
      <c r="B3521" s="26" t="str">
        <f ca="1">IFERROR(INDEX(UNSPSCDes,MATCH(INDIRECT(ADDRESS(ROW(),COLUMN()-1,4)),UNSPSCCode,0)),IF(INDIRECT(ADDRESS(ROW(),COLUMN()-1,4))="43201807","Unidades de cintas",""))</f>
        <v>Unidades de cintas</v>
      </c>
      <c r="C3521" s="58" t="str">
        <f>IFERROR(VLOOKUP("UD",'Informacion '!P:Q,2,FALSE),"")</f>
        <v>Unidad</v>
      </c>
      <c r="D3521" s="25">
        <v>25</v>
      </c>
      <c r="E3521" s="28">
        <v>10000</v>
      </c>
      <c r="F3521" s="27">
        <f ca="1">INDIRECT(ADDRESS(ROW(),COLUMN()-2,4))*INDIRECT(ADDRESS(ROW(),COLUMN()-1,4))</f>
        <v>250000</v>
      </c>
    </row>
    <row r="3522" spans="1:10" ht="14.25" customHeight="1" x14ac:dyDescent="0.25">
      <c r="E3522" s="30" t="s">
        <v>816</v>
      </c>
      <c r="F3522" s="31">
        <f ca="1">SUM(Table197[MONTO TOTAL ESTIMADO])</f>
        <v>250000</v>
      </c>
      <c r="H3522" s="21" t="str">
        <f>C3514</f>
        <v>Bienes</v>
      </c>
      <c r="I3522" s="21" t="str">
        <f>E3514</f>
        <v>No</v>
      </c>
      <c r="J3522" s="21" t="str">
        <f>D3514</f>
        <v>Compras Menores</v>
      </c>
    </row>
    <row r="3524" spans="1:10" ht="33.950000000000003" customHeight="1" x14ac:dyDescent="0.25">
      <c r="A3524" s="22" t="s">
        <v>1051</v>
      </c>
      <c r="B3524" s="22" t="s">
        <v>11</v>
      </c>
      <c r="C3524" s="22" t="s">
        <v>751</v>
      </c>
      <c r="D3524" s="22" t="s">
        <v>930</v>
      </c>
      <c r="E3524" s="22" t="s">
        <v>699</v>
      </c>
      <c r="F3524" s="22" t="s">
        <v>710</v>
      </c>
    </row>
    <row r="3525" spans="1:10" ht="14.25" customHeight="1" x14ac:dyDescent="0.25">
      <c r="A3525" s="23" t="s">
        <v>299</v>
      </c>
      <c r="B3525" s="23" t="s">
        <v>399</v>
      </c>
      <c r="C3525" s="23" t="s">
        <v>438</v>
      </c>
      <c r="D3525" s="23" t="s">
        <v>654</v>
      </c>
      <c r="E3525" s="23" t="s">
        <v>1156</v>
      </c>
      <c r="F3525" s="23"/>
    </row>
    <row r="3526" spans="1:10" ht="14.25" customHeight="1" x14ac:dyDescent="0.25">
      <c r="A3526" s="68" t="s">
        <v>965</v>
      </c>
      <c r="B3526" s="24" t="s">
        <v>543</v>
      </c>
      <c r="C3526" s="54">
        <v>46240</v>
      </c>
      <c r="D3526" s="68" t="s">
        <v>598</v>
      </c>
      <c r="E3526" s="56" t="s">
        <v>858</v>
      </c>
      <c r="F3526" s="57" t="s">
        <v>184</v>
      </c>
    </row>
    <row r="3527" spans="1:10" ht="14.25" customHeight="1" x14ac:dyDescent="0.25">
      <c r="A3527" s="69"/>
      <c r="B3527" s="24" t="s">
        <v>112</v>
      </c>
      <c r="C3527" s="55">
        <f>IF(C3526="","",IF(AND(MONTH(C3526)&gt;=1,MONTH(C3526)&lt;=3),1,IF(AND(MONTH(C3526)&gt;=4,MONTH(C3526)&lt;=6),2,IF(AND(MONTH(C3526)&gt;=7,MONTH(C3526)&lt;=9),3,4))))</f>
        <v>3</v>
      </c>
      <c r="D3527" s="69"/>
      <c r="E3527" s="56" t="s">
        <v>143</v>
      </c>
      <c r="F3527" s="57"/>
    </row>
    <row r="3528" spans="1:10" ht="14.25" customHeight="1" x14ac:dyDescent="0.25">
      <c r="A3528" s="69"/>
      <c r="B3528" s="24" t="s">
        <v>844</v>
      </c>
      <c r="C3528" s="54">
        <v>46259</v>
      </c>
      <c r="D3528" s="69"/>
      <c r="E3528" s="56" t="s">
        <v>183</v>
      </c>
      <c r="F3528" s="57"/>
    </row>
    <row r="3529" spans="1:10" ht="14.25" customHeight="1" x14ac:dyDescent="0.25">
      <c r="A3529" s="69"/>
      <c r="B3529" s="24" t="s">
        <v>112</v>
      </c>
      <c r="C3529" s="55">
        <f>IF(C3528="","",IF(AND(MONTH(C3528)&gt;=1,MONTH(C3528)&lt;=3),1,IF(AND(MONTH(C3528)&gt;=4,MONTH(C3528)&lt;=6),2,IF(AND(MONTH(C3528)&gt;=7,MONTH(C3528)&lt;=9),3,4))))</f>
        <v>3</v>
      </c>
      <c r="D3529" s="69"/>
      <c r="E3529" s="56" t="s">
        <v>865</v>
      </c>
      <c r="F3529" s="57"/>
    </row>
    <row r="3531" spans="1:10" ht="14.25" customHeight="1" x14ac:dyDescent="0.25">
      <c r="A3531" s="29" t="s">
        <v>1017</v>
      </c>
      <c r="B3531" s="29" t="s">
        <v>1042</v>
      </c>
      <c r="C3531" s="29" t="s">
        <v>1011</v>
      </c>
      <c r="D3531" s="29" t="s">
        <v>985</v>
      </c>
      <c r="E3531" s="29" t="s">
        <v>449</v>
      </c>
      <c r="F3531" s="29" t="s">
        <v>989</v>
      </c>
    </row>
    <row r="3532" spans="1:10" ht="14.25" customHeight="1" x14ac:dyDescent="0.25">
      <c r="A3532" s="25" t="s">
        <v>993</v>
      </c>
      <c r="B3532" s="26" t="str">
        <f ca="1">IFERROR(INDEX(UNSPSCDes,MATCH(INDIRECT(ADDRESS(ROW(),COLUMN()-1,4)),UNSPSCCode,0)),IF(INDIRECT(ADDRESS(ROW(),COLUMN()-1,4))="81111812","Servicio de mantenimiento o soporte equipos de tecnología",""))</f>
        <v>Servicio de mantenimiento o soporte equipos de tecnología</v>
      </c>
      <c r="C3532" s="58" t="str">
        <f>IFERROR(VLOOKUP("UD",'Informacion '!P:Q,2,FALSE),"")</f>
        <v>Unidad</v>
      </c>
      <c r="D3532" s="25">
        <v>12</v>
      </c>
      <c r="E3532" s="28">
        <v>18000</v>
      </c>
      <c r="F3532" s="27">
        <f ca="1">INDIRECT(ADDRESS(ROW(),COLUMN()-2,4))*INDIRECT(ADDRESS(ROW(),COLUMN()-1,4))</f>
        <v>216000</v>
      </c>
    </row>
    <row r="3533" spans="1:10" ht="14.25" customHeight="1" x14ac:dyDescent="0.25">
      <c r="A3533" s="25" t="s">
        <v>993</v>
      </c>
      <c r="B3533" s="26" t="str">
        <f ca="1">IFERROR(INDEX(UNSPSCDes,MATCH(INDIRECT(ADDRESS(ROW(),COLUMN()-1,4)),UNSPSCCode,0)),IF(INDIRECT(ADDRESS(ROW(),COLUMN()-1,4))="81111812","Servicio de mantenimiento o soporte equipos de tecnología",""))</f>
        <v>Servicio de mantenimiento o soporte equipos de tecnología</v>
      </c>
      <c r="C3533" s="58" t="str">
        <f>IFERROR(VLOOKUP("UD",'Informacion '!P:Q,2,FALSE),"")</f>
        <v>Unidad</v>
      </c>
      <c r="D3533" s="25">
        <v>10</v>
      </c>
      <c r="E3533" s="28">
        <v>10000</v>
      </c>
      <c r="F3533" s="27">
        <f ca="1">INDIRECT(ADDRESS(ROW(),COLUMN()-2,4))*INDIRECT(ADDRESS(ROW(),COLUMN()-1,4))</f>
        <v>100000</v>
      </c>
    </row>
    <row r="3534" spans="1:10" ht="14.25" customHeight="1" x14ac:dyDescent="0.25">
      <c r="E3534" s="30" t="s">
        <v>816</v>
      </c>
      <c r="F3534" s="31">
        <f ca="1">SUM(Table198[MONTO TOTAL ESTIMADO])</f>
        <v>316000</v>
      </c>
      <c r="H3534" s="21" t="str">
        <f>C3525</f>
        <v>Servicios</v>
      </c>
      <c r="I3534" s="21" t="str">
        <f>E3525</f>
        <v>No</v>
      </c>
      <c r="J3534" s="21" t="str">
        <f>D3525</f>
        <v>Compras por debajo del Umbral</v>
      </c>
    </row>
    <row r="3536" spans="1:10" ht="33.950000000000003" customHeight="1" x14ac:dyDescent="0.25">
      <c r="A3536" s="22" t="s">
        <v>1051</v>
      </c>
      <c r="B3536" s="22" t="s">
        <v>11</v>
      </c>
      <c r="C3536" s="22" t="s">
        <v>751</v>
      </c>
      <c r="D3536" s="22" t="s">
        <v>930</v>
      </c>
      <c r="E3536" s="22" t="s">
        <v>699</v>
      </c>
      <c r="F3536" s="22" t="s">
        <v>710</v>
      </c>
    </row>
    <row r="3537" spans="1:10" ht="14.25" customHeight="1" x14ac:dyDescent="0.25">
      <c r="A3537" s="23" t="s">
        <v>643</v>
      </c>
      <c r="B3537" s="23" t="s">
        <v>290</v>
      </c>
      <c r="C3537" s="23" t="s">
        <v>1155</v>
      </c>
      <c r="D3537" s="23" t="s">
        <v>1128</v>
      </c>
      <c r="E3537" s="23" t="s">
        <v>1156</v>
      </c>
      <c r="F3537" s="23"/>
    </row>
    <row r="3538" spans="1:10" ht="14.25" customHeight="1" x14ac:dyDescent="0.25">
      <c r="A3538" s="68" t="s">
        <v>965</v>
      </c>
      <c r="B3538" s="24" t="s">
        <v>543</v>
      </c>
      <c r="C3538" s="54">
        <v>46336</v>
      </c>
      <c r="D3538" s="68" t="s">
        <v>598</v>
      </c>
      <c r="E3538" s="56" t="s">
        <v>858</v>
      </c>
      <c r="F3538" s="57" t="s">
        <v>184</v>
      </c>
    </row>
    <row r="3539" spans="1:10" ht="14.25" customHeight="1" x14ac:dyDescent="0.25">
      <c r="A3539" s="69"/>
      <c r="B3539" s="24" t="s">
        <v>112</v>
      </c>
      <c r="C3539" s="55">
        <f>IF(C3538="","",IF(AND(MONTH(C3538)&gt;=1,MONTH(C3538)&lt;=3),1,IF(AND(MONTH(C3538)&gt;=4,MONTH(C3538)&lt;=6),2,IF(AND(MONTH(C3538)&gt;=7,MONTH(C3538)&lt;=9),3,4))))</f>
        <v>4</v>
      </c>
      <c r="D3539" s="69"/>
      <c r="E3539" s="56" t="s">
        <v>143</v>
      </c>
      <c r="F3539" s="57"/>
    </row>
    <row r="3540" spans="1:10" ht="14.25" customHeight="1" x14ac:dyDescent="0.25">
      <c r="A3540" s="69"/>
      <c r="B3540" s="24" t="s">
        <v>844</v>
      </c>
      <c r="C3540" s="54">
        <v>46343</v>
      </c>
      <c r="D3540" s="69"/>
      <c r="E3540" s="56" t="s">
        <v>183</v>
      </c>
      <c r="F3540" s="57"/>
    </row>
    <row r="3541" spans="1:10" ht="14.25" customHeight="1" x14ac:dyDescent="0.25">
      <c r="A3541" s="69"/>
      <c r="B3541" s="24" t="s">
        <v>112</v>
      </c>
      <c r="C3541" s="55">
        <f>IF(C3540="","",IF(AND(MONTH(C3540)&gt;=1,MONTH(C3540)&lt;=3),1,IF(AND(MONTH(C3540)&gt;=4,MONTH(C3540)&lt;=6),2,IF(AND(MONTH(C3540)&gt;=7,MONTH(C3540)&lt;=9),3,4))))</f>
        <v>4</v>
      </c>
      <c r="D3541" s="69"/>
      <c r="E3541" s="56" t="s">
        <v>865</v>
      </c>
      <c r="F3541" s="57"/>
    </row>
    <row r="3543" spans="1:10" ht="14.25" customHeight="1" x14ac:dyDescent="0.25">
      <c r="A3543" s="29" t="s">
        <v>1017</v>
      </c>
      <c r="B3543" s="29" t="s">
        <v>1042</v>
      </c>
      <c r="C3543" s="29" t="s">
        <v>1011</v>
      </c>
      <c r="D3543" s="29" t="s">
        <v>985</v>
      </c>
      <c r="E3543" s="29" t="s">
        <v>449</v>
      </c>
      <c r="F3543" s="29" t="s">
        <v>989</v>
      </c>
    </row>
    <row r="3544" spans="1:10" ht="14.25" customHeight="1" x14ac:dyDescent="0.25">
      <c r="A3544" s="25" t="s">
        <v>935</v>
      </c>
      <c r="B3544" s="26" t="str">
        <f ca="1">IFERROR(INDEX(UNSPSCDes,MATCH(INDIRECT(ADDRESS(ROW(),COLUMN()-1,4)),UNSPSCCode,0)),IF(INDIRECT(ADDRESS(ROW(),COLUMN()-1,4))="24101504","Carretones de mano o accesorios",""))</f>
        <v>Carretones de mano o accesorios</v>
      </c>
      <c r="C3544" s="58" t="str">
        <f>IFERROR(VLOOKUP("UD",'Informacion '!P:Q,2,FALSE),"")</f>
        <v>Unidad</v>
      </c>
      <c r="D3544" s="25">
        <v>10</v>
      </c>
      <c r="E3544" s="28">
        <v>25800</v>
      </c>
      <c r="F3544" s="27">
        <f ca="1">INDIRECT(ADDRESS(ROW(),COLUMN()-2,4))*INDIRECT(ADDRESS(ROW(),COLUMN()-1,4))</f>
        <v>258000</v>
      </c>
    </row>
    <row r="3545" spans="1:10" ht="14.25" customHeight="1" x14ac:dyDescent="0.25">
      <c r="E3545" s="30" t="s">
        <v>816</v>
      </c>
      <c r="F3545" s="31">
        <f ca="1">SUM(Table199[MONTO TOTAL ESTIMADO])</f>
        <v>258000</v>
      </c>
      <c r="H3545" s="21" t="str">
        <f>C3537</f>
        <v>Bienes</v>
      </c>
      <c r="I3545" s="21" t="str">
        <f>E3537</f>
        <v>No</v>
      </c>
      <c r="J3545" s="21" t="str">
        <f>D3537</f>
        <v>Compras Menores</v>
      </c>
    </row>
    <row r="3547" spans="1:10" ht="33.950000000000003" customHeight="1" x14ac:dyDescent="0.25">
      <c r="A3547" s="22" t="s">
        <v>1051</v>
      </c>
      <c r="B3547" s="22" t="s">
        <v>11</v>
      </c>
      <c r="C3547" s="22" t="s">
        <v>751</v>
      </c>
      <c r="D3547" s="22" t="s">
        <v>930</v>
      </c>
      <c r="E3547" s="22" t="s">
        <v>699</v>
      </c>
      <c r="F3547" s="22" t="s">
        <v>710</v>
      </c>
    </row>
    <row r="3548" spans="1:10" ht="14.25" customHeight="1" x14ac:dyDescent="0.25">
      <c r="A3548" s="23" t="s">
        <v>148</v>
      </c>
      <c r="B3548" s="23" t="s">
        <v>148</v>
      </c>
      <c r="C3548" s="23" t="s">
        <v>1155</v>
      </c>
      <c r="D3548" s="23" t="s">
        <v>654</v>
      </c>
      <c r="E3548" s="23" t="s">
        <v>1156</v>
      </c>
      <c r="F3548" s="23"/>
    </row>
    <row r="3549" spans="1:10" ht="14.25" customHeight="1" x14ac:dyDescent="0.25">
      <c r="A3549" s="68" t="s">
        <v>965</v>
      </c>
      <c r="B3549" s="24" t="s">
        <v>543</v>
      </c>
      <c r="C3549" s="54">
        <v>46245</v>
      </c>
      <c r="D3549" s="68" t="s">
        <v>598</v>
      </c>
      <c r="E3549" s="56" t="s">
        <v>858</v>
      </c>
      <c r="F3549" s="57" t="s">
        <v>184</v>
      </c>
    </row>
    <row r="3550" spans="1:10" ht="14.25" customHeight="1" x14ac:dyDescent="0.25">
      <c r="A3550" s="69"/>
      <c r="B3550" s="24" t="s">
        <v>112</v>
      </c>
      <c r="C3550" s="55">
        <f>IF(C3549="","",IF(AND(MONTH(C3549)&gt;=1,MONTH(C3549)&lt;=3),1,IF(AND(MONTH(C3549)&gt;=4,MONTH(C3549)&lt;=6),2,IF(AND(MONTH(C3549)&gt;=7,MONTH(C3549)&lt;=9),3,4))))</f>
        <v>3</v>
      </c>
      <c r="D3550" s="69"/>
      <c r="E3550" s="56" t="s">
        <v>143</v>
      </c>
      <c r="F3550" s="57"/>
    </row>
    <row r="3551" spans="1:10" ht="14.25" customHeight="1" x14ac:dyDescent="0.25">
      <c r="A3551" s="69"/>
      <c r="B3551" s="24" t="s">
        <v>844</v>
      </c>
      <c r="C3551" s="54">
        <v>46252</v>
      </c>
      <c r="D3551" s="69"/>
      <c r="E3551" s="56" t="s">
        <v>183</v>
      </c>
      <c r="F3551" s="57"/>
    </row>
    <row r="3552" spans="1:10" ht="14.25" customHeight="1" x14ac:dyDescent="0.25">
      <c r="A3552" s="69"/>
      <c r="B3552" s="24" t="s">
        <v>112</v>
      </c>
      <c r="C3552" s="55">
        <f>IF(C3551="","",IF(AND(MONTH(C3551)&gt;=1,MONTH(C3551)&lt;=3),1,IF(AND(MONTH(C3551)&gt;=4,MONTH(C3551)&lt;=6),2,IF(AND(MONTH(C3551)&gt;=7,MONTH(C3551)&lt;=9),3,4))))</f>
        <v>3</v>
      </c>
      <c r="D3552" s="69"/>
      <c r="E3552" s="56" t="s">
        <v>865</v>
      </c>
      <c r="F3552" s="57"/>
    </row>
    <row r="3554" spans="1:10" ht="14.25" customHeight="1" x14ac:dyDescent="0.25">
      <c r="A3554" s="29" t="s">
        <v>1017</v>
      </c>
      <c r="B3554" s="29" t="s">
        <v>1042</v>
      </c>
      <c r="C3554" s="29" t="s">
        <v>1011</v>
      </c>
      <c r="D3554" s="29" t="s">
        <v>985</v>
      </c>
      <c r="E3554" s="29" t="s">
        <v>449</v>
      </c>
      <c r="F3554" s="29" t="s">
        <v>989</v>
      </c>
    </row>
    <row r="3555" spans="1:10" ht="14.25" customHeight="1" x14ac:dyDescent="0.25">
      <c r="A3555" s="25" t="s">
        <v>636</v>
      </c>
      <c r="B3555" s="26" t="str">
        <f ca="1">IFERROR(INDEX(UNSPSCDes,MATCH(INDIRECT(ADDRESS(ROW(),COLUMN()-1,4)),UNSPSCCode,0)),IF(INDIRECT(ADDRESS(ROW(),COLUMN()-1,4))="44103105","Cartuchos de tinta",""))</f>
        <v>Cartuchos de tinta</v>
      </c>
      <c r="C3555" s="58" t="str">
        <f>IFERROR(VLOOKUP("UD",'Informacion '!P:Q,2,FALSE),"")</f>
        <v>Unidad</v>
      </c>
      <c r="D3555" s="25">
        <v>22</v>
      </c>
      <c r="E3555" s="28">
        <v>9500</v>
      </c>
      <c r="F3555" s="27">
        <f ca="1">INDIRECT(ADDRESS(ROW(),COLUMN()-2,4))*INDIRECT(ADDRESS(ROW(),COLUMN()-1,4))</f>
        <v>209000</v>
      </c>
    </row>
    <row r="3556" spans="1:10" ht="14.25" customHeight="1" x14ac:dyDescent="0.25">
      <c r="E3556" s="30" t="s">
        <v>816</v>
      </c>
      <c r="F3556" s="31">
        <f ca="1">SUM(Table200[MONTO TOTAL ESTIMADO])</f>
        <v>209000</v>
      </c>
      <c r="H3556" s="21" t="str">
        <f>C3548</f>
        <v>Bienes</v>
      </c>
      <c r="I3556" s="21" t="str">
        <f>E3548</f>
        <v>No</v>
      </c>
      <c r="J3556" s="21" t="str">
        <f>D3548</f>
        <v>Compras por debajo del Umbral</v>
      </c>
    </row>
    <row r="3558" spans="1:10" ht="33.950000000000003" customHeight="1" x14ac:dyDescent="0.25">
      <c r="A3558" s="22" t="s">
        <v>1051</v>
      </c>
      <c r="B3558" s="22" t="s">
        <v>11</v>
      </c>
      <c r="C3558" s="22" t="s">
        <v>751</v>
      </c>
      <c r="D3558" s="22" t="s">
        <v>930</v>
      </c>
      <c r="E3558" s="22" t="s">
        <v>699</v>
      </c>
      <c r="F3558" s="22" t="s">
        <v>710</v>
      </c>
    </row>
    <row r="3559" spans="1:10" ht="14.25" customHeight="1" x14ac:dyDescent="0.25">
      <c r="A3559" s="23" t="s">
        <v>565</v>
      </c>
      <c r="B3559" s="23" t="s">
        <v>565</v>
      </c>
      <c r="C3559" s="23" t="s">
        <v>1155</v>
      </c>
      <c r="D3559" s="23" t="s">
        <v>116</v>
      </c>
      <c r="E3559" s="23" t="s">
        <v>1156</v>
      </c>
      <c r="F3559" s="23" t="s">
        <v>436</v>
      </c>
    </row>
    <row r="3560" spans="1:10" ht="14.25" customHeight="1" x14ac:dyDescent="0.25">
      <c r="A3560" s="68" t="s">
        <v>965</v>
      </c>
      <c r="B3560" s="24" t="s">
        <v>543</v>
      </c>
      <c r="C3560" s="54">
        <v>46065</v>
      </c>
      <c r="D3560" s="68" t="s">
        <v>598</v>
      </c>
      <c r="E3560" s="56" t="s">
        <v>858</v>
      </c>
      <c r="F3560" s="57"/>
    </row>
    <row r="3561" spans="1:10" ht="14.25" customHeight="1" x14ac:dyDescent="0.25">
      <c r="A3561" s="69"/>
      <c r="B3561" s="24" t="s">
        <v>112</v>
      </c>
      <c r="C3561" s="55">
        <f>IF(C3560="","",IF(AND(MONTH(C3560)&gt;=1,MONTH(C3560)&lt;=3),1,IF(AND(MONTH(C3560)&gt;=4,MONTH(C3560)&lt;=6),2,IF(AND(MONTH(C3560)&gt;=7,MONTH(C3560)&lt;=9),3,4))))</f>
        <v>1</v>
      </c>
      <c r="D3561" s="69"/>
      <c r="E3561" s="56" t="s">
        <v>143</v>
      </c>
      <c r="F3561" s="57"/>
    </row>
    <row r="3562" spans="1:10" ht="14.25" customHeight="1" x14ac:dyDescent="0.25">
      <c r="A3562" s="69"/>
      <c r="B3562" s="24" t="s">
        <v>844</v>
      </c>
      <c r="C3562" s="54">
        <v>46111</v>
      </c>
      <c r="D3562" s="69"/>
      <c r="E3562" s="56" t="s">
        <v>183</v>
      </c>
      <c r="F3562" s="57"/>
    </row>
    <row r="3563" spans="1:10" ht="14.25" customHeight="1" x14ac:dyDescent="0.25">
      <c r="A3563" s="69"/>
      <c r="B3563" s="24" t="s">
        <v>112</v>
      </c>
      <c r="C3563" s="55">
        <f>IF(C3562="","",IF(AND(MONTH(C3562)&gt;=1,MONTH(C3562)&lt;=3),1,IF(AND(MONTH(C3562)&gt;=4,MONTH(C3562)&lt;=6),2,IF(AND(MONTH(C3562)&gt;=7,MONTH(C3562)&lt;=9),3,4))))</f>
        <v>1</v>
      </c>
      <c r="D3563" s="69"/>
      <c r="E3563" s="56" t="s">
        <v>865</v>
      </c>
      <c r="F3563" s="57"/>
    </row>
    <row r="3565" spans="1:10" ht="14.25" customHeight="1" x14ac:dyDescent="0.25">
      <c r="A3565" s="29" t="s">
        <v>1017</v>
      </c>
      <c r="B3565" s="29" t="s">
        <v>1042</v>
      </c>
      <c r="C3565" s="29" t="s">
        <v>1011</v>
      </c>
      <c r="D3565" s="29" t="s">
        <v>985</v>
      </c>
      <c r="E3565" s="29" t="s">
        <v>449</v>
      </c>
      <c r="F3565" s="29" t="s">
        <v>989</v>
      </c>
    </row>
    <row r="3566" spans="1:10" ht="14.25" customHeight="1" x14ac:dyDescent="0.25">
      <c r="A3566" s="25" t="s">
        <v>347</v>
      </c>
      <c r="B3566" s="26" t="str">
        <f ca="1">IFERROR(INDEX(UNSPSCDes,MATCH(INDIRECT(ADDRESS(ROW(),COLUMN()-1,4)),UNSPSCCode,0)),IF(INDIRECT(ADDRESS(ROW(),COLUMN()-1,4))="46161508","Conos o delineadores de tráfico",""))</f>
        <v>Conos o delineadores de tráfico</v>
      </c>
      <c r="C3566" s="58" t="str">
        <f>IFERROR(VLOOKUP("UD",'Informacion '!P:Q,2,FALSE),"")</f>
        <v>Unidad</v>
      </c>
      <c r="D3566" s="25">
        <v>30</v>
      </c>
      <c r="E3566" s="28">
        <v>2300</v>
      </c>
      <c r="F3566" s="27">
        <f t="shared" ref="F3566:F3597" ca="1" si="107">INDIRECT(ADDRESS(ROW(),COLUMN()-2,4))*INDIRECT(ADDRESS(ROW(),COLUMN()-1,4))</f>
        <v>69000</v>
      </c>
    </row>
    <row r="3567" spans="1:10" ht="14.25" customHeight="1" x14ac:dyDescent="0.25">
      <c r="A3567" s="25" t="s">
        <v>704</v>
      </c>
      <c r="B3567" s="26" t="str">
        <f ca="1">IFERROR(INDEX(UNSPSCDes,MATCH(INDIRECT(ADDRESS(ROW(),COLUMN()-1,4)),UNSPSCCode,0)),IF(INDIRECT(ADDRESS(ROW(),COLUMN()-1,4))="55121704","Señales de seguridad",""))</f>
        <v>Señales de seguridad</v>
      </c>
      <c r="C3567" s="58" t="str">
        <f>IFERROR(VLOOKUP("UD",'Informacion '!P:Q,2,FALSE),"")</f>
        <v>Unidad</v>
      </c>
      <c r="D3567" s="25">
        <v>100</v>
      </c>
      <c r="E3567" s="28">
        <v>300</v>
      </c>
      <c r="F3567" s="27">
        <f t="shared" ca="1" si="107"/>
        <v>30000</v>
      </c>
    </row>
    <row r="3568" spans="1:10" ht="14.25" customHeight="1" x14ac:dyDescent="0.25">
      <c r="A3568" s="25" t="s">
        <v>141</v>
      </c>
      <c r="B3568" s="26" t="str">
        <f ca="1">IFERROR(INDEX(UNSPSCDes,MATCH(INDIRECT(ADDRESS(ROW(),COLUMN()-1,4)),UNSPSCCode,0)),IF(INDIRECT(ADDRESS(ROW(),COLUMN()-1,4))="30131501","Bloques de cemento",""))</f>
        <v>Bloques de cemento</v>
      </c>
      <c r="C3568" s="58" t="str">
        <f>IFERROR(VLOOKUP("UD",'Informacion '!P:Q,2,FALSE),"")</f>
        <v>Unidad</v>
      </c>
      <c r="D3568" s="25">
        <v>12</v>
      </c>
      <c r="E3568" s="28">
        <v>2200</v>
      </c>
      <c r="F3568" s="27">
        <f t="shared" ca="1" si="107"/>
        <v>26400</v>
      </c>
    </row>
    <row r="3569" spans="1:6" ht="14.25" customHeight="1" x14ac:dyDescent="0.25">
      <c r="A3569" s="25" t="s">
        <v>639</v>
      </c>
      <c r="B3569" s="26" t="str">
        <f ca="1">IFERROR(INDEX(UNSPSCDes,MATCH(INDIRECT(ADDRESS(ROW(),COLUMN()-1,4)),UNSPSCCode,0)),IF(INDIRECT(ADDRESS(ROW(),COLUMN()-1,4))="46171609","Espejos convexos de seguridad",""))</f>
        <v>Espejos convexos de seguridad</v>
      </c>
      <c r="C3569" s="58" t="str">
        <f>IFERROR(VLOOKUP("UD",'Informacion '!P:Q,2,FALSE),"")</f>
        <v>Unidad</v>
      </c>
      <c r="D3569" s="25">
        <v>5</v>
      </c>
      <c r="E3569" s="28">
        <v>2000</v>
      </c>
      <c r="F3569" s="27">
        <f t="shared" ca="1" si="107"/>
        <v>10000</v>
      </c>
    </row>
    <row r="3570" spans="1:6" ht="14.25" customHeight="1" x14ac:dyDescent="0.25">
      <c r="A3570" s="25" t="s">
        <v>616</v>
      </c>
      <c r="B3570" s="26" t="str">
        <f ca="1">IFERROR(INDEX(UNSPSCDes,MATCH(INDIRECT(ADDRESS(ROW(),COLUMN()-1,4)),UNSPSCCode,0)),IF(INDIRECT(ADDRESS(ROW(),COLUMN()-1,4))="11151608","Hebra de nylon",""))</f>
        <v>Hebra de nylon</v>
      </c>
      <c r="C3570" s="58" t="str">
        <f>IFERROR(VLOOKUP("UD",'Informacion '!P:Q,2,FALSE),"")</f>
        <v>Unidad</v>
      </c>
      <c r="D3570" s="25">
        <v>2</v>
      </c>
      <c r="E3570" s="28">
        <v>4500</v>
      </c>
      <c r="F3570" s="27">
        <f t="shared" ca="1" si="107"/>
        <v>9000</v>
      </c>
    </row>
    <row r="3571" spans="1:6" ht="14.25" customHeight="1" x14ac:dyDescent="0.25">
      <c r="A3571" s="25" t="s">
        <v>197</v>
      </c>
      <c r="B3571" s="26" t="str">
        <f ca="1">IFERROR(INDEX(UNSPSCDes,MATCH(INDIRECT(ADDRESS(ROW(),COLUMN()-1,4)),UNSPSCCode,0)),IF(INDIRECT(ADDRESS(ROW(),COLUMN()-1,4))="31261601","Envoltorios o recubrimientos de plástico",""))</f>
        <v>Envoltorios o recubrimientos de plástico</v>
      </c>
      <c r="C3571" s="58" t="str">
        <f>IFERROR(VLOOKUP("UD",'Informacion '!P:Q,2,FALSE),"")</f>
        <v>Unidad</v>
      </c>
      <c r="D3571" s="25">
        <v>25</v>
      </c>
      <c r="E3571" s="28">
        <v>2800</v>
      </c>
      <c r="F3571" s="27">
        <f t="shared" ca="1" si="107"/>
        <v>70000</v>
      </c>
    </row>
    <row r="3572" spans="1:6" ht="14.25" customHeight="1" x14ac:dyDescent="0.25">
      <c r="A3572" s="25" t="s">
        <v>90</v>
      </c>
      <c r="B3572" s="26" t="str">
        <f ca="1">IFERROR(INDEX(UNSPSCDes,MATCH(INDIRECT(ADDRESS(ROW(),COLUMN()-1,4)),UNSPSCCode,0)),IF(INDIRECT(ADDRESS(ROW(),COLUMN()-1,4))="30222058","Estación de bombeo",""))</f>
        <v>Estación de bombeo</v>
      </c>
      <c r="C3572" s="58" t="str">
        <f>IFERROR(VLOOKUP("UD",'Informacion '!P:Q,2,FALSE),"")</f>
        <v>Unidad</v>
      </c>
      <c r="D3572" s="25">
        <v>15</v>
      </c>
      <c r="E3572" s="28">
        <v>2500</v>
      </c>
      <c r="F3572" s="27">
        <f t="shared" ca="1" si="107"/>
        <v>37500</v>
      </c>
    </row>
    <row r="3573" spans="1:6" ht="14.25" customHeight="1" x14ac:dyDescent="0.25">
      <c r="A3573" s="25" t="s">
        <v>311</v>
      </c>
      <c r="B3573" s="26" t="str">
        <f ca="1">IFERROR(INDEX(UNSPSCDes,MATCH(INDIRECT(ADDRESS(ROW(),COLUMN()-1,4)),UNSPSCCode,0)),IF(INDIRECT(ADDRESS(ROW(),COLUMN()-1,4))="15121501","Aceite motor",""))</f>
        <v>Aceite motor</v>
      </c>
      <c r="C3573" s="58" t="str">
        <f>IFERROR(VLOOKUP("UD",'Informacion '!P:Q,2,FALSE),"")</f>
        <v>Unidad</v>
      </c>
      <c r="D3573" s="25">
        <v>50</v>
      </c>
      <c r="E3573" s="28">
        <v>1800</v>
      </c>
      <c r="F3573" s="27">
        <f t="shared" ca="1" si="107"/>
        <v>90000</v>
      </c>
    </row>
    <row r="3574" spans="1:6" ht="14.25" customHeight="1" x14ac:dyDescent="0.25">
      <c r="A3574" s="25" t="s">
        <v>542</v>
      </c>
      <c r="B3574" s="26" t="str">
        <f ca="1">IFERROR(INDEX(UNSPSCDes,MATCH(INDIRECT(ADDRESS(ROW(),COLUMN()-1,4)),UNSPSCCode,0)),IF(INDIRECT(ADDRESS(ROW(),COLUMN()-1,4))="24101612","Gatos",""))</f>
        <v>Gatos</v>
      </c>
      <c r="C3574" s="58" t="str">
        <f>IFERROR(VLOOKUP("UD",'Informacion '!P:Q,2,FALSE),"")</f>
        <v>Unidad</v>
      </c>
      <c r="D3574" s="25">
        <v>10</v>
      </c>
      <c r="E3574" s="28">
        <v>4500</v>
      </c>
      <c r="F3574" s="27">
        <f t="shared" ca="1" si="107"/>
        <v>45000</v>
      </c>
    </row>
    <row r="3575" spans="1:6" ht="14.25" customHeight="1" x14ac:dyDescent="0.25">
      <c r="A3575" s="25" t="s">
        <v>542</v>
      </c>
      <c r="B3575" s="26" t="str">
        <f ca="1">IFERROR(INDEX(UNSPSCDes,MATCH(INDIRECT(ADDRESS(ROW(),COLUMN()-1,4)),UNSPSCCode,0)),IF(INDIRECT(ADDRESS(ROW(),COLUMN()-1,4))="24101612","Gatos",""))</f>
        <v>Gatos</v>
      </c>
      <c r="C3575" s="58" t="str">
        <f>IFERROR(VLOOKUP("UD",'Informacion '!P:Q,2,FALSE),"")</f>
        <v>Unidad</v>
      </c>
      <c r="D3575" s="25">
        <v>20</v>
      </c>
      <c r="E3575" s="28">
        <v>1800</v>
      </c>
      <c r="F3575" s="27">
        <f t="shared" ca="1" si="107"/>
        <v>36000</v>
      </c>
    </row>
    <row r="3576" spans="1:6" ht="14.25" customHeight="1" x14ac:dyDescent="0.25">
      <c r="A3576" s="25" t="s">
        <v>790</v>
      </c>
      <c r="B3576" s="26" t="str">
        <f ca="1">IFERROR(INDEX(UNSPSCDes,MATCH(INDIRECT(ADDRESS(ROW(),COLUMN()-1,4)),UNSPSCCode,0)),IF(INDIRECT(ADDRESS(ROW(),COLUMN()-1,4))="26111711","Baterías de litio",""))</f>
        <v>Baterías de litio</v>
      </c>
      <c r="C3576" s="58" t="str">
        <f>IFERROR(VLOOKUP("UD",'Informacion '!P:Q,2,FALSE),"")</f>
        <v>Unidad</v>
      </c>
      <c r="D3576" s="25">
        <v>30</v>
      </c>
      <c r="E3576" s="28">
        <v>200</v>
      </c>
      <c r="F3576" s="27">
        <f t="shared" ca="1" si="107"/>
        <v>6000</v>
      </c>
    </row>
    <row r="3577" spans="1:6" ht="14.25" customHeight="1" x14ac:dyDescent="0.25">
      <c r="A3577" s="25" t="s">
        <v>790</v>
      </c>
      <c r="B3577" s="26" t="str">
        <f ca="1">IFERROR(INDEX(UNSPSCDes,MATCH(INDIRECT(ADDRESS(ROW(),COLUMN()-1,4)),UNSPSCCode,0)),IF(INDIRECT(ADDRESS(ROW(),COLUMN()-1,4))="26111711","Baterías de litio",""))</f>
        <v>Baterías de litio</v>
      </c>
      <c r="C3577" s="58" t="str">
        <f>IFERROR(VLOOKUP("UD",'Informacion '!P:Q,2,FALSE),"")</f>
        <v>Unidad</v>
      </c>
      <c r="D3577" s="25">
        <v>50</v>
      </c>
      <c r="E3577" s="28">
        <v>200</v>
      </c>
      <c r="F3577" s="27">
        <f t="shared" ca="1" si="107"/>
        <v>10000</v>
      </c>
    </row>
    <row r="3578" spans="1:6" ht="14.25" customHeight="1" x14ac:dyDescent="0.25">
      <c r="A3578" s="25" t="s">
        <v>790</v>
      </c>
      <c r="B3578" s="26" t="str">
        <f ca="1">IFERROR(INDEX(UNSPSCDes,MATCH(INDIRECT(ADDRESS(ROW(),COLUMN()-1,4)),UNSPSCCode,0)),IF(INDIRECT(ADDRESS(ROW(),COLUMN()-1,4))="26111711","Baterías de litio",""))</f>
        <v>Baterías de litio</v>
      </c>
      <c r="C3578" s="58" t="str">
        <f>IFERROR(VLOOKUP("UD",'Informacion '!P:Q,2,FALSE),"")</f>
        <v>Unidad</v>
      </c>
      <c r="D3578" s="25">
        <v>30</v>
      </c>
      <c r="E3578" s="28">
        <v>200</v>
      </c>
      <c r="F3578" s="27">
        <f t="shared" ca="1" si="107"/>
        <v>6000</v>
      </c>
    </row>
    <row r="3579" spans="1:6" ht="14.25" customHeight="1" x14ac:dyDescent="0.25">
      <c r="A3579" s="25" t="s">
        <v>932</v>
      </c>
      <c r="B3579" s="26" t="str">
        <f ca="1">IFERROR(INDEX(UNSPSCDes,MATCH(INDIRECT(ADDRESS(ROW(),COLUMN()-1,4)),UNSPSCCode,0)),IF(INDIRECT(ADDRESS(ROW(),COLUMN()-1,4))="41113630","Multímetros",""))</f>
        <v>Multímetros</v>
      </c>
      <c r="C3579" s="58" t="str">
        <f>IFERROR(VLOOKUP("UD",'Informacion '!P:Q,2,FALSE),"")</f>
        <v>Unidad</v>
      </c>
      <c r="D3579" s="25">
        <v>2</v>
      </c>
      <c r="E3579" s="28">
        <v>14000</v>
      </c>
      <c r="F3579" s="27">
        <f t="shared" ca="1" si="107"/>
        <v>28000</v>
      </c>
    </row>
    <row r="3580" spans="1:6" ht="14.25" customHeight="1" x14ac:dyDescent="0.25">
      <c r="A3580" s="25" t="s">
        <v>311</v>
      </c>
      <c r="B3580" s="26" t="str">
        <f ca="1">IFERROR(INDEX(UNSPSCDes,MATCH(INDIRECT(ADDRESS(ROW(),COLUMN()-1,4)),UNSPSCCode,0)),IF(INDIRECT(ADDRESS(ROW(),COLUMN()-1,4))="15121501","Aceite motor",""))</f>
        <v>Aceite motor</v>
      </c>
      <c r="C3580" s="58" t="str">
        <f>IFERROR(VLOOKUP("UD",'Informacion '!P:Q,2,FALSE),"")</f>
        <v>Unidad</v>
      </c>
      <c r="D3580" s="25">
        <v>50</v>
      </c>
      <c r="E3580" s="28">
        <v>600</v>
      </c>
      <c r="F3580" s="27">
        <f t="shared" ca="1" si="107"/>
        <v>30000</v>
      </c>
    </row>
    <row r="3581" spans="1:6" ht="14.25" customHeight="1" x14ac:dyDescent="0.25">
      <c r="A3581" s="25" t="s">
        <v>1067</v>
      </c>
      <c r="B3581" s="26" t="str">
        <f ca="1">IFERROR(INDEX(UNSPSCDes,MATCH(INDIRECT(ADDRESS(ROW(),COLUMN()-1,4)),UNSPSCCode,0)),IF(INDIRECT(ADDRESS(ROW(),COLUMN()-1,4))="25174004","Refrigerante de motor",""))</f>
        <v>Refrigerante de motor</v>
      </c>
      <c r="C3581" s="58" t="str">
        <f>IFERROR(VLOOKUP("UD",'Informacion '!P:Q,2,FALSE),"")</f>
        <v>Unidad</v>
      </c>
      <c r="D3581" s="25">
        <v>20</v>
      </c>
      <c r="E3581" s="28">
        <v>900</v>
      </c>
      <c r="F3581" s="27">
        <f t="shared" ca="1" si="107"/>
        <v>18000</v>
      </c>
    </row>
    <row r="3582" spans="1:6" ht="14.25" customHeight="1" x14ac:dyDescent="0.25">
      <c r="A3582" s="25" t="s">
        <v>510</v>
      </c>
      <c r="B3582" s="26" t="str">
        <f ca="1">IFERROR(INDEX(UNSPSCDes,MATCH(INDIRECT(ADDRESS(ROW(),COLUMN()-1,4)),UNSPSCCode,0)),IF(INDIRECT(ADDRESS(ROW(),COLUMN()-1,4))="40142312","Conexión de expansión de tubería",""))</f>
        <v>Conexión de expansión de tubería</v>
      </c>
      <c r="C3582" s="58" t="str">
        <f>IFERROR(VLOOKUP("UD",'Informacion '!P:Q,2,FALSE),"")</f>
        <v>Unidad</v>
      </c>
      <c r="D3582" s="25">
        <v>10</v>
      </c>
      <c r="E3582" s="28">
        <v>9500</v>
      </c>
      <c r="F3582" s="27">
        <f t="shared" ca="1" si="107"/>
        <v>95000</v>
      </c>
    </row>
    <row r="3583" spans="1:6" ht="14.25" customHeight="1" x14ac:dyDescent="0.25">
      <c r="A3583" s="25" t="s">
        <v>509</v>
      </c>
      <c r="B3583" s="26" t="str">
        <f ca="1">IFERROR(INDEX(UNSPSCDes,MATCH(INDIRECT(ADDRESS(ROW(),COLUMN()-1,4)),UNSPSCCode,0)),IF(INDIRECT(ADDRESS(ROW(),COLUMN()-1,4))="27113202","Kit de herramientas para ajustar rodamiento",""))</f>
        <v>Kit de herramientas para ajustar rodamiento</v>
      </c>
      <c r="C3583" s="58" t="str">
        <f>IFERROR(VLOOKUP("UD",'Informacion '!P:Q,2,FALSE),"")</f>
        <v>Unidad</v>
      </c>
      <c r="D3583" s="25">
        <v>8</v>
      </c>
      <c r="E3583" s="28">
        <v>3500</v>
      </c>
      <c r="F3583" s="27">
        <f t="shared" ca="1" si="107"/>
        <v>28000</v>
      </c>
    </row>
    <row r="3584" spans="1:6" ht="14.25" customHeight="1" x14ac:dyDescent="0.25">
      <c r="A3584" s="25" t="s">
        <v>509</v>
      </c>
      <c r="B3584" s="26" t="str">
        <f ca="1">IFERROR(INDEX(UNSPSCDes,MATCH(INDIRECT(ADDRESS(ROW(),COLUMN()-1,4)),UNSPSCCode,0)),IF(INDIRECT(ADDRESS(ROW(),COLUMN()-1,4))="27113202","Kit de herramientas para ajustar rodamiento",""))</f>
        <v>Kit de herramientas para ajustar rodamiento</v>
      </c>
      <c r="C3584" s="58" t="str">
        <f>IFERROR(VLOOKUP("UD",'Informacion '!P:Q,2,FALSE),"")</f>
        <v>Unidad</v>
      </c>
      <c r="D3584" s="25">
        <v>5</v>
      </c>
      <c r="E3584" s="28">
        <v>3000</v>
      </c>
      <c r="F3584" s="27">
        <f t="shared" ca="1" si="107"/>
        <v>15000</v>
      </c>
    </row>
    <row r="3585" spans="1:6" ht="14.25" customHeight="1" x14ac:dyDescent="0.25">
      <c r="A3585" s="25" t="s">
        <v>509</v>
      </c>
      <c r="B3585" s="26" t="str">
        <f ca="1">IFERROR(INDEX(UNSPSCDes,MATCH(INDIRECT(ADDRESS(ROW(),COLUMN()-1,4)),UNSPSCCode,0)),IF(INDIRECT(ADDRESS(ROW(),COLUMN()-1,4))="27113202","Kit de herramientas para ajustar rodamiento",""))</f>
        <v>Kit de herramientas para ajustar rodamiento</v>
      </c>
      <c r="C3585" s="58" t="str">
        <f>IFERROR(VLOOKUP("UD",'Informacion '!P:Q,2,FALSE),"")</f>
        <v>Unidad</v>
      </c>
      <c r="D3585" s="25">
        <v>5</v>
      </c>
      <c r="E3585" s="28">
        <v>2500</v>
      </c>
      <c r="F3585" s="27">
        <f t="shared" ca="1" si="107"/>
        <v>12500</v>
      </c>
    </row>
    <row r="3586" spans="1:6" ht="14.25" customHeight="1" x14ac:dyDescent="0.25">
      <c r="A3586" s="25" t="s">
        <v>509</v>
      </c>
      <c r="B3586" s="26" t="str">
        <f ca="1">IFERROR(INDEX(UNSPSCDes,MATCH(INDIRECT(ADDRESS(ROW(),COLUMN()-1,4)),UNSPSCCode,0)),IF(INDIRECT(ADDRESS(ROW(),COLUMN()-1,4))="27113202","Kit de herramientas para ajustar rodamiento",""))</f>
        <v>Kit de herramientas para ajustar rodamiento</v>
      </c>
      <c r="C3586" s="58" t="str">
        <f>IFERROR(VLOOKUP("UD",'Informacion '!P:Q,2,FALSE),"")</f>
        <v>Unidad</v>
      </c>
      <c r="D3586" s="25">
        <v>8</v>
      </c>
      <c r="E3586" s="28">
        <v>2500</v>
      </c>
      <c r="F3586" s="27">
        <f t="shared" ca="1" si="107"/>
        <v>20000</v>
      </c>
    </row>
    <row r="3587" spans="1:6" ht="14.25" customHeight="1" x14ac:dyDescent="0.25">
      <c r="A3587" s="25" t="s">
        <v>509</v>
      </c>
      <c r="B3587" s="26" t="str">
        <f ca="1">IFERROR(INDEX(UNSPSCDes,MATCH(INDIRECT(ADDRESS(ROW(),COLUMN()-1,4)),UNSPSCCode,0)),IF(INDIRECT(ADDRESS(ROW(),COLUMN()-1,4))="27113202","Kit de herramientas para ajustar rodamiento",""))</f>
        <v>Kit de herramientas para ajustar rodamiento</v>
      </c>
      <c r="C3587" s="58" t="str">
        <f>IFERROR(VLOOKUP("UD",'Informacion '!P:Q,2,FALSE),"")</f>
        <v>Unidad</v>
      </c>
      <c r="D3587" s="25">
        <v>8</v>
      </c>
      <c r="E3587" s="28">
        <v>2500</v>
      </c>
      <c r="F3587" s="27">
        <f t="shared" ca="1" si="107"/>
        <v>20000</v>
      </c>
    </row>
    <row r="3588" spans="1:6" ht="14.25" customHeight="1" x14ac:dyDescent="0.25">
      <c r="A3588" s="25" t="s">
        <v>1031</v>
      </c>
      <c r="B3588" s="26" t="str">
        <f ca="1">IFERROR(INDEX(UNSPSCDes,MATCH(INDIRECT(ADDRESS(ROW(),COLUMN()-1,4)),UNSPSCCode,0)),IF(INDIRECT(ADDRESS(ROW(),COLUMN()-1,4))="27112822","Adaptadores de cubo",""))</f>
        <v>Adaptadores de cubo</v>
      </c>
      <c r="C3588" s="58" t="str">
        <f>IFERROR(VLOOKUP("UD",'Informacion '!P:Q,2,FALSE),"")</f>
        <v>Unidad</v>
      </c>
      <c r="D3588" s="25">
        <v>5</v>
      </c>
      <c r="E3588" s="28">
        <v>2500</v>
      </c>
      <c r="F3588" s="27">
        <f t="shared" ca="1" si="107"/>
        <v>12500</v>
      </c>
    </row>
    <row r="3589" spans="1:6" ht="14.25" customHeight="1" x14ac:dyDescent="0.25">
      <c r="A3589" s="25" t="s">
        <v>1031</v>
      </c>
      <c r="B3589" s="26" t="str">
        <f ca="1">IFERROR(INDEX(UNSPSCDes,MATCH(INDIRECT(ADDRESS(ROW(),COLUMN()-1,4)),UNSPSCCode,0)),IF(INDIRECT(ADDRESS(ROW(),COLUMN()-1,4))="27112822","Adaptadores de cubo",""))</f>
        <v>Adaptadores de cubo</v>
      </c>
      <c r="C3589" s="58" t="str">
        <f>IFERROR(VLOOKUP("UD",'Informacion '!P:Q,2,FALSE),"")</f>
        <v>Unidad</v>
      </c>
      <c r="D3589" s="25">
        <v>5</v>
      </c>
      <c r="E3589" s="28">
        <v>3500</v>
      </c>
      <c r="F3589" s="27">
        <f t="shared" ca="1" si="107"/>
        <v>17500</v>
      </c>
    </row>
    <row r="3590" spans="1:6" ht="14.25" customHeight="1" x14ac:dyDescent="0.25">
      <c r="A3590" s="25" t="s">
        <v>1031</v>
      </c>
      <c r="B3590" s="26" t="str">
        <f ca="1">IFERROR(INDEX(UNSPSCDes,MATCH(INDIRECT(ADDRESS(ROW(),COLUMN()-1,4)),UNSPSCCode,0)),IF(INDIRECT(ADDRESS(ROW(),COLUMN()-1,4))="27112822","Adaptadores de cubo",""))</f>
        <v>Adaptadores de cubo</v>
      </c>
      <c r="C3590" s="58" t="str">
        <f>IFERROR(VLOOKUP("UD",'Informacion '!P:Q,2,FALSE),"")</f>
        <v>Unidad</v>
      </c>
      <c r="D3590" s="25">
        <v>2</v>
      </c>
      <c r="E3590" s="28">
        <v>3500</v>
      </c>
      <c r="F3590" s="27">
        <f t="shared" ca="1" si="107"/>
        <v>7000</v>
      </c>
    </row>
    <row r="3591" spans="1:6" ht="14.25" customHeight="1" x14ac:dyDescent="0.25">
      <c r="A3591" s="25" t="s">
        <v>1031</v>
      </c>
      <c r="B3591" s="26" t="str">
        <f ca="1">IFERROR(INDEX(UNSPSCDes,MATCH(INDIRECT(ADDRESS(ROW(),COLUMN()-1,4)),UNSPSCCode,0)),IF(INDIRECT(ADDRESS(ROW(),COLUMN()-1,4))="27112822","Adaptadores de cubo",""))</f>
        <v>Adaptadores de cubo</v>
      </c>
      <c r="C3591" s="58" t="str">
        <f>IFERROR(VLOOKUP("UD",'Informacion '!P:Q,2,FALSE),"")</f>
        <v>Unidad</v>
      </c>
      <c r="D3591" s="25">
        <v>2</v>
      </c>
      <c r="E3591" s="28">
        <v>3000</v>
      </c>
      <c r="F3591" s="27">
        <f t="shared" ca="1" si="107"/>
        <v>6000</v>
      </c>
    </row>
    <row r="3592" spans="1:6" ht="14.25" customHeight="1" x14ac:dyDescent="0.25">
      <c r="A3592" s="25" t="s">
        <v>442</v>
      </c>
      <c r="B3592" s="26" t="str">
        <f ca="1">IFERROR(INDEX(UNSPSCDes,MATCH(INDIRECT(ADDRESS(ROW(),COLUMN()-1,4)),UNSPSCCode,0)),IF(INDIRECT(ADDRESS(ROW(),COLUMN()-1,4))="26111808","Trantorque",""))</f>
        <v>Trantorque</v>
      </c>
      <c r="C3592" s="58" t="str">
        <f>IFERROR(VLOOKUP("UD",'Informacion '!P:Q,2,FALSE),"")</f>
        <v>Unidad</v>
      </c>
      <c r="D3592" s="25">
        <v>2</v>
      </c>
      <c r="E3592" s="28">
        <v>18000</v>
      </c>
      <c r="F3592" s="27">
        <f t="shared" ca="1" si="107"/>
        <v>36000</v>
      </c>
    </row>
    <row r="3593" spans="1:6" ht="14.25" customHeight="1" x14ac:dyDescent="0.25">
      <c r="A3593" s="25" t="s">
        <v>1122</v>
      </c>
      <c r="B3593" s="26" t="str">
        <f ca="1">IFERROR(INDEX(UNSPSCDes,MATCH(INDIRECT(ADDRESS(ROW(),COLUMN()-1,4)),UNSPSCCode,0)),IF(INDIRECT(ADDRESS(ROW(),COLUMN()-1,4))="31201511","Cinta de malla metálica",""))</f>
        <v>Cinta de malla metálica</v>
      </c>
      <c r="C3593" s="58" t="str">
        <f>IFERROR(VLOOKUP("UD",'Informacion '!P:Q,2,FALSE),"")</f>
        <v>Unidad</v>
      </c>
      <c r="D3593" s="25">
        <v>50</v>
      </c>
      <c r="E3593" s="28">
        <v>500</v>
      </c>
      <c r="F3593" s="27">
        <f t="shared" ca="1" si="107"/>
        <v>25000</v>
      </c>
    </row>
    <row r="3594" spans="1:6" ht="14.25" customHeight="1" x14ac:dyDescent="0.25">
      <c r="A3594" s="25" t="s">
        <v>176</v>
      </c>
      <c r="B3594" s="26" t="str">
        <f ca="1">IFERROR(INDEX(UNSPSCDes,MATCH(INDIRECT(ADDRESS(ROW(),COLUMN()-1,4)),UNSPSCCode,0)),IF(INDIRECT(ADDRESS(ROW(),COLUMN()-1,4))="39121703","Enlaces de cables",""))</f>
        <v>Enlaces de cables</v>
      </c>
      <c r="C3594" s="58" t="str">
        <f>IFERROR(VLOOKUP("PAQ",'Informacion '!P:Q,2,FALSE),"")</f>
        <v>Paquete</v>
      </c>
      <c r="D3594" s="25">
        <v>10</v>
      </c>
      <c r="E3594" s="28">
        <v>500</v>
      </c>
      <c r="F3594" s="27">
        <f t="shared" ca="1" si="107"/>
        <v>5000</v>
      </c>
    </row>
    <row r="3595" spans="1:6" ht="14.25" customHeight="1" x14ac:dyDescent="0.25">
      <c r="A3595" s="25" t="s">
        <v>176</v>
      </c>
      <c r="B3595" s="26" t="str">
        <f ca="1">IFERROR(INDEX(UNSPSCDes,MATCH(INDIRECT(ADDRESS(ROW(),COLUMN()-1,4)),UNSPSCCode,0)),IF(INDIRECT(ADDRESS(ROW(),COLUMN()-1,4))="39121703","Enlaces de cables",""))</f>
        <v>Enlaces de cables</v>
      </c>
      <c r="C3595" s="58" t="str">
        <f>IFERROR(VLOOKUP("PAQ",'Informacion '!P:Q,2,FALSE),"")</f>
        <v>Paquete</v>
      </c>
      <c r="D3595" s="25">
        <v>10</v>
      </c>
      <c r="E3595" s="28">
        <v>500</v>
      </c>
      <c r="F3595" s="27">
        <f t="shared" ca="1" si="107"/>
        <v>5000</v>
      </c>
    </row>
    <row r="3596" spans="1:6" ht="14.25" customHeight="1" x14ac:dyDescent="0.25">
      <c r="A3596" s="25" t="s">
        <v>211</v>
      </c>
      <c r="B3596" s="26" t="str">
        <f ca="1">IFERROR(INDEX(UNSPSCDes,MATCH(INDIRECT(ADDRESS(ROW(),COLUMN()-1,4)),UNSPSCCode,0)),IF(INDIRECT(ADDRESS(ROW(),COLUMN()-1,4))="53121603","Morrales",""))</f>
        <v>Morrales</v>
      </c>
      <c r="C3596" s="58" t="str">
        <f>IFERROR(VLOOKUP("UD",'Informacion '!P:Q,2,FALSE),"")</f>
        <v>Unidad</v>
      </c>
      <c r="D3596" s="25">
        <v>10</v>
      </c>
      <c r="E3596" s="28">
        <v>2500</v>
      </c>
      <c r="F3596" s="27">
        <f t="shared" ca="1" si="107"/>
        <v>25000</v>
      </c>
    </row>
    <row r="3597" spans="1:6" ht="14.25" customHeight="1" x14ac:dyDescent="0.25">
      <c r="A3597" s="25" t="s">
        <v>754</v>
      </c>
      <c r="B3597" s="26" t="str">
        <f ca="1">IFERROR(INDEX(UNSPSCDes,MATCH(INDIRECT(ADDRESS(ROW(),COLUMN()-1,4)),UNSPSCCode,0)),IF(INDIRECT(ADDRESS(ROW(),COLUMN()-1,4))="46171501","Candados",""))</f>
        <v>Candados</v>
      </c>
      <c r="C3597" s="58" t="str">
        <f>IFERROR(VLOOKUP("UD",'Informacion '!P:Q,2,FALSE),"")</f>
        <v>Unidad</v>
      </c>
      <c r="D3597" s="25">
        <v>10</v>
      </c>
      <c r="E3597" s="28">
        <v>927.46</v>
      </c>
      <c r="F3597" s="27">
        <f t="shared" ca="1" si="107"/>
        <v>9274.6</v>
      </c>
    </row>
    <row r="3598" spans="1:6" ht="14.25" customHeight="1" x14ac:dyDescent="0.25">
      <c r="A3598" s="25" t="s">
        <v>754</v>
      </c>
      <c r="B3598" s="26" t="str">
        <f ca="1">IFERROR(INDEX(UNSPSCDes,MATCH(INDIRECT(ADDRESS(ROW(),COLUMN()-1,4)),UNSPSCCode,0)),IF(INDIRECT(ADDRESS(ROW(),COLUMN()-1,4))="46171501","Candados",""))</f>
        <v>Candados</v>
      </c>
      <c r="C3598" s="58" t="str">
        <f>IFERROR(VLOOKUP("UD",'Informacion '!P:Q,2,FALSE),"")</f>
        <v>Unidad</v>
      </c>
      <c r="D3598" s="25">
        <v>10</v>
      </c>
      <c r="E3598" s="28">
        <v>712.28</v>
      </c>
      <c r="F3598" s="27">
        <f t="shared" ref="F3598:F3629" ca="1" si="108">INDIRECT(ADDRESS(ROW(),COLUMN()-2,4))*INDIRECT(ADDRESS(ROW(),COLUMN()-1,4))</f>
        <v>7122.7999999999993</v>
      </c>
    </row>
    <row r="3599" spans="1:6" ht="14.25" customHeight="1" x14ac:dyDescent="0.25">
      <c r="A3599" s="25" t="s">
        <v>1138</v>
      </c>
      <c r="B3599" s="26" t="str">
        <f ca="1">IFERROR(INDEX(UNSPSCDes,MATCH(INDIRECT(ADDRESS(ROW(),COLUMN()-1,4)),UNSPSCCode,0)),IF(INDIRECT(ADDRESS(ROW(),COLUMN()-1,4))="31162402","Cerraduras",""))</f>
        <v>Cerraduras</v>
      </c>
      <c r="C3599" s="58" t="str">
        <f>IFERROR(VLOOKUP("UD",'Informacion '!P:Q,2,FALSE),"")</f>
        <v>Unidad</v>
      </c>
      <c r="D3599" s="25">
        <v>20</v>
      </c>
      <c r="E3599" s="28">
        <v>200.33</v>
      </c>
      <c r="F3599" s="27">
        <f t="shared" ca="1" si="108"/>
        <v>4006.6000000000004</v>
      </c>
    </row>
    <row r="3600" spans="1:6" ht="14.25" customHeight="1" x14ac:dyDescent="0.25">
      <c r="A3600" s="25" t="s">
        <v>609</v>
      </c>
      <c r="B3600" s="26" t="str">
        <f ca="1">IFERROR(INDEX(UNSPSCDes,MATCH(INDIRECT(ADDRESS(ROW(),COLUMN()-1,4)),UNSPSCCode,0)),IF(INDIRECT(ADDRESS(ROW(),COLUMN()-1,4))="39121205","Canaletas para cables",""))</f>
        <v>Canaletas para cables</v>
      </c>
      <c r="C3600" s="58" t="str">
        <f>IFERROR(VLOOKUP("UD",'Informacion '!P:Q,2,FALSE),"")</f>
        <v>Unidad</v>
      </c>
      <c r="D3600" s="25">
        <v>50</v>
      </c>
      <c r="E3600" s="28">
        <v>230</v>
      </c>
      <c r="F3600" s="27">
        <f t="shared" ca="1" si="108"/>
        <v>11500</v>
      </c>
    </row>
    <row r="3601" spans="1:6" ht="14.25" customHeight="1" x14ac:dyDescent="0.25">
      <c r="A3601" s="25" t="s">
        <v>4</v>
      </c>
      <c r="B3601" s="26" t="str">
        <f ca="1">IFERROR(INDEX(UNSPSCDes,MATCH(INDIRECT(ADDRESS(ROW(),COLUMN()-1,4)),UNSPSCCode,0)),IF(INDIRECT(ADDRESS(ROW(),COLUMN()-1,4))="31162801","Chapas o pomos",""))</f>
        <v>Chapas o pomos</v>
      </c>
      <c r="C3601" s="58" t="str">
        <f>IFERROR(VLOOKUP("UD",'Informacion '!P:Q,2,FALSE),"")</f>
        <v>Unidad</v>
      </c>
      <c r="D3601" s="25">
        <v>15</v>
      </c>
      <c r="E3601" s="28">
        <v>3340.79</v>
      </c>
      <c r="F3601" s="27">
        <f t="shared" ca="1" si="108"/>
        <v>50111.85</v>
      </c>
    </row>
    <row r="3602" spans="1:6" ht="14.25" customHeight="1" x14ac:dyDescent="0.25">
      <c r="A3602" s="25" t="s">
        <v>4</v>
      </c>
      <c r="B3602" s="26" t="str">
        <f ca="1">IFERROR(INDEX(UNSPSCDes,MATCH(INDIRECT(ADDRESS(ROW(),COLUMN()-1,4)),UNSPSCCode,0)),IF(INDIRECT(ADDRESS(ROW(),COLUMN()-1,4))="31162801","Chapas o pomos",""))</f>
        <v>Chapas o pomos</v>
      </c>
      <c r="C3602" s="58" t="str">
        <f>IFERROR(VLOOKUP("UD",'Informacion '!P:Q,2,FALSE),"")</f>
        <v>Unidad</v>
      </c>
      <c r="D3602" s="25">
        <v>25</v>
      </c>
      <c r="E3602" s="28">
        <v>401</v>
      </c>
      <c r="F3602" s="27">
        <f t="shared" ca="1" si="108"/>
        <v>10025</v>
      </c>
    </row>
    <row r="3603" spans="1:6" ht="14.25" customHeight="1" x14ac:dyDescent="0.25">
      <c r="A3603" s="25" t="s">
        <v>4</v>
      </c>
      <c r="B3603" s="26" t="str">
        <f ca="1">IFERROR(INDEX(UNSPSCDes,MATCH(INDIRECT(ADDRESS(ROW(),COLUMN()-1,4)),UNSPSCCode,0)),IF(INDIRECT(ADDRESS(ROW(),COLUMN()-1,4))="31162801","Chapas o pomos",""))</f>
        <v>Chapas o pomos</v>
      </c>
      <c r="C3603" s="58" t="str">
        <f>IFERROR(VLOOKUP("UD",'Informacion '!P:Q,2,FALSE),"")</f>
        <v>Unidad</v>
      </c>
      <c r="D3603" s="25">
        <v>15</v>
      </c>
      <c r="E3603" s="28">
        <v>433.69</v>
      </c>
      <c r="F3603" s="27">
        <f t="shared" ca="1" si="108"/>
        <v>6505.35</v>
      </c>
    </row>
    <row r="3604" spans="1:6" ht="14.25" customHeight="1" x14ac:dyDescent="0.25">
      <c r="A3604" s="25" t="s">
        <v>785</v>
      </c>
      <c r="B3604" s="26" t="str">
        <f ca="1">IFERROR(INDEX(UNSPSCDes,MATCH(INDIRECT(ADDRESS(ROW(),COLUMN()-1,4)),UNSPSCCode,0)),IF(INDIRECT(ADDRESS(ROW(),COLUMN()-1,4))="30191501","Escaleras",""))</f>
        <v>Escaleras</v>
      </c>
      <c r="C3604" s="58" t="str">
        <f>IFERROR(VLOOKUP("UD",'Informacion '!P:Q,2,FALSE),"")</f>
        <v>Unidad</v>
      </c>
      <c r="D3604" s="25">
        <v>5</v>
      </c>
      <c r="E3604" s="28">
        <v>12500</v>
      </c>
      <c r="F3604" s="27">
        <f t="shared" ca="1" si="108"/>
        <v>62500</v>
      </c>
    </row>
    <row r="3605" spans="1:6" ht="14.25" customHeight="1" x14ac:dyDescent="0.25">
      <c r="A3605" s="25" t="s">
        <v>785</v>
      </c>
      <c r="B3605" s="26" t="str">
        <f ca="1">IFERROR(INDEX(UNSPSCDes,MATCH(INDIRECT(ADDRESS(ROW(),COLUMN()-1,4)),UNSPSCCode,0)),IF(INDIRECT(ADDRESS(ROW(),COLUMN()-1,4))="30191501","Escaleras",""))</f>
        <v>Escaleras</v>
      </c>
      <c r="C3605" s="58" t="str">
        <f>IFERROR(VLOOKUP("UD",'Informacion '!P:Q,2,FALSE),"")</f>
        <v>Unidad</v>
      </c>
      <c r="D3605" s="25">
        <v>3</v>
      </c>
      <c r="E3605" s="28">
        <v>16500</v>
      </c>
      <c r="F3605" s="27">
        <f t="shared" ca="1" si="108"/>
        <v>49500</v>
      </c>
    </row>
    <row r="3606" spans="1:6" ht="14.25" customHeight="1" x14ac:dyDescent="0.25">
      <c r="A3606" s="25" t="s">
        <v>1119</v>
      </c>
      <c r="B3606" s="26" t="str">
        <f ca="1">IFERROR(INDEX(UNSPSCDes,MATCH(INDIRECT(ADDRESS(ROW(),COLUMN()-1,4)),UNSPSCCode,0)),IF(INDIRECT(ADDRESS(ROW(),COLUMN()-1,4))="47131821","Compuestos desengrasantes",""))</f>
        <v>Compuestos desengrasantes</v>
      </c>
      <c r="C3606" s="58" t="str">
        <f>IFERROR(VLOOKUP("UD",'Informacion '!P:Q,2,FALSE),"")</f>
        <v>Unidad</v>
      </c>
      <c r="D3606" s="25">
        <v>25</v>
      </c>
      <c r="E3606" s="28">
        <v>350</v>
      </c>
      <c r="F3606" s="27">
        <f t="shared" ca="1" si="108"/>
        <v>8750</v>
      </c>
    </row>
    <row r="3607" spans="1:6" ht="14.25" customHeight="1" x14ac:dyDescent="0.25">
      <c r="A3607" s="25" t="s">
        <v>156</v>
      </c>
      <c r="B3607" s="26" t="str">
        <f ca="1">IFERROR(INDEX(UNSPSCDes,MATCH(INDIRECT(ADDRESS(ROW(),COLUMN()-1,4)),UNSPSCCode,0)),IF(INDIRECT(ADDRESS(ROW(),COLUMN()-1,4))="13111301","Espumas de poliolefina",""))</f>
        <v>Espumas de poliolefina</v>
      </c>
      <c r="C3607" s="58" t="str">
        <f>IFERROR(VLOOKUP("UD",'Informacion '!P:Q,2,FALSE),"")</f>
        <v>Unidad</v>
      </c>
      <c r="D3607" s="25">
        <v>30</v>
      </c>
      <c r="E3607" s="28">
        <v>685</v>
      </c>
      <c r="F3607" s="27">
        <f t="shared" ca="1" si="108"/>
        <v>20550</v>
      </c>
    </row>
    <row r="3608" spans="1:6" ht="14.25" customHeight="1" x14ac:dyDescent="0.25">
      <c r="A3608" s="25" t="s">
        <v>919</v>
      </c>
      <c r="B3608" s="26" t="str">
        <f ca="1">IFERROR(INDEX(UNSPSCDes,MATCH(INDIRECT(ADDRESS(ROW(),COLUMN()-1,4)),UNSPSCCode,0)),IF(INDIRECT(ADDRESS(ROW(),COLUMN()-1,4))="31162506","Soporte de pared",""))</f>
        <v>Soporte de pared</v>
      </c>
      <c r="C3608" s="58" t="str">
        <f>IFERROR(VLOOKUP("UD",'Informacion '!P:Q,2,FALSE),"")</f>
        <v>Unidad</v>
      </c>
      <c r="D3608" s="25">
        <v>15</v>
      </c>
      <c r="E3608" s="28">
        <v>52.84</v>
      </c>
      <c r="F3608" s="27">
        <f t="shared" ca="1" si="108"/>
        <v>792.6</v>
      </c>
    </row>
    <row r="3609" spans="1:6" ht="14.25" customHeight="1" x14ac:dyDescent="0.25">
      <c r="A3609" s="25" t="s">
        <v>531</v>
      </c>
      <c r="B3609" s="26" t="str">
        <f ca="1">IFERROR(INDEX(UNSPSCDes,MATCH(INDIRECT(ADDRESS(ROW(),COLUMN()-1,4)),UNSPSCCode,0)),IF(INDIRECT(ADDRESS(ROW(),COLUMN()-1,4))="31201610","Pegamentos",""))</f>
        <v>Pegamentos</v>
      </c>
      <c r="C3609" s="58" t="str">
        <f>IFERROR(VLOOKUP("GAL",'Informacion '!P:Q,2,FALSE),"")</f>
        <v>Galón</v>
      </c>
      <c r="D3609" s="25">
        <v>3</v>
      </c>
      <c r="E3609" s="28">
        <v>297.16000000000003</v>
      </c>
      <c r="F3609" s="27">
        <f t="shared" ca="1" si="108"/>
        <v>891.48</v>
      </c>
    </row>
    <row r="3610" spans="1:6" ht="14.25" customHeight="1" x14ac:dyDescent="0.25">
      <c r="A3610" s="25" t="s">
        <v>231</v>
      </c>
      <c r="B3610" s="26" t="str">
        <f ca="1">IFERROR(INDEX(UNSPSCDes,MATCH(INDIRECT(ADDRESS(ROW(),COLUMN()-1,4)),UNSPSCCode,0)),IF(INDIRECT(ADDRESS(ROW(),COLUMN()-1,4))="39111521","Plafones",""))</f>
        <v>Plafones</v>
      </c>
      <c r="C3610" s="58" t="str">
        <f>IFERROR(VLOOKUP("UD",'Informacion '!P:Q,2,FALSE),"")</f>
        <v>Unidad</v>
      </c>
      <c r="D3610" s="25">
        <v>50</v>
      </c>
      <c r="E3610" s="28">
        <v>604.67999999999995</v>
      </c>
      <c r="F3610" s="27">
        <f t="shared" ca="1" si="108"/>
        <v>30233.999999999996</v>
      </c>
    </row>
    <row r="3611" spans="1:6" ht="14.25" customHeight="1" x14ac:dyDescent="0.25">
      <c r="A3611" s="25" t="s">
        <v>231</v>
      </c>
      <c r="B3611" s="26" t="str">
        <f ca="1">IFERROR(INDEX(UNSPSCDes,MATCH(INDIRECT(ADDRESS(ROW(),COLUMN()-1,4)),UNSPSCCode,0)),IF(INDIRECT(ADDRESS(ROW(),COLUMN()-1,4))="39111521","Plafones",""))</f>
        <v>Plafones</v>
      </c>
      <c r="C3611" s="58" t="str">
        <f>IFERROR(VLOOKUP("UD",'Informacion '!P:Q,2,FALSE),"")</f>
        <v>Unidad</v>
      </c>
      <c r="D3611" s="25">
        <v>150</v>
      </c>
      <c r="E3611" s="28">
        <v>418.35</v>
      </c>
      <c r="F3611" s="27">
        <f t="shared" ca="1" si="108"/>
        <v>62752.5</v>
      </c>
    </row>
    <row r="3612" spans="1:6" ht="14.25" customHeight="1" x14ac:dyDescent="0.25">
      <c r="A3612" s="25" t="s">
        <v>508</v>
      </c>
      <c r="B3612" s="26" t="str">
        <f ca="1">IFERROR(INDEX(UNSPSCDes,MATCH(INDIRECT(ADDRESS(ROW(),COLUMN()-1,4)),UNSPSCCode,0)),IF(INDIRECT(ADDRESS(ROW(),COLUMN()-1,4))="30161509","Tabla de yeso",""))</f>
        <v>Tabla de yeso</v>
      </c>
      <c r="C3612" s="58" t="str">
        <f>IFERROR(VLOOKUP("UD",'Informacion '!P:Q,2,FALSE),"")</f>
        <v>Unidad</v>
      </c>
      <c r="D3612" s="25">
        <v>4</v>
      </c>
      <c r="E3612" s="28">
        <v>765.99</v>
      </c>
      <c r="F3612" s="27">
        <f t="shared" ca="1" si="108"/>
        <v>3063.96</v>
      </c>
    </row>
    <row r="3613" spans="1:6" ht="14.25" customHeight="1" x14ac:dyDescent="0.25">
      <c r="A3613" s="25" t="s">
        <v>1110</v>
      </c>
      <c r="B3613" s="26" t="str">
        <f ca="1">IFERROR(INDEX(UNSPSCDes,MATCH(INDIRECT(ADDRESS(ROW(),COLUMN()-1,4)),UNSPSCCode,0)),IF(INDIRECT(ADDRESS(ROW(),COLUMN()-1,4))="30161706","Pisos de baldosa o piedra",""))</f>
        <v>Pisos de baldosa o piedra</v>
      </c>
      <c r="C3613" s="58" t="str">
        <f>IFERROR(VLOOKUP("M2",'Informacion '!P:Q,2,FALSE),"")</f>
        <v>Metro cuadrado</v>
      </c>
      <c r="D3613" s="25">
        <v>30</v>
      </c>
      <c r="E3613" s="28">
        <v>202.36</v>
      </c>
      <c r="F3613" s="27">
        <f t="shared" ca="1" si="108"/>
        <v>6070.8</v>
      </c>
    </row>
    <row r="3614" spans="1:6" ht="14.25" customHeight="1" x14ac:dyDescent="0.25">
      <c r="A3614" s="25" t="s">
        <v>133</v>
      </c>
      <c r="B3614" s="26" t="str">
        <f ca="1">IFERROR(INDEX(UNSPSCDes,MATCH(INDIRECT(ADDRESS(ROW(),COLUMN()-1,4)),UNSPSCCode,0)),IF(INDIRECT(ADDRESS(ROW(),COLUMN()-1,4))="60124312","Azulejos de cerámica cocidos",""))</f>
        <v>Azulejos de cerámica cocidos</v>
      </c>
      <c r="C3614" s="58" t="str">
        <f>IFERROR(VLOOKUP("UD",'Informacion '!P:Q,2,FALSE),"")</f>
        <v>Unidad</v>
      </c>
      <c r="D3614" s="25">
        <v>20</v>
      </c>
      <c r="E3614" s="28">
        <v>285</v>
      </c>
      <c r="F3614" s="27">
        <f t="shared" ca="1" si="108"/>
        <v>5700</v>
      </c>
    </row>
    <row r="3615" spans="1:6" ht="14.25" customHeight="1" x14ac:dyDescent="0.25">
      <c r="A3615" s="25" t="s">
        <v>726</v>
      </c>
      <c r="B3615" s="26" t="str">
        <f ca="1">IFERROR(INDEX(UNSPSCDes,MATCH(INDIRECT(ADDRESS(ROW(),COLUMN()-1,4)),UNSPSCCode,0)),IF(INDIRECT(ADDRESS(ROW(),COLUMN()-1,4))="22101902","Mezcladoras de argamasa, pañete o mortero",""))</f>
        <v>Mezcladoras de argamasa, pañete o mortero</v>
      </c>
      <c r="C3615" s="58" t="str">
        <f>IFERROR(VLOOKUP("UD",'Informacion '!P:Q,2,FALSE),"")</f>
        <v>Unidad</v>
      </c>
      <c r="D3615" s="25">
        <v>10</v>
      </c>
      <c r="E3615" s="28">
        <v>335</v>
      </c>
      <c r="F3615" s="27">
        <f t="shared" ca="1" si="108"/>
        <v>3350</v>
      </c>
    </row>
    <row r="3616" spans="1:6" ht="14.25" customHeight="1" x14ac:dyDescent="0.25">
      <c r="A3616" s="25" t="s">
        <v>487</v>
      </c>
      <c r="B3616" s="26" t="str">
        <f ca="1">IFERROR(INDEX(UNSPSCDes,MATCH(INDIRECT(ADDRESS(ROW(),COLUMN()-1,4)),UNSPSCCode,0)),IF(INDIRECT(ADDRESS(ROW(),COLUMN()-1,4))="12163501","Sellantes de cemento",""))</f>
        <v>Sellantes de cemento</v>
      </c>
      <c r="C3616" s="58" t="str">
        <f>IFERROR(VLOOKUP("UD",'Informacion '!P:Q,2,FALSE),"")</f>
        <v>Unidad</v>
      </c>
      <c r="D3616" s="25">
        <v>20</v>
      </c>
      <c r="E3616" s="28">
        <v>573.26</v>
      </c>
      <c r="F3616" s="27">
        <f t="shared" ca="1" si="108"/>
        <v>11465.2</v>
      </c>
    </row>
    <row r="3617" spans="1:6" ht="14.25" customHeight="1" x14ac:dyDescent="0.25">
      <c r="A3617" s="25" t="s">
        <v>531</v>
      </c>
      <c r="B3617" s="26" t="str">
        <f ca="1">IFERROR(INDEX(UNSPSCDes,MATCH(INDIRECT(ADDRESS(ROW(),COLUMN()-1,4)),UNSPSCCode,0)),IF(INDIRECT(ADDRESS(ROW(),COLUMN()-1,4))="31201610","Pegamentos",""))</f>
        <v>Pegamentos</v>
      </c>
      <c r="C3617" s="58" t="str">
        <f>IFERROR(VLOOKUP("UD",'Informacion '!P:Q,2,FALSE),"")</f>
        <v>Unidad</v>
      </c>
      <c r="D3617" s="25">
        <v>20</v>
      </c>
      <c r="E3617" s="28">
        <v>431.67</v>
      </c>
      <c r="F3617" s="27">
        <f t="shared" ca="1" si="108"/>
        <v>8633.4</v>
      </c>
    </row>
    <row r="3618" spans="1:6" ht="14.25" customHeight="1" x14ac:dyDescent="0.25">
      <c r="A3618" s="25" t="s">
        <v>531</v>
      </c>
      <c r="B3618" s="26" t="str">
        <f ca="1">IFERROR(INDEX(UNSPSCDes,MATCH(INDIRECT(ADDRESS(ROW(),COLUMN()-1,4)),UNSPSCCode,0)),IF(INDIRECT(ADDRESS(ROW(),COLUMN()-1,4))="31201610","Pegamentos",""))</f>
        <v>Pegamentos</v>
      </c>
      <c r="C3618" s="58" t="str">
        <f>IFERROR(VLOOKUP("UD",'Informacion '!P:Q,2,FALSE),"")</f>
        <v>Unidad</v>
      </c>
      <c r="D3618" s="25">
        <v>20</v>
      </c>
      <c r="E3618" s="28">
        <v>431.67</v>
      </c>
      <c r="F3618" s="27">
        <f t="shared" ca="1" si="108"/>
        <v>8633.4</v>
      </c>
    </row>
    <row r="3619" spans="1:6" ht="14.25" customHeight="1" x14ac:dyDescent="0.25">
      <c r="A3619" s="25" t="s">
        <v>774</v>
      </c>
      <c r="B3619" s="26" t="str">
        <f ca="1">IFERROR(INDEX(UNSPSCDes,MATCH(INDIRECT(ADDRESS(ROW(),COLUMN()-1,4)),UNSPSCCode,0)),IF(INDIRECT(ADDRESS(ROW(),COLUMN()-1,4))="31162104","Anclajes de tornillo",""))</f>
        <v>Anclajes de tornillo</v>
      </c>
      <c r="C3619" s="58" t="str">
        <f>IFERROR(VLOOKUP("UD",'Informacion '!P:Q,2,FALSE),"")</f>
        <v>Unidad</v>
      </c>
      <c r="D3619" s="25">
        <v>300</v>
      </c>
      <c r="E3619" s="28">
        <v>0.5</v>
      </c>
      <c r="F3619" s="27">
        <f t="shared" ca="1" si="108"/>
        <v>150</v>
      </c>
    </row>
    <row r="3620" spans="1:6" ht="14.25" customHeight="1" x14ac:dyDescent="0.25">
      <c r="A3620" s="25" t="s">
        <v>774</v>
      </c>
      <c r="B3620" s="26" t="str">
        <f ca="1">IFERROR(INDEX(UNSPSCDes,MATCH(INDIRECT(ADDRESS(ROW(),COLUMN()-1,4)),UNSPSCCode,0)),IF(INDIRECT(ADDRESS(ROW(),COLUMN()-1,4))="31162104","Anclajes de tornillo",""))</f>
        <v>Anclajes de tornillo</v>
      </c>
      <c r="C3620" s="58" t="str">
        <f>IFERROR(VLOOKUP("UD",'Informacion '!P:Q,2,FALSE),"")</f>
        <v>Unidad</v>
      </c>
      <c r="D3620" s="25">
        <v>500</v>
      </c>
      <c r="E3620" s="28">
        <v>1.5</v>
      </c>
      <c r="F3620" s="27">
        <f t="shared" ca="1" si="108"/>
        <v>750</v>
      </c>
    </row>
    <row r="3621" spans="1:6" ht="14.25" customHeight="1" x14ac:dyDescent="0.25">
      <c r="A3621" s="25" t="s">
        <v>774</v>
      </c>
      <c r="B3621" s="26" t="str">
        <f ca="1">IFERROR(INDEX(UNSPSCDes,MATCH(INDIRECT(ADDRESS(ROW(),COLUMN()-1,4)),UNSPSCCode,0)),IF(INDIRECT(ADDRESS(ROW(),COLUMN()-1,4))="31162104","Anclajes de tornillo",""))</f>
        <v>Anclajes de tornillo</v>
      </c>
      <c r="C3621" s="58" t="str">
        <f>IFERROR(VLOOKUP("UD",'Informacion '!P:Q,2,FALSE),"")</f>
        <v>Unidad</v>
      </c>
      <c r="D3621" s="25">
        <v>200</v>
      </c>
      <c r="E3621" s="28">
        <v>1.8</v>
      </c>
      <c r="F3621" s="27">
        <f t="shared" ca="1" si="108"/>
        <v>360</v>
      </c>
    </row>
    <row r="3622" spans="1:6" ht="14.25" customHeight="1" x14ac:dyDescent="0.25">
      <c r="A3622" s="25" t="s">
        <v>774</v>
      </c>
      <c r="B3622" s="26" t="str">
        <f ca="1">IFERROR(INDEX(UNSPSCDes,MATCH(INDIRECT(ADDRESS(ROW(),COLUMN()-1,4)),UNSPSCCode,0)),IF(INDIRECT(ADDRESS(ROW(),COLUMN()-1,4))="31162104","Anclajes de tornillo",""))</f>
        <v>Anclajes de tornillo</v>
      </c>
      <c r="C3622" s="58" t="str">
        <f>IFERROR(VLOOKUP("UD",'Informacion '!P:Q,2,FALSE),"")</f>
        <v>Unidad</v>
      </c>
      <c r="D3622" s="25">
        <v>300</v>
      </c>
      <c r="E3622" s="28">
        <v>11.68</v>
      </c>
      <c r="F3622" s="27">
        <f t="shared" ca="1" si="108"/>
        <v>3504</v>
      </c>
    </row>
    <row r="3623" spans="1:6" ht="14.25" customHeight="1" x14ac:dyDescent="0.25">
      <c r="A3623" s="25" t="s">
        <v>774</v>
      </c>
      <c r="B3623" s="26" t="str">
        <f ca="1">IFERROR(INDEX(UNSPSCDes,MATCH(INDIRECT(ADDRESS(ROW(),COLUMN()-1,4)),UNSPSCCode,0)),IF(INDIRECT(ADDRESS(ROW(),COLUMN()-1,4))="31162104","Anclajes de tornillo",""))</f>
        <v>Anclajes de tornillo</v>
      </c>
      <c r="C3623" s="58" t="str">
        <f>IFERROR(VLOOKUP("UD",'Informacion '!P:Q,2,FALSE),"")</f>
        <v>Unidad</v>
      </c>
      <c r="D3623" s="25">
        <v>100</v>
      </c>
      <c r="E3623" s="28">
        <v>10</v>
      </c>
      <c r="F3623" s="27">
        <f t="shared" ca="1" si="108"/>
        <v>1000</v>
      </c>
    </row>
    <row r="3624" spans="1:6" ht="14.25" customHeight="1" x14ac:dyDescent="0.25">
      <c r="A3624" s="25" t="s">
        <v>624</v>
      </c>
      <c r="B3624" s="26" t="str">
        <f ca="1">IFERROR(INDEX(UNSPSCDes,MATCH(INDIRECT(ADDRESS(ROW(),COLUMN()-1,4)),UNSPSCCode,0)),IF(INDIRECT(ADDRESS(ROW(),COLUMN()-1,4))="31161503","Clavo-tornillo",""))</f>
        <v>Clavo-tornillo</v>
      </c>
      <c r="C3624" s="58" t="str">
        <f>IFERROR(VLOOKUP("UD",'Informacion '!P:Q,2,FALSE),"")</f>
        <v>Unidad</v>
      </c>
      <c r="D3624" s="25">
        <v>100</v>
      </c>
      <c r="E3624" s="28">
        <v>42.99</v>
      </c>
      <c r="F3624" s="27">
        <f t="shared" ca="1" si="108"/>
        <v>4299</v>
      </c>
    </row>
    <row r="3625" spans="1:6" ht="14.25" customHeight="1" x14ac:dyDescent="0.25">
      <c r="A3625" s="25" t="s">
        <v>774</v>
      </c>
      <c r="B3625" s="26" t="str">
        <f ca="1">IFERROR(INDEX(UNSPSCDes,MATCH(INDIRECT(ADDRESS(ROW(),COLUMN()-1,4)),UNSPSCCode,0)),IF(INDIRECT(ADDRESS(ROW(),COLUMN()-1,4))="31162104","Anclajes de tornillo",""))</f>
        <v>Anclajes de tornillo</v>
      </c>
      <c r="C3625" s="58" t="str">
        <f>IFERROR(VLOOKUP("UD",'Informacion '!P:Q,2,FALSE),"")</f>
        <v>Unidad</v>
      </c>
      <c r="D3625" s="25">
        <v>200</v>
      </c>
      <c r="E3625" s="28">
        <v>11.23</v>
      </c>
      <c r="F3625" s="27">
        <f t="shared" ca="1" si="108"/>
        <v>2246</v>
      </c>
    </row>
    <row r="3626" spans="1:6" ht="14.25" customHeight="1" x14ac:dyDescent="0.25">
      <c r="A3626" s="25" t="s">
        <v>774</v>
      </c>
      <c r="B3626" s="26" t="str">
        <f ca="1">IFERROR(INDEX(UNSPSCDes,MATCH(INDIRECT(ADDRESS(ROW(),COLUMN()-1,4)),UNSPSCCode,0)),IF(INDIRECT(ADDRESS(ROW(),COLUMN()-1,4))="31162104","Anclajes de tornillo",""))</f>
        <v>Anclajes de tornillo</v>
      </c>
      <c r="C3626" s="58" t="str">
        <f>IFERROR(VLOOKUP("UD",'Informacion '!P:Q,2,FALSE),"")</f>
        <v>Unidad</v>
      </c>
      <c r="D3626" s="25">
        <v>200</v>
      </c>
      <c r="E3626" s="28">
        <v>116.74</v>
      </c>
      <c r="F3626" s="27">
        <f t="shared" ca="1" si="108"/>
        <v>23348</v>
      </c>
    </row>
    <row r="3627" spans="1:6" ht="14.25" customHeight="1" x14ac:dyDescent="0.25">
      <c r="A3627" s="25" t="s">
        <v>624</v>
      </c>
      <c r="B3627" s="26" t="str">
        <f ca="1">IFERROR(INDEX(UNSPSCDes,MATCH(INDIRECT(ADDRESS(ROW(),COLUMN()-1,4)),UNSPSCCode,0)),IF(INDIRECT(ADDRESS(ROW(),COLUMN()-1,4))="31161503","Clavo-tornillo",""))</f>
        <v>Clavo-tornillo</v>
      </c>
      <c r="C3627" s="58" t="str">
        <f>IFERROR(VLOOKUP("UD",'Informacion '!P:Q,2,FALSE),"")</f>
        <v>Unidad</v>
      </c>
      <c r="D3627" s="25">
        <v>200</v>
      </c>
      <c r="E3627" s="28">
        <v>2.99</v>
      </c>
      <c r="F3627" s="27">
        <f t="shared" ca="1" si="108"/>
        <v>598</v>
      </c>
    </row>
    <row r="3628" spans="1:6" ht="14.25" customHeight="1" x14ac:dyDescent="0.25">
      <c r="A3628" s="25" t="s">
        <v>1125</v>
      </c>
      <c r="B3628" s="26" t="str">
        <f ca="1">IFERROR(INDEX(UNSPSCDes,MATCH(INDIRECT(ADDRESS(ROW(),COLUMN()-1,4)),UNSPSCCode,0)),IF(INDIRECT(ADDRESS(ROW(),COLUMN()-1,4))="31161505","Tornillos de presión",""))</f>
        <v>Tornillos de presión</v>
      </c>
      <c r="C3628" s="58" t="str">
        <f>IFERROR(VLOOKUP("UD",'Informacion '!P:Q,2,FALSE),"")</f>
        <v>Unidad</v>
      </c>
      <c r="D3628" s="25">
        <v>200</v>
      </c>
      <c r="E3628" s="28">
        <v>2.99</v>
      </c>
      <c r="F3628" s="27">
        <f t="shared" ca="1" si="108"/>
        <v>598</v>
      </c>
    </row>
    <row r="3629" spans="1:6" ht="14.25" customHeight="1" x14ac:dyDescent="0.25">
      <c r="A3629" s="25" t="s">
        <v>415</v>
      </c>
      <c r="B3629" s="26" t="str">
        <f ca="1">IFERROR(INDEX(UNSPSCDes,MATCH(INDIRECT(ADDRESS(ROW(),COLUMN()-1,4)),UNSPSCCode,0)),IF(INDIRECT(ADDRESS(ROW(),COLUMN()-1,4))="31161807","Arandelas planas",""))</f>
        <v>Arandelas planas</v>
      </c>
      <c r="C3629" s="58" t="str">
        <f>IFERROR(VLOOKUP("LB",'Informacion '!P:Q,2,FALSE),"")</f>
        <v>Libra </v>
      </c>
      <c r="D3629" s="25">
        <v>2</v>
      </c>
      <c r="E3629" s="28">
        <v>73.67</v>
      </c>
      <c r="F3629" s="27">
        <f t="shared" ca="1" si="108"/>
        <v>147.34</v>
      </c>
    </row>
    <row r="3630" spans="1:6" ht="14.25" customHeight="1" x14ac:dyDescent="0.25">
      <c r="A3630" s="25" t="s">
        <v>624</v>
      </c>
      <c r="B3630" s="26" t="str">
        <f ca="1">IFERROR(INDEX(UNSPSCDes,MATCH(INDIRECT(ADDRESS(ROW(),COLUMN()-1,4)),UNSPSCCode,0)),IF(INDIRECT(ADDRESS(ROW(),COLUMN()-1,4))="31161503","Clavo-tornillo",""))</f>
        <v>Clavo-tornillo</v>
      </c>
      <c r="C3630" s="58" t="str">
        <f>IFERROR(VLOOKUP("UD",'Informacion '!P:Q,2,FALSE),"")</f>
        <v>Unidad</v>
      </c>
      <c r="D3630" s="25">
        <v>200</v>
      </c>
      <c r="E3630" s="28">
        <v>135.5</v>
      </c>
      <c r="F3630" s="27">
        <f t="shared" ref="F3630:F3661" ca="1" si="109">INDIRECT(ADDRESS(ROW(),COLUMN()-2,4))*INDIRECT(ADDRESS(ROW(),COLUMN()-1,4))</f>
        <v>27100</v>
      </c>
    </row>
    <row r="3631" spans="1:6" ht="14.25" customHeight="1" x14ac:dyDescent="0.25">
      <c r="A3631" s="25" t="s">
        <v>624</v>
      </c>
      <c r="B3631" s="26" t="str">
        <f ca="1">IFERROR(INDEX(UNSPSCDes,MATCH(INDIRECT(ADDRESS(ROW(),COLUMN()-1,4)),UNSPSCCode,0)),IF(INDIRECT(ADDRESS(ROW(),COLUMN()-1,4))="31161503","Clavo-tornillo",""))</f>
        <v>Clavo-tornillo</v>
      </c>
      <c r="C3631" s="58" t="str">
        <f>IFERROR(VLOOKUP("UD",'Informacion '!P:Q,2,FALSE),"")</f>
        <v>Unidad</v>
      </c>
      <c r="D3631" s="25">
        <v>200</v>
      </c>
      <c r="E3631" s="28">
        <v>135.5</v>
      </c>
      <c r="F3631" s="27">
        <f t="shared" ca="1" si="109"/>
        <v>27100</v>
      </c>
    </row>
    <row r="3632" spans="1:6" ht="14.25" customHeight="1" x14ac:dyDescent="0.25">
      <c r="A3632" s="25" t="s">
        <v>1125</v>
      </c>
      <c r="B3632" s="26" t="str">
        <f ca="1">IFERROR(INDEX(UNSPSCDes,MATCH(INDIRECT(ADDRESS(ROW(),COLUMN()-1,4)),UNSPSCCode,0)),IF(INDIRECT(ADDRESS(ROW(),COLUMN()-1,4))="31161505","Tornillos de presión",""))</f>
        <v>Tornillos de presión</v>
      </c>
      <c r="C3632" s="58" t="str">
        <f>IFERROR(VLOOKUP("UD",'Informacion '!P:Q,2,FALSE),"")</f>
        <v>Unidad</v>
      </c>
      <c r="D3632" s="25">
        <v>200</v>
      </c>
      <c r="E3632" s="28">
        <v>135.5</v>
      </c>
      <c r="F3632" s="27">
        <f t="shared" ca="1" si="109"/>
        <v>27100</v>
      </c>
    </row>
    <row r="3633" spans="1:6" ht="14.25" customHeight="1" x14ac:dyDescent="0.25">
      <c r="A3633" s="25" t="s">
        <v>624</v>
      </c>
      <c r="B3633" s="26" t="str">
        <f t="shared" ref="B3633:B3641" ca="1" si="110">IFERROR(INDEX(UNSPSCDes,MATCH(INDIRECT(ADDRESS(ROW(),COLUMN()-1,4)),UNSPSCCode,0)),IF(INDIRECT(ADDRESS(ROW(),COLUMN()-1,4))="31161503","Clavo-tornillo",""))</f>
        <v>Clavo-tornillo</v>
      </c>
      <c r="C3633" s="58" t="str">
        <f>IFERROR(VLOOKUP("UD",'Informacion '!P:Q,2,FALSE),"")</f>
        <v>Unidad</v>
      </c>
      <c r="D3633" s="25">
        <v>200</v>
      </c>
      <c r="E3633" s="28">
        <v>0.9</v>
      </c>
      <c r="F3633" s="27">
        <f t="shared" ca="1" si="109"/>
        <v>180</v>
      </c>
    </row>
    <row r="3634" spans="1:6" ht="14.25" customHeight="1" x14ac:dyDescent="0.25">
      <c r="A3634" s="25" t="s">
        <v>624</v>
      </c>
      <c r="B3634" s="26" t="str">
        <f t="shared" ca="1" si="110"/>
        <v>Clavo-tornillo</v>
      </c>
      <c r="C3634" s="58" t="str">
        <f>IFERROR(VLOOKUP("UD",'Informacion '!P:Q,2,FALSE),"")</f>
        <v>Unidad</v>
      </c>
      <c r="D3634" s="25">
        <v>200</v>
      </c>
      <c r="E3634" s="28">
        <v>0.9</v>
      </c>
      <c r="F3634" s="27">
        <f t="shared" ca="1" si="109"/>
        <v>180</v>
      </c>
    </row>
    <row r="3635" spans="1:6" ht="14.25" customHeight="1" x14ac:dyDescent="0.25">
      <c r="A3635" s="25" t="s">
        <v>624</v>
      </c>
      <c r="B3635" s="26" t="str">
        <f t="shared" ca="1" si="110"/>
        <v>Clavo-tornillo</v>
      </c>
      <c r="C3635" s="58" t="str">
        <f>IFERROR(VLOOKUP("UD",'Informacion '!P:Q,2,FALSE),"")</f>
        <v>Unidad</v>
      </c>
      <c r="D3635" s="25">
        <v>200</v>
      </c>
      <c r="E3635" s="28">
        <v>0.61</v>
      </c>
      <c r="F3635" s="27">
        <f t="shared" ca="1" si="109"/>
        <v>122</v>
      </c>
    </row>
    <row r="3636" spans="1:6" ht="14.25" customHeight="1" x14ac:dyDescent="0.25">
      <c r="A3636" s="25" t="s">
        <v>624</v>
      </c>
      <c r="B3636" s="26" t="str">
        <f t="shared" ca="1" si="110"/>
        <v>Clavo-tornillo</v>
      </c>
      <c r="C3636" s="58" t="str">
        <f>IFERROR(VLOOKUP("UD",'Informacion '!P:Q,2,FALSE),"")</f>
        <v>Unidad</v>
      </c>
      <c r="D3636" s="25">
        <v>500</v>
      </c>
      <c r="E3636" s="28">
        <v>0.27</v>
      </c>
      <c r="F3636" s="27">
        <f t="shared" ca="1" si="109"/>
        <v>135</v>
      </c>
    </row>
    <row r="3637" spans="1:6" ht="14.25" customHeight="1" x14ac:dyDescent="0.25">
      <c r="A3637" s="25" t="s">
        <v>624</v>
      </c>
      <c r="B3637" s="26" t="str">
        <f t="shared" ca="1" si="110"/>
        <v>Clavo-tornillo</v>
      </c>
      <c r="C3637" s="58" t="str">
        <f>IFERROR(VLOOKUP("UD",'Informacion '!P:Q,2,FALSE),"")</f>
        <v>Unidad</v>
      </c>
      <c r="D3637" s="25">
        <v>500</v>
      </c>
      <c r="E3637" s="28">
        <v>0.9</v>
      </c>
      <c r="F3637" s="27">
        <f t="shared" ca="1" si="109"/>
        <v>450</v>
      </c>
    </row>
    <row r="3638" spans="1:6" ht="14.25" customHeight="1" x14ac:dyDescent="0.25">
      <c r="A3638" s="25" t="s">
        <v>624</v>
      </c>
      <c r="B3638" s="26" t="str">
        <f t="shared" ca="1" si="110"/>
        <v>Clavo-tornillo</v>
      </c>
      <c r="C3638" s="58" t="str">
        <f>IFERROR(VLOOKUP("UD",'Informacion '!P:Q,2,FALSE),"")</f>
        <v>Unidad</v>
      </c>
      <c r="D3638" s="25">
        <v>10</v>
      </c>
      <c r="E3638" s="28">
        <v>850</v>
      </c>
      <c r="F3638" s="27">
        <f t="shared" ca="1" si="109"/>
        <v>8500</v>
      </c>
    </row>
    <row r="3639" spans="1:6" ht="14.25" customHeight="1" x14ac:dyDescent="0.25">
      <c r="A3639" s="25" t="s">
        <v>624</v>
      </c>
      <c r="B3639" s="26" t="str">
        <f t="shared" ca="1" si="110"/>
        <v>Clavo-tornillo</v>
      </c>
      <c r="C3639" s="58" t="str">
        <f>IFERROR(VLOOKUP("UD",'Informacion '!P:Q,2,FALSE),"")</f>
        <v>Unidad</v>
      </c>
      <c r="D3639" s="25">
        <v>10</v>
      </c>
      <c r="E3639" s="28">
        <v>900</v>
      </c>
      <c r="F3639" s="27">
        <f t="shared" ca="1" si="109"/>
        <v>9000</v>
      </c>
    </row>
    <row r="3640" spans="1:6" ht="14.25" customHeight="1" x14ac:dyDescent="0.25">
      <c r="A3640" s="25" t="s">
        <v>624</v>
      </c>
      <c r="B3640" s="26" t="str">
        <f t="shared" ca="1" si="110"/>
        <v>Clavo-tornillo</v>
      </c>
      <c r="C3640" s="58" t="str">
        <f>IFERROR(VLOOKUP("UD",'Informacion '!P:Q,2,FALSE),"")</f>
        <v>Unidad</v>
      </c>
      <c r="D3640" s="25">
        <v>10</v>
      </c>
      <c r="E3640" s="28">
        <v>900</v>
      </c>
      <c r="F3640" s="27">
        <f t="shared" ca="1" si="109"/>
        <v>9000</v>
      </c>
    </row>
    <row r="3641" spans="1:6" ht="14.25" customHeight="1" x14ac:dyDescent="0.25">
      <c r="A3641" s="25" t="s">
        <v>624</v>
      </c>
      <c r="B3641" s="26" t="str">
        <f t="shared" ca="1" si="110"/>
        <v>Clavo-tornillo</v>
      </c>
      <c r="C3641" s="58" t="str">
        <f>IFERROR(VLOOKUP("UD",'Informacion '!P:Q,2,FALSE),"")</f>
        <v>Unidad</v>
      </c>
      <c r="D3641" s="25">
        <v>200</v>
      </c>
      <c r="E3641" s="28">
        <v>150</v>
      </c>
      <c r="F3641" s="27">
        <f t="shared" ca="1" si="109"/>
        <v>30000</v>
      </c>
    </row>
    <row r="3642" spans="1:6" ht="14.25" customHeight="1" x14ac:dyDescent="0.25">
      <c r="A3642" s="25" t="s">
        <v>966</v>
      </c>
      <c r="B3642" s="26" t="str">
        <f ca="1">IFERROR(INDEX(UNSPSCDes,MATCH(INDIRECT(ADDRESS(ROW(),COLUMN()-1,4)),UNSPSCCode,0)),IF(INDIRECT(ADDRESS(ROW(),COLUMN()-1,4))="60105705","Cinta pegante libre de ácido",""))</f>
        <v>Cinta pegante libre de ácido</v>
      </c>
      <c r="C3642" s="58" t="str">
        <f>IFERROR(VLOOKUP("UD",'Informacion '!P:Q,2,FALSE),"")</f>
        <v>Unidad</v>
      </c>
      <c r="D3642" s="25">
        <v>50</v>
      </c>
      <c r="E3642" s="28">
        <v>151.87</v>
      </c>
      <c r="F3642" s="27">
        <f t="shared" ca="1" si="109"/>
        <v>7593.5</v>
      </c>
    </row>
    <row r="3643" spans="1:6" ht="14.25" customHeight="1" x14ac:dyDescent="0.25">
      <c r="A3643" s="25" t="s">
        <v>431</v>
      </c>
      <c r="B3643" s="26" t="str">
        <f ca="1">IFERROR(INDEX(UNSPSCDes,MATCH(INDIRECT(ADDRESS(ROW(),COLUMN()-1,4)),UNSPSCCode,0)),IF(INDIRECT(ADDRESS(ROW(),COLUMN()-1,4))="31201512","Cinta transparente",""))</f>
        <v>Cinta transparente</v>
      </c>
      <c r="C3643" s="58" t="str">
        <f>IFERROR(VLOOKUP("UD",'Informacion '!P:Q,2,FALSE),"")</f>
        <v>Unidad</v>
      </c>
      <c r="D3643" s="25">
        <v>50</v>
      </c>
      <c r="E3643" s="28">
        <v>4000</v>
      </c>
      <c r="F3643" s="27">
        <f t="shared" ca="1" si="109"/>
        <v>200000</v>
      </c>
    </row>
    <row r="3644" spans="1:6" ht="14.25" customHeight="1" x14ac:dyDescent="0.25">
      <c r="A3644" s="25" t="s">
        <v>1142</v>
      </c>
      <c r="B3644" s="26" t="str">
        <f ca="1">IFERROR(INDEX(UNSPSCDes,MATCH(INDIRECT(ADDRESS(ROW(),COLUMN()-1,4)),UNSPSCCode,0)),IF(INDIRECT(ADDRESS(ROW(),COLUMN()-1,4))="15121902","Grasa",""))</f>
        <v>Grasa</v>
      </c>
      <c r="C3644" s="58" t="str">
        <f>IFERROR(VLOOKUP("UD",'Informacion '!P:Q,2,FALSE),"")</f>
        <v>Unidad</v>
      </c>
      <c r="D3644" s="25">
        <v>20</v>
      </c>
      <c r="E3644" s="28">
        <v>642.98</v>
      </c>
      <c r="F3644" s="27">
        <f t="shared" ca="1" si="109"/>
        <v>12859.6</v>
      </c>
    </row>
    <row r="3645" spans="1:6" ht="14.25" customHeight="1" x14ac:dyDescent="0.25">
      <c r="A3645" s="25" t="s">
        <v>150</v>
      </c>
      <c r="B3645" s="26" t="str">
        <f ca="1">IFERROR(INDEX(UNSPSCDes,MATCH(INDIRECT(ADDRESS(ROW(),COLUMN()-1,4)),UNSPSCCode,0)),IF(INDIRECT(ADDRESS(ROW(),COLUMN()-1,4))="30102905","Postes de plástico",""))</f>
        <v>Postes de plástico</v>
      </c>
      <c r="C3645" s="58" t="str">
        <f>IFERROR(VLOOKUP("UD",'Informacion '!P:Q,2,FALSE),"")</f>
        <v>Unidad</v>
      </c>
      <c r="D3645" s="25">
        <v>10</v>
      </c>
      <c r="E3645" s="28">
        <v>800</v>
      </c>
      <c r="F3645" s="27">
        <f t="shared" ca="1" si="109"/>
        <v>8000</v>
      </c>
    </row>
    <row r="3646" spans="1:6" ht="14.25" customHeight="1" x14ac:dyDescent="0.25">
      <c r="A3646" s="25" t="s">
        <v>261</v>
      </c>
      <c r="B3646" s="26" t="str">
        <f ca="1">IFERROR(INDEX(UNSPSCDes,MATCH(INDIRECT(ADDRESS(ROW(),COLUMN()-1,4)),UNSPSCCode,0)),IF(INDIRECT(ADDRESS(ROW(),COLUMN()-1,4))="27111507","Cortadores de metal",""))</f>
        <v>Cortadores de metal</v>
      </c>
      <c r="C3646" s="58" t="str">
        <f>IFERROR(VLOOKUP("UD",'Informacion '!P:Q,2,FALSE),"")</f>
        <v>Unidad</v>
      </c>
      <c r="D3646" s="25">
        <v>50</v>
      </c>
      <c r="E3646" s="28">
        <v>45</v>
      </c>
      <c r="F3646" s="27">
        <f t="shared" ca="1" si="109"/>
        <v>2250</v>
      </c>
    </row>
    <row r="3647" spans="1:6" ht="14.25" customHeight="1" x14ac:dyDescent="0.25">
      <c r="A3647" s="25" t="s">
        <v>439</v>
      </c>
      <c r="B3647" s="26" t="str">
        <f ca="1">IFERROR(INDEX(UNSPSCDes,MATCH(INDIRECT(ADDRESS(ROW(),COLUMN()-1,4)),UNSPSCCode,0)),IF(INDIRECT(ADDRESS(ROW(),COLUMN()-1,4))="40142009","Mangueras multipropósito de aire, agua y gas",""))</f>
        <v>Mangueras multipropósito de aire, agua y gas</v>
      </c>
      <c r="C3647" s="58" t="str">
        <f>IFERROR(VLOOKUP("UD",'Informacion '!P:Q,2,FALSE),"")</f>
        <v>Unidad</v>
      </c>
      <c r="D3647" s="25">
        <v>8</v>
      </c>
      <c r="E3647" s="28">
        <v>2600</v>
      </c>
      <c r="F3647" s="27">
        <f t="shared" ca="1" si="109"/>
        <v>20800</v>
      </c>
    </row>
    <row r="3648" spans="1:6" ht="14.25" customHeight="1" x14ac:dyDescent="0.25">
      <c r="A3648" s="25" t="s">
        <v>987</v>
      </c>
      <c r="B3648" s="26" t="str">
        <f ca="1">IFERROR(INDEX(UNSPSCDes,MATCH(INDIRECT(ADDRESS(ROW(),COLUMN()-1,4)),UNSPSCCode,0)),IF(INDIRECT(ADDRESS(ROW(),COLUMN()-1,4))="40141734","Conectores para mangueras",""))</f>
        <v>Conectores para mangueras</v>
      </c>
      <c r="C3648" s="58" t="str">
        <f>IFERROR(VLOOKUP("UD",'Informacion '!P:Q,2,FALSE),"")</f>
        <v>Unidad</v>
      </c>
      <c r="D3648" s="25">
        <v>10</v>
      </c>
      <c r="E3648" s="28">
        <v>85</v>
      </c>
      <c r="F3648" s="27">
        <f t="shared" ca="1" si="109"/>
        <v>850</v>
      </c>
    </row>
    <row r="3649" spans="1:6" ht="14.25" customHeight="1" x14ac:dyDescent="0.25">
      <c r="A3649" s="25" t="s">
        <v>215</v>
      </c>
      <c r="B3649" s="26" t="str">
        <f ca="1">IFERROR(INDEX(UNSPSCDes,MATCH(INDIRECT(ADDRESS(ROW(),COLUMN()-1,4)),UNSPSCCode,0)),IF(INDIRECT(ADDRESS(ROW(),COLUMN()-1,4))="31162503","Puntales",""))</f>
        <v>Puntales</v>
      </c>
      <c r="C3649" s="58" t="str">
        <f>IFERROR(VLOOKUP("UD",'Informacion '!P:Q,2,FALSE),"")</f>
        <v>Unidad</v>
      </c>
      <c r="D3649" s="25">
        <v>50</v>
      </c>
      <c r="E3649" s="28">
        <v>45</v>
      </c>
      <c r="F3649" s="27">
        <f t="shared" ca="1" si="109"/>
        <v>2250</v>
      </c>
    </row>
    <row r="3650" spans="1:6" ht="14.25" customHeight="1" x14ac:dyDescent="0.25">
      <c r="A3650" s="25" t="s">
        <v>215</v>
      </c>
      <c r="B3650" s="26" t="str">
        <f ca="1">IFERROR(INDEX(UNSPSCDes,MATCH(INDIRECT(ADDRESS(ROW(),COLUMN()-1,4)),UNSPSCCode,0)),IF(INDIRECT(ADDRESS(ROW(),COLUMN()-1,4))="31162503","Puntales",""))</f>
        <v>Puntales</v>
      </c>
      <c r="C3650" s="58" t="str">
        <f>IFERROR(VLOOKUP("UD",'Informacion '!P:Q,2,FALSE),"")</f>
        <v>Unidad</v>
      </c>
      <c r="D3650" s="25">
        <v>50</v>
      </c>
      <c r="E3650" s="28">
        <v>45</v>
      </c>
      <c r="F3650" s="27">
        <f t="shared" ca="1" si="109"/>
        <v>2250</v>
      </c>
    </row>
    <row r="3651" spans="1:6" ht="14.25" customHeight="1" x14ac:dyDescent="0.25">
      <c r="A3651" s="25" t="s">
        <v>233</v>
      </c>
      <c r="B3651" s="26" t="str">
        <f ca="1">IFERROR(INDEX(UNSPSCDes,MATCH(INDIRECT(ADDRESS(ROW(),COLUMN()-1,4)),UNSPSCCode,0)),IF(INDIRECT(ADDRESS(ROW(),COLUMN()-1,4))="24101507","Carretillas",""))</f>
        <v>Carretillas</v>
      </c>
      <c r="C3651" s="58" t="str">
        <f>IFERROR(VLOOKUP("UD",'Informacion '!P:Q,2,FALSE),"")</f>
        <v>Unidad</v>
      </c>
      <c r="D3651" s="25">
        <v>10</v>
      </c>
      <c r="E3651" s="28">
        <v>4500</v>
      </c>
      <c r="F3651" s="27">
        <f t="shared" ca="1" si="109"/>
        <v>45000</v>
      </c>
    </row>
    <row r="3652" spans="1:6" ht="14.25" customHeight="1" x14ac:dyDescent="0.25">
      <c r="A3652" s="25" t="s">
        <v>509</v>
      </c>
      <c r="B3652" s="26" t="str">
        <f ca="1">IFERROR(INDEX(UNSPSCDes,MATCH(INDIRECT(ADDRESS(ROW(),COLUMN()-1,4)),UNSPSCCode,0)),IF(INDIRECT(ADDRESS(ROW(),COLUMN()-1,4))="27113202","Kit de herramientas para ajustar rodamiento",""))</f>
        <v>Kit de herramientas para ajustar rodamiento</v>
      </c>
      <c r="C3652" s="58" t="str">
        <f>IFERROR(VLOOKUP("UD",'Informacion '!P:Q,2,FALSE),"")</f>
        <v>Unidad</v>
      </c>
      <c r="D3652" s="25">
        <v>10</v>
      </c>
      <c r="E3652" s="28">
        <v>400</v>
      </c>
      <c r="F3652" s="27">
        <f t="shared" ca="1" si="109"/>
        <v>4000</v>
      </c>
    </row>
    <row r="3653" spans="1:6" ht="14.25" customHeight="1" x14ac:dyDescent="0.25">
      <c r="A3653" s="25" t="s">
        <v>1140</v>
      </c>
      <c r="B3653" s="26" t="str">
        <f ca="1">IFERROR(INDEX(UNSPSCDes,MATCH(INDIRECT(ADDRESS(ROW(),COLUMN()-1,4)),UNSPSCCode,0)),IF(INDIRECT(ADDRESS(ROW(),COLUMN()-1,4))="27111905","Esmeriladoras",""))</f>
        <v>Esmeriladoras</v>
      </c>
      <c r="C3653" s="58" t="str">
        <f>IFERROR(VLOOKUP("UD",'Informacion '!P:Q,2,FALSE),"")</f>
        <v>Unidad</v>
      </c>
      <c r="D3653" s="25">
        <v>100</v>
      </c>
      <c r="E3653" s="28">
        <v>35</v>
      </c>
      <c r="F3653" s="27">
        <f t="shared" ca="1" si="109"/>
        <v>3500</v>
      </c>
    </row>
    <row r="3654" spans="1:6" ht="14.25" customHeight="1" x14ac:dyDescent="0.25">
      <c r="A3654" s="25" t="s">
        <v>1140</v>
      </c>
      <c r="B3654" s="26" t="str">
        <f ca="1">IFERROR(INDEX(UNSPSCDes,MATCH(INDIRECT(ADDRESS(ROW(),COLUMN()-1,4)),UNSPSCCode,0)),IF(INDIRECT(ADDRESS(ROW(),COLUMN()-1,4))="27111905","Esmeriladoras",""))</f>
        <v>Esmeriladoras</v>
      </c>
      <c r="C3654" s="58" t="str">
        <f>IFERROR(VLOOKUP("UD",'Informacion '!P:Q,2,FALSE),"")</f>
        <v>Unidad</v>
      </c>
      <c r="D3654" s="25">
        <v>20</v>
      </c>
      <c r="E3654" s="28">
        <v>800</v>
      </c>
      <c r="F3654" s="27">
        <f t="shared" ca="1" si="109"/>
        <v>16000</v>
      </c>
    </row>
    <row r="3655" spans="1:6" ht="14.25" customHeight="1" x14ac:dyDescent="0.25">
      <c r="A3655" s="25" t="s">
        <v>58</v>
      </c>
      <c r="B3655" s="26" t="str">
        <f ca="1">IFERROR(INDEX(UNSPSCDes,MATCH(INDIRECT(ADDRESS(ROW(),COLUMN()-1,4)),UNSPSCCode,0)),IF(INDIRECT(ADDRESS(ROW(),COLUMN()-1,4))="46181504","Guantes de protección",""))</f>
        <v>Guantes de protección</v>
      </c>
      <c r="C3655" s="58" t="str">
        <f>IFERROR(VLOOKUP("UD",'Informacion '!P:Q,2,FALSE),"")</f>
        <v>Unidad</v>
      </c>
      <c r="D3655" s="25">
        <v>500</v>
      </c>
      <c r="E3655" s="28">
        <v>600</v>
      </c>
      <c r="F3655" s="27">
        <f t="shared" ca="1" si="109"/>
        <v>300000</v>
      </c>
    </row>
    <row r="3656" spans="1:6" ht="14.25" customHeight="1" x14ac:dyDescent="0.25">
      <c r="A3656" s="25" t="s">
        <v>959</v>
      </c>
      <c r="B3656" s="26" t="str">
        <f ca="1">IFERROR(INDEX(UNSPSCDes,MATCH(INDIRECT(ADDRESS(ROW(),COLUMN()-1,4)),UNSPSCCode,0)),IF(INDIRECT(ADDRESS(ROW(),COLUMN()-1,4))="40141610","Válvulas de flotación",""))</f>
        <v>Válvulas de flotación</v>
      </c>
      <c r="C3656" s="58" t="str">
        <f>IFERROR(VLOOKUP("UD",'Informacion '!P:Q,2,FALSE),"")</f>
        <v>Unidad</v>
      </c>
      <c r="D3656" s="25">
        <v>10</v>
      </c>
      <c r="E3656" s="28">
        <v>125</v>
      </c>
      <c r="F3656" s="27">
        <f t="shared" ca="1" si="109"/>
        <v>1250</v>
      </c>
    </row>
    <row r="3657" spans="1:6" ht="14.25" customHeight="1" x14ac:dyDescent="0.25">
      <c r="A3657" s="25" t="s">
        <v>321</v>
      </c>
      <c r="B3657" s="26" t="str">
        <f ca="1">IFERROR(INDEX(UNSPSCDes,MATCH(INDIRECT(ADDRESS(ROW(),COLUMN()-1,4)),UNSPSCCode,0)),IF(INDIRECT(ADDRESS(ROW(),COLUMN()-1,4))="27111501","Hojas de cuchillo",""))</f>
        <v>Hojas de cuchillo</v>
      </c>
      <c r="C3657" s="58" t="str">
        <f>IFERROR(VLOOKUP("UD",'Informacion '!P:Q,2,FALSE),"")</f>
        <v>Unidad</v>
      </c>
      <c r="D3657" s="25">
        <v>50</v>
      </c>
      <c r="E3657" s="28">
        <v>45</v>
      </c>
      <c r="F3657" s="27">
        <f t="shared" ca="1" si="109"/>
        <v>2250</v>
      </c>
    </row>
    <row r="3658" spans="1:6" ht="14.25" customHeight="1" x14ac:dyDescent="0.25">
      <c r="A3658" s="25" t="s">
        <v>1102</v>
      </c>
      <c r="B3658" s="26" t="str">
        <f ca="1">IFERROR(INDEX(UNSPSCDes,MATCH(INDIRECT(ADDRESS(ROW(),COLUMN()-1,4)),UNSPSCCode,0)),IF(INDIRECT(ADDRESS(ROW(),COLUMN()-1,4))="27112003","Rastrillos",""))</f>
        <v>Rastrillos</v>
      </c>
      <c r="C3658" s="58" t="str">
        <f>IFERROR(VLOOKUP("UD",'Informacion '!P:Q,2,FALSE),"")</f>
        <v>Unidad</v>
      </c>
      <c r="D3658" s="25">
        <v>8</v>
      </c>
      <c r="E3658" s="28">
        <v>500</v>
      </c>
      <c r="F3658" s="27">
        <f t="shared" ca="1" si="109"/>
        <v>4000</v>
      </c>
    </row>
    <row r="3659" spans="1:6" ht="14.25" customHeight="1" x14ac:dyDescent="0.25">
      <c r="A3659" s="25" t="s">
        <v>1138</v>
      </c>
      <c r="B3659" s="26" t="str">
        <f ca="1">IFERROR(INDEX(UNSPSCDes,MATCH(INDIRECT(ADDRESS(ROW(),COLUMN()-1,4)),UNSPSCCode,0)),IF(INDIRECT(ADDRESS(ROW(),COLUMN()-1,4))="31162402","Cerraduras",""))</f>
        <v>Cerraduras</v>
      </c>
      <c r="C3659" s="58" t="str">
        <f>IFERROR(VLOOKUP("UD",'Informacion '!P:Q,2,FALSE),"")</f>
        <v>Unidad</v>
      </c>
      <c r="D3659" s="25">
        <v>5</v>
      </c>
      <c r="E3659" s="28">
        <v>800</v>
      </c>
      <c r="F3659" s="27">
        <f t="shared" ca="1" si="109"/>
        <v>4000</v>
      </c>
    </row>
    <row r="3660" spans="1:6" ht="14.25" customHeight="1" x14ac:dyDescent="0.25">
      <c r="A3660" s="25" t="s">
        <v>692</v>
      </c>
      <c r="B3660" s="26" t="str">
        <f ca="1">IFERROR(INDEX(UNSPSCDes,MATCH(INDIRECT(ADDRESS(ROW(),COLUMN()-1,4)),UNSPSCCode,0)),IF(INDIRECT(ADDRESS(ROW(),COLUMN()-1,4))="27111708","Llaves para tubos",""))</f>
        <v>Llaves para tubos</v>
      </c>
      <c r="C3660" s="58" t="str">
        <f>IFERROR(VLOOKUP("UD",'Informacion '!P:Q,2,FALSE),"")</f>
        <v>Unidad</v>
      </c>
      <c r="D3660" s="25">
        <v>5</v>
      </c>
      <c r="E3660" s="28">
        <v>890</v>
      </c>
      <c r="F3660" s="27">
        <f t="shared" ca="1" si="109"/>
        <v>4450</v>
      </c>
    </row>
    <row r="3661" spans="1:6" ht="14.25" customHeight="1" x14ac:dyDescent="0.25">
      <c r="A3661" s="25" t="s">
        <v>855</v>
      </c>
      <c r="B3661" s="26" t="str">
        <f ca="1">IFERROR(INDEX(UNSPSCDes,MATCH(INDIRECT(ADDRESS(ROW(),COLUMN()-1,4)),UNSPSCCode,0)),IF(INDIRECT(ADDRESS(ROW(),COLUMN()-1,4))="30151901","Toldos",""))</f>
        <v>Toldos</v>
      </c>
      <c r="C3661" s="58" t="str">
        <f>IFERROR(VLOOKUP("UD",'Informacion '!P:Q,2,FALSE),"")</f>
        <v>Unidad</v>
      </c>
      <c r="D3661" s="25">
        <v>4</v>
      </c>
      <c r="E3661" s="28">
        <v>2500</v>
      </c>
      <c r="F3661" s="27">
        <f t="shared" ca="1" si="109"/>
        <v>10000</v>
      </c>
    </row>
    <row r="3662" spans="1:6" ht="14.25" customHeight="1" x14ac:dyDescent="0.25">
      <c r="A3662" s="25" t="s">
        <v>1119</v>
      </c>
      <c r="B3662" s="26" t="str">
        <f ca="1">IFERROR(INDEX(UNSPSCDes,MATCH(INDIRECT(ADDRESS(ROW(),COLUMN()-1,4)),UNSPSCCode,0)),IF(INDIRECT(ADDRESS(ROW(),COLUMN()-1,4))="47131821","Compuestos desengrasantes",""))</f>
        <v>Compuestos desengrasantes</v>
      </c>
      <c r="C3662" s="58" t="str">
        <f>IFERROR(VLOOKUP("UD",'Informacion '!P:Q,2,FALSE),"")</f>
        <v>Unidad</v>
      </c>
      <c r="D3662" s="25">
        <v>30</v>
      </c>
      <c r="E3662" s="28">
        <v>381</v>
      </c>
      <c r="F3662" s="27">
        <f t="shared" ref="F3662:F3681" ca="1" si="111">INDIRECT(ADDRESS(ROW(),COLUMN()-2,4))*INDIRECT(ADDRESS(ROW(),COLUMN()-1,4))</f>
        <v>11430</v>
      </c>
    </row>
    <row r="3663" spans="1:6" ht="14.25" customHeight="1" x14ac:dyDescent="0.25">
      <c r="A3663" s="25" t="s">
        <v>353</v>
      </c>
      <c r="B3663" s="26" t="str">
        <f ca="1">IFERROR(INDEX(UNSPSCDes,MATCH(INDIRECT(ADDRESS(ROW(),COLUMN()-1,4)),UNSPSCCode,0)),IF(INDIRECT(ADDRESS(ROW(),COLUMN()-1,4))="15121520","Lubricantes de propósito general",""))</f>
        <v>Lubricantes de propósito general</v>
      </c>
      <c r="C3663" s="58" t="str">
        <f>IFERROR(VLOOKUP("UD",'Informacion '!P:Q,2,FALSE),"")</f>
        <v>Unidad</v>
      </c>
      <c r="D3663" s="25">
        <v>30</v>
      </c>
      <c r="E3663" s="28">
        <v>345</v>
      </c>
      <c r="F3663" s="27">
        <f t="shared" ca="1" si="111"/>
        <v>10350</v>
      </c>
    </row>
    <row r="3664" spans="1:6" ht="14.25" customHeight="1" x14ac:dyDescent="0.25">
      <c r="A3664" s="25" t="s">
        <v>1119</v>
      </c>
      <c r="B3664" s="26" t="str">
        <f ca="1">IFERROR(INDEX(UNSPSCDes,MATCH(INDIRECT(ADDRESS(ROW(),COLUMN()-1,4)),UNSPSCCode,0)),IF(INDIRECT(ADDRESS(ROW(),COLUMN()-1,4))="47131821","Compuestos desengrasantes",""))</f>
        <v>Compuestos desengrasantes</v>
      </c>
      <c r="C3664" s="58" t="str">
        <f>IFERROR(VLOOKUP("UD",'Informacion '!P:Q,2,FALSE),"")</f>
        <v>Unidad</v>
      </c>
      <c r="D3664" s="25">
        <v>30</v>
      </c>
      <c r="E3664" s="28">
        <v>236</v>
      </c>
      <c r="F3664" s="27">
        <f t="shared" ca="1" si="111"/>
        <v>7080</v>
      </c>
    </row>
    <row r="3665" spans="1:6" ht="14.25" customHeight="1" x14ac:dyDescent="0.25">
      <c r="A3665" s="25" t="s">
        <v>851</v>
      </c>
      <c r="B3665" s="26" t="str">
        <f ca="1">IFERROR(INDEX(UNSPSCDes,MATCH(INDIRECT(ADDRESS(ROW(),COLUMN()-1,4)),UNSPSCCode,0)),IF(INDIRECT(ADDRESS(ROW(),COLUMN()-1,4))="27112111","Alicates de lagarto",""))</f>
        <v>Alicates de lagarto</v>
      </c>
      <c r="C3665" s="58" t="str">
        <f>IFERROR(VLOOKUP("UD",'Informacion '!P:Q,2,FALSE),"")</f>
        <v>Unidad</v>
      </c>
      <c r="D3665" s="25">
        <v>10</v>
      </c>
      <c r="E3665" s="28">
        <v>2500</v>
      </c>
      <c r="F3665" s="27">
        <f t="shared" ca="1" si="111"/>
        <v>25000</v>
      </c>
    </row>
    <row r="3666" spans="1:6" ht="14.25" customHeight="1" x14ac:dyDescent="0.25">
      <c r="A3666" s="25" t="s">
        <v>245</v>
      </c>
      <c r="B3666" s="26" t="str">
        <f ca="1">IFERROR(INDEX(UNSPSCDes,MATCH(INDIRECT(ADDRESS(ROW(),COLUMN()-1,4)),UNSPSCCode,0)),IF(INDIRECT(ADDRESS(ROW(),COLUMN()-1,4))="27113201","Conjuntos generales de herramientas",""))</f>
        <v>Conjuntos generales de herramientas</v>
      </c>
      <c r="C3666" s="58" t="str">
        <f>IFERROR(VLOOKUP("UD",'Informacion '!P:Q,2,FALSE),"")</f>
        <v>Unidad</v>
      </c>
      <c r="D3666" s="25">
        <v>10</v>
      </c>
      <c r="E3666" s="28">
        <v>350</v>
      </c>
      <c r="F3666" s="27">
        <f t="shared" ca="1" si="111"/>
        <v>3500</v>
      </c>
    </row>
    <row r="3667" spans="1:6" ht="14.25" customHeight="1" x14ac:dyDescent="0.25">
      <c r="A3667" s="25" t="s">
        <v>1141</v>
      </c>
      <c r="B3667" s="26" t="str">
        <f ca="1">IFERROR(INDEX(UNSPSCDes,MATCH(INDIRECT(ADDRESS(ROW(),COLUMN()-1,4)),UNSPSCCode,0)),IF(INDIRECT(ADDRESS(ROW(),COLUMN()-1,4))="27111801","Cintas métricas",""))</f>
        <v>Cintas métricas</v>
      </c>
      <c r="C3667" s="58" t="str">
        <f>IFERROR(VLOOKUP("UD",'Informacion '!P:Q,2,FALSE),"")</f>
        <v>Unidad</v>
      </c>
      <c r="D3667" s="25">
        <v>10</v>
      </c>
      <c r="E3667" s="28">
        <v>500</v>
      </c>
      <c r="F3667" s="27">
        <f t="shared" ca="1" si="111"/>
        <v>5000</v>
      </c>
    </row>
    <row r="3668" spans="1:6" ht="14.25" customHeight="1" x14ac:dyDescent="0.25">
      <c r="A3668" s="25" t="s">
        <v>1141</v>
      </c>
      <c r="B3668" s="26" t="str">
        <f ca="1">IFERROR(INDEX(UNSPSCDes,MATCH(INDIRECT(ADDRESS(ROW(),COLUMN()-1,4)),UNSPSCCode,0)),IF(INDIRECT(ADDRESS(ROW(),COLUMN()-1,4))="27111801","Cintas métricas",""))</f>
        <v>Cintas métricas</v>
      </c>
      <c r="C3668" s="58" t="str">
        <f>IFERROR(VLOOKUP("UD",'Informacion '!P:Q,2,FALSE),"")</f>
        <v>Unidad</v>
      </c>
      <c r="D3668" s="25">
        <v>10</v>
      </c>
      <c r="E3668" s="28">
        <v>900</v>
      </c>
      <c r="F3668" s="27">
        <f t="shared" ca="1" si="111"/>
        <v>9000</v>
      </c>
    </row>
    <row r="3669" spans="1:6" ht="14.25" customHeight="1" x14ac:dyDescent="0.25">
      <c r="A3669" s="25" t="s">
        <v>24</v>
      </c>
      <c r="B3669" s="26" t="str">
        <f t="shared" ref="B3669:B3674" ca="1" si="112">IFERROR(INDEX(UNSPSCDes,MATCH(INDIRECT(ADDRESS(ROW(),COLUMN()-1,4)),UNSPSCCode,0)),IF(INDIRECT(ADDRESS(ROW(),COLUMN()-1,4))="27111701","Destornilladores",""))</f>
        <v>Destornilladores</v>
      </c>
      <c r="C3669" s="58" t="str">
        <f>IFERROR(VLOOKUP("UD",'Informacion '!P:Q,2,FALSE),"")</f>
        <v>Unidad</v>
      </c>
      <c r="D3669" s="25">
        <v>10</v>
      </c>
      <c r="E3669" s="28">
        <v>120</v>
      </c>
      <c r="F3669" s="27">
        <f t="shared" ca="1" si="111"/>
        <v>1200</v>
      </c>
    </row>
    <row r="3670" spans="1:6" ht="14.25" customHeight="1" x14ac:dyDescent="0.25">
      <c r="A3670" s="25" t="s">
        <v>24</v>
      </c>
      <c r="B3670" s="26" t="str">
        <f t="shared" ca="1" si="112"/>
        <v>Destornilladores</v>
      </c>
      <c r="C3670" s="58" t="str">
        <f>IFERROR(VLOOKUP("UD",'Informacion '!P:Q,2,FALSE),"")</f>
        <v>Unidad</v>
      </c>
      <c r="D3670" s="25">
        <v>10</v>
      </c>
      <c r="E3670" s="28">
        <v>215</v>
      </c>
      <c r="F3670" s="27">
        <f t="shared" ca="1" si="111"/>
        <v>2150</v>
      </c>
    </row>
    <row r="3671" spans="1:6" ht="14.25" customHeight="1" x14ac:dyDescent="0.25">
      <c r="A3671" s="25" t="s">
        <v>24</v>
      </c>
      <c r="B3671" s="26" t="str">
        <f t="shared" ca="1" si="112"/>
        <v>Destornilladores</v>
      </c>
      <c r="C3671" s="58" t="str">
        <f>IFERROR(VLOOKUP("UD",'Informacion '!P:Q,2,FALSE),"")</f>
        <v>Unidad</v>
      </c>
      <c r="D3671" s="25">
        <v>10</v>
      </c>
      <c r="E3671" s="28">
        <v>350</v>
      </c>
      <c r="F3671" s="27">
        <f t="shared" ca="1" si="111"/>
        <v>3500</v>
      </c>
    </row>
    <row r="3672" spans="1:6" ht="14.25" customHeight="1" x14ac:dyDescent="0.25">
      <c r="A3672" s="25" t="s">
        <v>24</v>
      </c>
      <c r="B3672" s="26" t="str">
        <f t="shared" ca="1" si="112"/>
        <v>Destornilladores</v>
      </c>
      <c r="C3672" s="58" t="str">
        <f>IFERROR(VLOOKUP("UD",'Informacion '!P:Q,2,FALSE),"")</f>
        <v>Unidad</v>
      </c>
      <c r="D3672" s="25">
        <v>5</v>
      </c>
      <c r="E3672" s="28">
        <v>900</v>
      </c>
      <c r="F3672" s="27">
        <f t="shared" ca="1" si="111"/>
        <v>4500</v>
      </c>
    </row>
    <row r="3673" spans="1:6" ht="14.25" customHeight="1" x14ac:dyDescent="0.25">
      <c r="A3673" s="25" t="s">
        <v>24</v>
      </c>
      <c r="B3673" s="26" t="str">
        <f t="shared" ca="1" si="112"/>
        <v>Destornilladores</v>
      </c>
      <c r="C3673" s="58" t="str">
        <f>IFERROR(VLOOKUP("UD",'Informacion '!P:Q,2,FALSE),"")</f>
        <v>Unidad</v>
      </c>
      <c r="D3673" s="25">
        <v>10</v>
      </c>
      <c r="E3673" s="28">
        <v>800</v>
      </c>
      <c r="F3673" s="27">
        <f t="shared" ca="1" si="111"/>
        <v>8000</v>
      </c>
    </row>
    <row r="3674" spans="1:6" ht="14.25" customHeight="1" x14ac:dyDescent="0.25">
      <c r="A3674" s="25" t="s">
        <v>24</v>
      </c>
      <c r="B3674" s="26" t="str">
        <f t="shared" ca="1" si="112"/>
        <v>Destornilladores</v>
      </c>
      <c r="C3674" s="58" t="str">
        <f>IFERROR(VLOOKUP("UD",'Informacion '!P:Q,2,FALSE),"")</f>
        <v>Unidad</v>
      </c>
      <c r="D3674" s="25">
        <v>5</v>
      </c>
      <c r="E3674" s="28">
        <v>839.44</v>
      </c>
      <c r="F3674" s="27">
        <f t="shared" ca="1" si="111"/>
        <v>4197.2000000000007</v>
      </c>
    </row>
    <row r="3675" spans="1:6" ht="14.25" customHeight="1" x14ac:dyDescent="0.25">
      <c r="A3675" s="25" t="s">
        <v>557</v>
      </c>
      <c r="B3675" s="26" t="str">
        <f ca="1">IFERROR(INDEX(UNSPSCDes,MATCH(INDIRECT(ADDRESS(ROW(),COLUMN()-1,4)),UNSPSCCode,0)),IF(INDIRECT(ADDRESS(ROW(),COLUMN()-1,4))="27111726","Llaves de tuercas",""))</f>
        <v>Llaves de tuercas</v>
      </c>
      <c r="C3675" s="58" t="str">
        <f>IFERROR(VLOOKUP("UD",'Informacion '!P:Q,2,FALSE),"")</f>
        <v>Unidad</v>
      </c>
      <c r="D3675" s="25">
        <v>4</v>
      </c>
      <c r="E3675" s="28">
        <v>2300</v>
      </c>
      <c r="F3675" s="27">
        <f t="shared" ca="1" si="111"/>
        <v>9200</v>
      </c>
    </row>
    <row r="3676" spans="1:6" ht="14.25" customHeight="1" x14ac:dyDescent="0.25">
      <c r="A3676" s="25" t="s">
        <v>230</v>
      </c>
      <c r="B3676" s="26" t="str">
        <f ca="1">IFERROR(INDEX(UNSPSCDes,MATCH(INDIRECT(ADDRESS(ROW(),COLUMN()-1,4)),UNSPSCCode,0)),IF(INDIRECT(ADDRESS(ROW(),COLUMN()-1,4))="31201521","Cinta metálica",""))</f>
        <v>Cinta metálica</v>
      </c>
      <c r="C3676" s="58" t="str">
        <f>IFERROR(VLOOKUP("UD",'Informacion '!P:Q,2,FALSE),"")</f>
        <v>Unidad</v>
      </c>
      <c r="D3676" s="25">
        <v>20</v>
      </c>
      <c r="E3676" s="28">
        <v>2300</v>
      </c>
      <c r="F3676" s="27">
        <f t="shared" ca="1" si="111"/>
        <v>46000</v>
      </c>
    </row>
    <row r="3677" spans="1:6" ht="14.25" customHeight="1" x14ac:dyDescent="0.25">
      <c r="A3677" s="25" t="s">
        <v>692</v>
      </c>
      <c r="B3677" s="26" t="str">
        <f ca="1">IFERROR(INDEX(UNSPSCDes,MATCH(INDIRECT(ADDRESS(ROW(),COLUMN()-1,4)),UNSPSCCode,0)),IF(INDIRECT(ADDRESS(ROW(),COLUMN()-1,4))="27111708","Llaves para tubos",""))</f>
        <v>Llaves para tubos</v>
      </c>
      <c r="C3677" s="58" t="str">
        <f>IFERROR(VLOOKUP("UD",'Informacion '!P:Q,2,FALSE),"")</f>
        <v>Unidad</v>
      </c>
      <c r="D3677" s="25">
        <v>4</v>
      </c>
      <c r="E3677" s="28">
        <v>3040</v>
      </c>
      <c r="F3677" s="27">
        <f t="shared" ca="1" si="111"/>
        <v>12160</v>
      </c>
    </row>
    <row r="3678" spans="1:6" ht="14.25" customHeight="1" x14ac:dyDescent="0.25">
      <c r="A3678" s="25" t="s">
        <v>370</v>
      </c>
      <c r="B3678" s="26" t="str">
        <f ca="1">IFERROR(INDEX(UNSPSCDes,MATCH(INDIRECT(ADDRESS(ROW(),COLUMN()-1,4)),UNSPSCCode,0)),IF(INDIRECT(ADDRESS(ROW(),COLUMN()-1,4))="27111710","Llaves allen",""))</f>
        <v>Llaves allen</v>
      </c>
      <c r="C3678" s="58" t="str">
        <f>IFERROR(VLOOKUP("UD",'Informacion '!P:Q,2,FALSE),"")</f>
        <v>Unidad</v>
      </c>
      <c r="D3678" s="25">
        <v>2</v>
      </c>
      <c r="E3678" s="28">
        <v>620</v>
      </c>
      <c r="F3678" s="27">
        <f t="shared" ca="1" si="111"/>
        <v>1240</v>
      </c>
    </row>
    <row r="3679" spans="1:6" ht="14.25" customHeight="1" x14ac:dyDescent="0.25">
      <c r="A3679" s="25" t="s">
        <v>245</v>
      </c>
      <c r="B3679" s="26" t="str">
        <f ca="1">IFERROR(INDEX(UNSPSCDes,MATCH(INDIRECT(ADDRESS(ROW(),COLUMN()-1,4)),UNSPSCCode,0)),IF(INDIRECT(ADDRESS(ROW(),COLUMN()-1,4))="27113201","Conjuntos generales de herramientas",""))</f>
        <v>Conjuntos generales de herramientas</v>
      </c>
      <c r="C3679" s="58" t="str">
        <f>IFERROR(VLOOKUP("UD",'Informacion '!P:Q,2,FALSE),"")</f>
        <v>Unidad</v>
      </c>
      <c r="D3679" s="25">
        <v>2</v>
      </c>
      <c r="E3679" s="28">
        <v>1850.24</v>
      </c>
      <c r="F3679" s="27">
        <f t="shared" ca="1" si="111"/>
        <v>3700.48</v>
      </c>
    </row>
    <row r="3680" spans="1:6" ht="14.25" customHeight="1" x14ac:dyDescent="0.25">
      <c r="A3680" s="25" t="s">
        <v>245</v>
      </c>
      <c r="B3680" s="26" t="str">
        <f ca="1">IFERROR(INDEX(UNSPSCDes,MATCH(INDIRECT(ADDRESS(ROW(),COLUMN()-1,4)),UNSPSCCode,0)),IF(INDIRECT(ADDRESS(ROW(),COLUMN()-1,4))="27113201","Conjuntos generales de herramientas",""))</f>
        <v>Conjuntos generales de herramientas</v>
      </c>
      <c r="C3680" s="58" t="str">
        <f>IFERROR(VLOOKUP("UD",'Informacion '!P:Q,2,FALSE),"")</f>
        <v>Unidad</v>
      </c>
      <c r="D3680" s="25">
        <v>2</v>
      </c>
      <c r="E3680" s="28">
        <v>2794.34</v>
      </c>
      <c r="F3680" s="27">
        <f t="shared" ca="1" si="111"/>
        <v>5588.68</v>
      </c>
    </row>
    <row r="3681" spans="1:10" ht="14.25" customHeight="1" x14ac:dyDescent="0.25">
      <c r="A3681" s="25" t="s">
        <v>541</v>
      </c>
      <c r="B3681" s="26" t="str">
        <f ca="1">IFERROR(INDEX(UNSPSCDes,MATCH(INDIRECT(ADDRESS(ROW(),COLUMN()-1,4)),UNSPSCCode,0)),IF(INDIRECT(ADDRESS(ROW(),COLUMN()-1,4))="41113601","Amperímetros",""))</f>
        <v>Amperímetros</v>
      </c>
      <c r="C3681" s="58" t="str">
        <f>IFERROR(VLOOKUP("UD",'Informacion '!P:Q,2,FALSE),"")</f>
        <v>Unidad</v>
      </c>
      <c r="D3681" s="25">
        <v>2</v>
      </c>
      <c r="E3681" s="28">
        <v>58726.96</v>
      </c>
      <c r="F3681" s="27">
        <f t="shared" ca="1" si="111"/>
        <v>117453.92</v>
      </c>
    </row>
    <row r="3682" spans="1:10" ht="14.25" customHeight="1" x14ac:dyDescent="0.25">
      <c r="E3682" s="30" t="s">
        <v>816</v>
      </c>
      <c r="F3682" s="31">
        <f ca="1">SUM(Table201[MONTO TOTAL ESTIMADO])</f>
        <v>2349254.2600000002</v>
      </c>
      <c r="H3682" s="21" t="str">
        <f>C3559</f>
        <v>Bienes</v>
      </c>
      <c r="I3682" s="21" t="str">
        <f>E3559</f>
        <v>No</v>
      </c>
      <c r="J3682" s="21" t="str">
        <f>D3559</f>
        <v>Comparacion de Precios</v>
      </c>
    </row>
    <row r="3684" spans="1:10" ht="33.950000000000003" customHeight="1" x14ac:dyDescent="0.25">
      <c r="A3684" s="22" t="s">
        <v>1051</v>
      </c>
      <c r="B3684" s="22" t="s">
        <v>11</v>
      </c>
      <c r="C3684" s="22" t="s">
        <v>751</v>
      </c>
      <c r="D3684" s="22" t="s">
        <v>930</v>
      </c>
      <c r="E3684" s="22" t="s">
        <v>699</v>
      </c>
      <c r="F3684" s="22" t="s">
        <v>710</v>
      </c>
    </row>
    <row r="3685" spans="1:10" ht="14.25" customHeight="1" x14ac:dyDescent="0.25">
      <c r="A3685" s="23" t="s">
        <v>70</v>
      </c>
      <c r="B3685" s="23" t="s">
        <v>70</v>
      </c>
      <c r="C3685" s="23" t="s">
        <v>1155</v>
      </c>
      <c r="D3685" s="23" t="s">
        <v>654</v>
      </c>
      <c r="E3685" s="23" t="s">
        <v>1156</v>
      </c>
      <c r="F3685" s="23" t="s">
        <v>436</v>
      </c>
    </row>
    <row r="3686" spans="1:10" ht="14.25" customHeight="1" x14ac:dyDescent="0.25">
      <c r="A3686" s="68" t="s">
        <v>965</v>
      </c>
      <c r="B3686" s="24" t="s">
        <v>543</v>
      </c>
      <c r="C3686" s="54">
        <v>46064</v>
      </c>
      <c r="D3686" s="68" t="s">
        <v>598</v>
      </c>
      <c r="E3686" s="56" t="s">
        <v>858</v>
      </c>
      <c r="F3686" s="57"/>
    </row>
    <row r="3687" spans="1:10" ht="14.25" customHeight="1" x14ac:dyDescent="0.25">
      <c r="A3687" s="69"/>
      <c r="B3687" s="24" t="s">
        <v>112</v>
      </c>
      <c r="C3687" s="55">
        <f>IF(C3686="","",IF(AND(MONTH(C3686)&gt;=1,MONTH(C3686)&lt;=3),1,IF(AND(MONTH(C3686)&gt;=4,MONTH(C3686)&lt;=6),2,IF(AND(MONTH(C3686)&gt;=7,MONTH(C3686)&lt;=9),3,4))))</f>
        <v>1</v>
      </c>
      <c r="D3687" s="69"/>
      <c r="E3687" s="56" t="s">
        <v>143</v>
      </c>
      <c r="F3687" s="57"/>
    </row>
    <row r="3688" spans="1:10" ht="14.25" customHeight="1" x14ac:dyDescent="0.25">
      <c r="A3688" s="69"/>
      <c r="B3688" s="24" t="s">
        <v>844</v>
      </c>
      <c r="C3688" s="54">
        <v>46111</v>
      </c>
      <c r="D3688" s="69"/>
      <c r="E3688" s="56" t="s">
        <v>183</v>
      </c>
      <c r="F3688" s="57"/>
    </row>
    <row r="3689" spans="1:10" ht="14.25" customHeight="1" x14ac:dyDescent="0.25">
      <c r="A3689" s="69"/>
      <c r="B3689" s="24" t="s">
        <v>112</v>
      </c>
      <c r="C3689" s="55">
        <f>IF(C3688="","",IF(AND(MONTH(C3688)&gt;=1,MONTH(C3688)&lt;=3),1,IF(AND(MONTH(C3688)&gt;=4,MONTH(C3688)&lt;=6),2,IF(AND(MONTH(C3688)&gt;=7,MONTH(C3688)&lt;=9),3,4))))</f>
        <v>1</v>
      </c>
      <c r="D3689" s="69"/>
      <c r="E3689" s="56" t="s">
        <v>865</v>
      </c>
      <c r="F3689" s="57"/>
    </row>
    <row r="3691" spans="1:10" ht="14.25" customHeight="1" x14ac:dyDescent="0.25">
      <c r="A3691" s="29" t="s">
        <v>1017</v>
      </c>
      <c r="B3691" s="29" t="s">
        <v>1042</v>
      </c>
      <c r="C3691" s="29" t="s">
        <v>1011</v>
      </c>
      <c r="D3691" s="29" t="s">
        <v>985</v>
      </c>
      <c r="E3691" s="29" t="s">
        <v>449</v>
      </c>
      <c r="F3691" s="29" t="s">
        <v>989</v>
      </c>
    </row>
    <row r="3692" spans="1:10" ht="14.25" customHeight="1" x14ac:dyDescent="0.25">
      <c r="A3692" s="25" t="s">
        <v>591</v>
      </c>
      <c r="B3692" s="26" t="str">
        <f ca="1">IFERROR(INDEX(UNSPSCDes,MATCH(INDIRECT(ADDRESS(ROW(),COLUMN()-1,4)),UNSPSCCode,0)),IF(INDIRECT(ADDRESS(ROW(),COLUMN()-1,4))="43212110","Impresoras de múltiples funciones",""))</f>
        <v>Impresoras de múltiples funciones</v>
      </c>
      <c r="C3692" s="58" t="str">
        <f>IFERROR(VLOOKUP("UD",'Informacion '!P:Q,2,FALSE),"")</f>
        <v>Unidad</v>
      </c>
      <c r="D3692" s="25">
        <v>3</v>
      </c>
      <c r="E3692" s="28">
        <v>25000</v>
      </c>
      <c r="F3692" s="27">
        <f ca="1">INDIRECT(ADDRESS(ROW(),COLUMN()-2,4))*INDIRECT(ADDRESS(ROW(),COLUMN()-1,4))</f>
        <v>75000</v>
      </c>
    </row>
    <row r="3693" spans="1:10" ht="14.25" customHeight="1" x14ac:dyDescent="0.25">
      <c r="A3693" s="25" t="s">
        <v>591</v>
      </c>
      <c r="B3693" s="26" t="str">
        <f ca="1">IFERROR(INDEX(UNSPSCDes,MATCH(INDIRECT(ADDRESS(ROW(),COLUMN()-1,4)),UNSPSCCode,0)),IF(INDIRECT(ADDRESS(ROW(),COLUMN()-1,4))="43212110","Impresoras de múltiples funciones",""))</f>
        <v>Impresoras de múltiples funciones</v>
      </c>
      <c r="C3693" s="58" t="str">
        <f>IFERROR(VLOOKUP("UD",'Informacion '!P:Q,2,FALSE),"")</f>
        <v>Unidad</v>
      </c>
      <c r="D3693" s="25">
        <v>3</v>
      </c>
      <c r="E3693" s="28">
        <v>20000</v>
      </c>
      <c r="F3693" s="27">
        <f ca="1">INDIRECT(ADDRESS(ROW(),COLUMN()-2,4))*INDIRECT(ADDRESS(ROW(),COLUMN()-1,4))</f>
        <v>60000</v>
      </c>
    </row>
    <row r="3694" spans="1:10" ht="14.25" customHeight="1" x14ac:dyDescent="0.25">
      <c r="E3694" s="30" t="s">
        <v>816</v>
      </c>
      <c r="F3694" s="31">
        <f ca="1">SUM(Table202[MONTO TOTAL ESTIMADO])</f>
        <v>135000</v>
      </c>
      <c r="H3694" s="21" t="str">
        <f>C3685</f>
        <v>Bienes</v>
      </c>
      <c r="I3694" s="21" t="str">
        <f>E3685</f>
        <v>No</v>
      </c>
      <c r="J3694" s="21" t="str">
        <f>D3685</f>
        <v>Compras por debajo del Umbral</v>
      </c>
    </row>
    <row r="3696" spans="1:10" ht="33.950000000000003" customHeight="1" x14ac:dyDescent="0.25">
      <c r="A3696" s="22" t="s">
        <v>1051</v>
      </c>
      <c r="B3696" s="22" t="s">
        <v>11</v>
      </c>
      <c r="C3696" s="22" t="s">
        <v>751</v>
      </c>
      <c r="D3696" s="22" t="s">
        <v>930</v>
      </c>
      <c r="E3696" s="22" t="s">
        <v>699</v>
      </c>
      <c r="F3696" s="22" t="s">
        <v>710</v>
      </c>
    </row>
    <row r="3697" spans="1:10" ht="14.25" customHeight="1" x14ac:dyDescent="0.25">
      <c r="A3697" s="23" t="s">
        <v>70</v>
      </c>
      <c r="B3697" s="23" t="s">
        <v>70</v>
      </c>
      <c r="C3697" s="23" t="s">
        <v>1155</v>
      </c>
      <c r="D3697" s="23" t="s">
        <v>116</v>
      </c>
      <c r="E3697" s="23" t="s">
        <v>561</v>
      </c>
      <c r="F3697" s="23" t="s">
        <v>436</v>
      </c>
    </row>
    <row r="3698" spans="1:10" ht="14.25" customHeight="1" x14ac:dyDescent="0.25">
      <c r="A3698" s="68" t="s">
        <v>965</v>
      </c>
      <c r="B3698" s="24" t="s">
        <v>543</v>
      </c>
      <c r="C3698" s="54">
        <v>46269</v>
      </c>
      <c r="D3698" s="68" t="s">
        <v>598</v>
      </c>
      <c r="E3698" s="56" t="s">
        <v>858</v>
      </c>
      <c r="F3698" s="57" t="s">
        <v>184</v>
      </c>
    </row>
    <row r="3699" spans="1:10" ht="14.25" customHeight="1" x14ac:dyDescent="0.25">
      <c r="A3699" s="69"/>
      <c r="B3699" s="24" t="s">
        <v>112</v>
      </c>
      <c r="C3699" s="55">
        <f>IF(C3698="","",IF(AND(MONTH(C3698)&gt;=1,MONTH(C3698)&lt;=3),1,IF(AND(MONTH(C3698)&gt;=4,MONTH(C3698)&lt;=6),2,IF(AND(MONTH(C3698)&gt;=7,MONTH(C3698)&lt;=9),3,4))))</f>
        <v>3</v>
      </c>
      <c r="D3699" s="69"/>
      <c r="E3699" s="56" t="s">
        <v>143</v>
      </c>
      <c r="F3699" s="57"/>
    </row>
    <row r="3700" spans="1:10" ht="14.25" customHeight="1" x14ac:dyDescent="0.25">
      <c r="A3700" s="69"/>
      <c r="B3700" s="24" t="s">
        <v>844</v>
      </c>
      <c r="C3700" s="54">
        <v>46295</v>
      </c>
      <c r="D3700" s="69"/>
      <c r="E3700" s="56" t="s">
        <v>183</v>
      </c>
      <c r="F3700" s="57"/>
    </row>
    <row r="3701" spans="1:10" ht="14.25" customHeight="1" x14ac:dyDescent="0.25">
      <c r="A3701" s="69"/>
      <c r="B3701" s="24" t="s">
        <v>112</v>
      </c>
      <c r="C3701" s="55">
        <f>IF(C3700="","",IF(AND(MONTH(C3700)&gt;=1,MONTH(C3700)&lt;=3),1,IF(AND(MONTH(C3700)&gt;=4,MONTH(C3700)&lt;=6),2,IF(AND(MONTH(C3700)&gt;=7,MONTH(C3700)&lt;=9),3,4))))</f>
        <v>3</v>
      </c>
      <c r="D3701" s="69"/>
      <c r="E3701" s="56" t="s">
        <v>865</v>
      </c>
      <c r="F3701" s="57"/>
    </row>
    <row r="3703" spans="1:10" ht="14.25" customHeight="1" x14ac:dyDescent="0.25">
      <c r="A3703" s="29" t="s">
        <v>1017</v>
      </c>
      <c r="B3703" s="29" t="s">
        <v>1042</v>
      </c>
      <c r="C3703" s="29" t="s">
        <v>1011</v>
      </c>
      <c r="D3703" s="29" t="s">
        <v>985</v>
      </c>
      <c r="E3703" s="29" t="s">
        <v>449</v>
      </c>
      <c r="F3703" s="29" t="s">
        <v>989</v>
      </c>
    </row>
    <row r="3704" spans="1:10" ht="14.25" customHeight="1" x14ac:dyDescent="0.25">
      <c r="A3704" s="25" t="s">
        <v>977</v>
      </c>
      <c r="B3704" s="26" t="str">
        <f ca="1">IFERROR(INDEX(UNSPSCDes,MATCH(INDIRECT(ADDRESS(ROW(),COLUMN()-1,4)),UNSPSCCode,0)),IF(INDIRECT(ADDRESS(ROW(),COLUMN()-1,4))="43212107","Impresoras de plotter",""))</f>
        <v>Impresoras de plotter</v>
      </c>
      <c r="C3704" s="58" t="str">
        <f>IFERROR(VLOOKUP("UD",'Informacion '!P:Q,2,FALSE),"")</f>
        <v>Unidad</v>
      </c>
      <c r="D3704" s="25">
        <v>2</v>
      </c>
      <c r="E3704" s="28">
        <v>500000</v>
      </c>
      <c r="F3704" s="27">
        <f ca="1">INDIRECT(ADDRESS(ROW(),COLUMN()-2,4))*INDIRECT(ADDRESS(ROW(),COLUMN()-1,4))</f>
        <v>1000000</v>
      </c>
    </row>
    <row r="3705" spans="1:10" ht="14.25" customHeight="1" x14ac:dyDescent="0.25">
      <c r="A3705" s="25" t="s">
        <v>977</v>
      </c>
      <c r="B3705" s="26" t="str">
        <f ca="1">IFERROR(INDEX(UNSPSCDes,MATCH(INDIRECT(ADDRESS(ROW(),COLUMN()-1,4)),UNSPSCCode,0)),IF(INDIRECT(ADDRESS(ROW(),COLUMN()-1,4))="43212107","Impresoras de plotter",""))</f>
        <v>Impresoras de plotter</v>
      </c>
      <c r="C3705" s="58" t="str">
        <f>IFERROR(VLOOKUP("UD",'Informacion '!P:Q,2,FALSE),"")</f>
        <v>Unidad</v>
      </c>
      <c r="D3705" s="25">
        <v>2</v>
      </c>
      <c r="E3705" s="28">
        <v>500000</v>
      </c>
      <c r="F3705" s="27">
        <f ca="1">INDIRECT(ADDRESS(ROW(),COLUMN()-2,4))*INDIRECT(ADDRESS(ROW(),COLUMN()-1,4))</f>
        <v>1000000</v>
      </c>
    </row>
    <row r="3706" spans="1:10" ht="14.25" customHeight="1" x14ac:dyDescent="0.25">
      <c r="A3706" s="25" t="s">
        <v>591</v>
      </c>
      <c r="B3706" s="26" t="str">
        <f ca="1">IFERROR(INDEX(UNSPSCDes,MATCH(INDIRECT(ADDRESS(ROW(),COLUMN()-1,4)),UNSPSCCode,0)),IF(INDIRECT(ADDRESS(ROW(),COLUMN()-1,4))="43212110","Impresoras de múltiples funciones",""))</f>
        <v>Impresoras de múltiples funciones</v>
      </c>
      <c r="C3706" s="58" t="str">
        <f>IFERROR(VLOOKUP("UD",'Informacion '!P:Q,2,FALSE),"")</f>
        <v>Unidad</v>
      </c>
      <c r="D3706" s="25">
        <v>4</v>
      </c>
      <c r="E3706" s="28">
        <v>40000</v>
      </c>
      <c r="F3706" s="27">
        <f ca="1">INDIRECT(ADDRESS(ROW(),COLUMN()-2,4))*INDIRECT(ADDRESS(ROW(),COLUMN()-1,4))</f>
        <v>160000</v>
      </c>
    </row>
    <row r="3707" spans="1:10" ht="14.25" customHeight="1" x14ac:dyDescent="0.25">
      <c r="A3707" s="25" t="s">
        <v>736</v>
      </c>
      <c r="B3707" s="26" t="str">
        <f ca="1">IFERROR(INDEX(UNSPSCDes,MATCH(INDIRECT(ADDRESS(ROW(),COLUMN()-1,4)),UNSPSCCode,0)),IF(INDIRECT(ADDRESS(ROW(),COLUMN()-1,4))="45101515","Impresora básica",""))</f>
        <v>Impresora básica</v>
      </c>
      <c r="C3707" s="58" t="str">
        <f>IFERROR(VLOOKUP("UD",'Informacion '!P:Q,2,FALSE),"")</f>
        <v>Unidad</v>
      </c>
      <c r="D3707" s="25">
        <v>5</v>
      </c>
      <c r="E3707" s="28">
        <v>16000</v>
      </c>
      <c r="F3707" s="27">
        <f ca="1">INDIRECT(ADDRESS(ROW(),COLUMN()-2,4))*INDIRECT(ADDRESS(ROW(),COLUMN()-1,4))</f>
        <v>80000</v>
      </c>
    </row>
    <row r="3708" spans="1:10" ht="14.25" customHeight="1" x14ac:dyDescent="0.25">
      <c r="E3708" s="30" t="s">
        <v>816</v>
      </c>
      <c r="F3708" s="31">
        <f ca="1">SUM(Table203[MONTO TOTAL ESTIMADO])</f>
        <v>2240000</v>
      </c>
      <c r="H3708" s="21" t="str">
        <f>C3697</f>
        <v>Bienes</v>
      </c>
      <c r="I3708" s="21" t="str">
        <f>E3697</f>
        <v>Sí</v>
      </c>
      <c r="J3708" s="21" t="str">
        <f>D3697</f>
        <v>Comparacion de Precios</v>
      </c>
    </row>
    <row r="3710" spans="1:10" ht="33.950000000000003" customHeight="1" x14ac:dyDescent="0.25">
      <c r="A3710" s="22" t="s">
        <v>1051</v>
      </c>
      <c r="B3710" s="22" t="s">
        <v>11</v>
      </c>
      <c r="C3710" s="22" t="s">
        <v>751</v>
      </c>
      <c r="D3710" s="22" t="s">
        <v>930</v>
      </c>
      <c r="E3710" s="22" t="s">
        <v>699</v>
      </c>
      <c r="F3710" s="22" t="s">
        <v>710</v>
      </c>
    </row>
    <row r="3711" spans="1:10" ht="14.25" customHeight="1" x14ac:dyDescent="0.25">
      <c r="A3711" s="23" t="s">
        <v>1061</v>
      </c>
      <c r="B3711" s="23" t="s">
        <v>1061</v>
      </c>
      <c r="C3711" s="23" t="s">
        <v>1155</v>
      </c>
      <c r="D3711" s="23" t="s">
        <v>1128</v>
      </c>
      <c r="E3711" s="23" t="s">
        <v>561</v>
      </c>
      <c r="F3711" s="23" t="s">
        <v>436</v>
      </c>
    </row>
    <row r="3712" spans="1:10" ht="14.25" customHeight="1" x14ac:dyDescent="0.25">
      <c r="A3712" s="68" t="s">
        <v>965</v>
      </c>
      <c r="B3712" s="24" t="s">
        <v>543</v>
      </c>
      <c r="C3712" s="54">
        <v>46296</v>
      </c>
      <c r="D3712" s="68" t="s">
        <v>598</v>
      </c>
      <c r="E3712" s="56" t="s">
        <v>858</v>
      </c>
      <c r="F3712" s="57" t="s">
        <v>184</v>
      </c>
    </row>
    <row r="3713" spans="1:6" ht="14.25" customHeight="1" x14ac:dyDescent="0.25">
      <c r="A3713" s="69"/>
      <c r="B3713" s="24" t="s">
        <v>112</v>
      </c>
      <c r="C3713" s="55">
        <f>IF(C3712="","",IF(AND(MONTH(C3712)&gt;=1,MONTH(C3712)&lt;=3),1,IF(AND(MONTH(C3712)&gt;=4,MONTH(C3712)&lt;=6),2,IF(AND(MONTH(C3712)&gt;=7,MONTH(C3712)&lt;=9),3,4))))</f>
        <v>4</v>
      </c>
      <c r="D3713" s="69"/>
      <c r="E3713" s="56" t="s">
        <v>143</v>
      </c>
      <c r="F3713" s="57"/>
    </row>
    <row r="3714" spans="1:6" ht="14.25" customHeight="1" x14ac:dyDescent="0.25">
      <c r="A3714" s="69"/>
      <c r="B3714" s="24" t="s">
        <v>844</v>
      </c>
      <c r="C3714" s="54">
        <v>46317</v>
      </c>
      <c r="D3714" s="69"/>
      <c r="E3714" s="56" t="s">
        <v>183</v>
      </c>
      <c r="F3714" s="57"/>
    </row>
    <row r="3715" spans="1:6" ht="14.25" customHeight="1" x14ac:dyDescent="0.25">
      <c r="A3715" s="69"/>
      <c r="B3715" s="24" t="s">
        <v>112</v>
      </c>
      <c r="C3715" s="55">
        <f>IF(C3714="","",IF(AND(MONTH(C3714)&gt;=1,MONTH(C3714)&lt;=3),1,IF(AND(MONTH(C3714)&gt;=4,MONTH(C3714)&lt;=6),2,IF(AND(MONTH(C3714)&gt;=7,MONTH(C3714)&lt;=9),3,4))))</f>
        <v>4</v>
      </c>
      <c r="D3715" s="69"/>
      <c r="E3715" s="56" t="s">
        <v>865</v>
      </c>
      <c r="F3715" s="57"/>
    </row>
    <row r="3717" spans="1:6" ht="14.25" customHeight="1" x14ac:dyDescent="0.25">
      <c r="A3717" s="29" t="s">
        <v>1017</v>
      </c>
      <c r="B3717" s="29" t="s">
        <v>1042</v>
      </c>
      <c r="C3717" s="29" t="s">
        <v>1011</v>
      </c>
      <c r="D3717" s="29" t="s">
        <v>985</v>
      </c>
      <c r="E3717" s="29" t="s">
        <v>449</v>
      </c>
      <c r="F3717" s="29" t="s">
        <v>989</v>
      </c>
    </row>
    <row r="3718" spans="1:6" ht="14.25" customHeight="1" x14ac:dyDescent="0.25">
      <c r="A3718" s="25" t="s">
        <v>874</v>
      </c>
      <c r="B3718" s="26" t="str">
        <f ca="1">IFERROR(INDEX(UNSPSCDes,MATCH(INDIRECT(ADDRESS(ROW(),COLUMN()-1,4)),UNSPSCCode,0)),IF(INDIRECT(ADDRESS(ROW(),COLUMN()-1,4))="40142612","Adaptadores de tubo",""))</f>
        <v>Adaptadores de tubo</v>
      </c>
      <c r="C3718" s="58" t="str">
        <f>IFERROR(VLOOKUP("UD",'Informacion '!P:Q,2,FALSE),"")</f>
        <v>Unidad</v>
      </c>
      <c r="D3718" s="25">
        <v>10</v>
      </c>
      <c r="E3718" s="28">
        <v>90</v>
      </c>
      <c r="F3718" s="27">
        <f t="shared" ref="F3718:F3760" ca="1" si="113">INDIRECT(ADDRESS(ROW(),COLUMN()-2,4))*INDIRECT(ADDRESS(ROW(),COLUMN()-1,4))</f>
        <v>900</v>
      </c>
    </row>
    <row r="3719" spans="1:6" ht="14.25" customHeight="1" x14ac:dyDescent="0.25">
      <c r="A3719" s="25" t="s">
        <v>874</v>
      </c>
      <c r="B3719" s="26" t="str">
        <f ca="1">IFERROR(INDEX(UNSPSCDes,MATCH(INDIRECT(ADDRESS(ROW(),COLUMN()-1,4)),UNSPSCCode,0)),IF(INDIRECT(ADDRESS(ROW(),COLUMN()-1,4))="40142612","Adaptadores de tubo",""))</f>
        <v>Adaptadores de tubo</v>
      </c>
      <c r="C3719" s="58" t="str">
        <f>IFERROR(VLOOKUP("UD",'Informacion '!P:Q,2,FALSE),"")</f>
        <v>Unidad</v>
      </c>
      <c r="D3719" s="25">
        <v>10</v>
      </c>
      <c r="E3719" s="28">
        <v>90</v>
      </c>
      <c r="F3719" s="27">
        <f t="shared" ca="1" si="113"/>
        <v>900</v>
      </c>
    </row>
    <row r="3720" spans="1:6" ht="14.25" customHeight="1" x14ac:dyDescent="0.25">
      <c r="A3720" s="25" t="s">
        <v>493</v>
      </c>
      <c r="B3720" s="26" t="str">
        <f ca="1">IFERROR(INDEX(UNSPSCDes,MATCH(INDIRECT(ADDRESS(ROW(),COLUMN()-1,4)),UNSPSCCode,0)),IF(INDIRECT(ADDRESS(ROW(),COLUMN()-1,4))="27121704","Uniones hidráulicas",""))</f>
        <v>Uniones hidráulicas</v>
      </c>
      <c r="C3720" s="58" t="str">
        <f>IFERROR(VLOOKUP("UD",'Informacion '!P:Q,2,FALSE),"")</f>
        <v>Unidad</v>
      </c>
      <c r="D3720" s="25">
        <v>10</v>
      </c>
      <c r="E3720" s="28">
        <v>500</v>
      </c>
      <c r="F3720" s="27">
        <f t="shared" ca="1" si="113"/>
        <v>5000</v>
      </c>
    </row>
    <row r="3721" spans="1:6" ht="14.25" customHeight="1" x14ac:dyDescent="0.25">
      <c r="A3721" s="25" t="s">
        <v>493</v>
      </c>
      <c r="B3721" s="26" t="str">
        <f ca="1">IFERROR(INDEX(UNSPSCDes,MATCH(INDIRECT(ADDRESS(ROW(),COLUMN()-1,4)),UNSPSCCode,0)),IF(INDIRECT(ADDRESS(ROW(),COLUMN()-1,4))="27121704","Uniones hidráulicas",""))</f>
        <v>Uniones hidráulicas</v>
      </c>
      <c r="C3721" s="58" t="str">
        <f>IFERROR(VLOOKUP("UD",'Informacion '!P:Q,2,FALSE),"")</f>
        <v>Unidad</v>
      </c>
      <c r="D3721" s="25">
        <v>5</v>
      </c>
      <c r="E3721" s="28">
        <v>80</v>
      </c>
      <c r="F3721" s="27">
        <f t="shared" ca="1" si="113"/>
        <v>400</v>
      </c>
    </row>
    <row r="3722" spans="1:6" ht="14.25" customHeight="1" x14ac:dyDescent="0.25">
      <c r="A3722" s="25" t="s">
        <v>493</v>
      </c>
      <c r="B3722" s="26" t="str">
        <f ca="1">IFERROR(INDEX(UNSPSCDes,MATCH(INDIRECT(ADDRESS(ROW(),COLUMN()-1,4)),UNSPSCCode,0)),IF(INDIRECT(ADDRESS(ROW(),COLUMN()-1,4))="27121704","Uniones hidráulicas",""))</f>
        <v>Uniones hidráulicas</v>
      </c>
      <c r="C3722" s="58" t="str">
        <f>IFERROR(VLOOKUP("UD",'Informacion '!P:Q,2,FALSE),"")</f>
        <v>Unidad</v>
      </c>
      <c r="D3722" s="25">
        <v>20</v>
      </c>
      <c r="E3722" s="28">
        <v>370</v>
      </c>
      <c r="F3722" s="27">
        <f t="shared" ca="1" si="113"/>
        <v>7400</v>
      </c>
    </row>
    <row r="3723" spans="1:6" ht="14.25" customHeight="1" x14ac:dyDescent="0.25">
      <c r="A3723" s="25" t="s">
        <v>493</v>
      </c>
      <c r="B3723" s="26" t="str">
        <f ca="1">IFERROR(INDEX(UNSPSCDes,MATCH(INDIRECT(ADDRESS(ROW(),COLUMN()-1,4)),UNSPSCCode,0)),IF(INDIRECT(ADDRESS(ROW(),COLUMN()-1,4))="27121704","Uniones hidráulicas",""))</f>
        <v>Uniones hidráulicas</v>
      </c>
      <c r="C3723" s="58" t="str">
        <f>IFERROR(VLOOKUP("UD",'Informacion '!P:Q,2,FALSE),"")</f>
        <v>Unidad</v>
      </c>
      <c r="D3723" s="25">
        <v>20</v>
      </c>
      <c r="E3723" s="28">
        <v>2</v>
      </c>
      <c r="F3723" s="27">
        <f t="shared" ca="1" si="113"/>
        <v>40</v>
      </c>
    </row>
    <row r="3724" spans="1:6" ht="14.25" customHeight="1" x14ac:dyDescent="0.25">
      <c r="A3724" s="25" t="s">
        <v>493</v>
      </c>
      <c r="B3724" s="26" t="str">
        <f ca="1">IFERROR(INDEX(UNSPSCDes,MATCH(INDIRECT(ADDRESS(ROW(),COLUMN()-1,4)),UNSPSCCode,0)),IF(INDIRECT(ADDRESS(ROW(),COLUMN()-1,4))="27121704","Uniones hidráulicas",""))</f>
        <v>Uniones hidráulicas</v>
      </c>
      <c r="C3724" s="58" t="str">
        <f>IFERROR(VLOOKUP("UD",'Informacion '!P:Q,2,FALSE),"")</f>
        <v>Unidad</v>
      </c>
      <c r="D3724" s="25">
        <v>20</v>
      </c>
      <c r="E3724" s="28">
        <v>27</v>
      </c>
      <c r="F3724" s="27">
        <f t="shared" ca="1" si="113"/>
        <v>540</v>
      </c>
    </row>
    <row r="3725" spans="1:6" ht="14.25" customHeight="1" x14ac:dyDescent="0.25">
      <c r="A3725" s="25" t="s">
        <v>874</v>
      </c>
      <c r="B3725" s="26" t="str">
        <f ca="1">IFERROR(INDEX(UNSPSCDes,MATCH(INDIRECT(ADDRESS(ROW(),COLUMN()-1,4)),UNSPSCCode,0)),IF(INDIRECT(ADDRESS(ROW(),COLUMN()-1,4))="40142612","Adaptadores de tubo",""))</f>
        <v>Adaptadores de tubo</v>
      </c>
      <c r="C3725" s="58" t="str">
        <f>IFERROR(VLOOKUP("UD",'Informacion '!P:Q,2,FALSE),"")</f>
        <v>Unidad</v>
      </c>
      <c r="D3725" s="25">
        <v>20</v>
      </c>
      <c r="E3725" s="28">
        <v>8.43</v>
      </c>
      <c r="F3725" s="27">
        <f t="shared" ca="1" si="113"/>
        <v>168.6</v>
      </c>
    </row>
    <row r="3726" spans="1:6" ht="14.25" customHeight="1" x14ac:dyDescent="0.25">
      <c r="A3726" s="25" t="s">
        <v>874</v>
      </c>
      <c r="B3726" s="26" t="str">
        <f ca="1">IFERROR(INDEX(UNSPSCDes,MATCH(INDIRECT(ADDRESS(ROW(),COLUMN()-1,4)),UNSPSCCode,0)),IF(INDIRECT(ADDRESS(ROW(),COLUMN()-1,4))="40142612","Adaptadores de tubo",""))</f>
        <v>Adaptadores de tubo</v>
      </c>
      <c r="C3726" s="58" t="str">
        <f>IFERROR(VLOOKUP("UD",'Informacion '!P:Q,2,FALSE),"")</f>
        <v>Unidad</v>
      </c>
      <c r="D3726" s="25">
        <v>20</v>
      </c>
      <c r="E3726" s="28">
        <v>5.98</v>
      </c>
      <c r="F3726" s="27">
        <f t="shared" ca="1" si="113"/>
        <v>119.60000000000001</v>
      </c>
    </row>
    <row r="3727" spans="1:6" ht="14.25" customHeight="1" x14ac:dyDescent="0.25">
      <c r="A3727" s="25" t="s">
        <v>493</v>
      </c>
      <c r="B3727" s="26" t="str">
        <f ca="1">IFERROR(INDEX(UNSPSCDes,MATCH(INDIRECT(ADDRESS(ROW(),COLUMN()-1,4)),UNSPSCCode,0)),IF(INDIRECT(ADDRESS(ROW(),COLUMN()-1,4))="27121704","Uniones hidráulicas",""))</f>
        <v>Uniones hidráulicas</v>
      </c>
      <c r="C3727" s="58" t="str">
        <f>IFERROR(VLOOKUP("UD",'Informacion '!P:Q,2,FALSE),"")</f>
        <v>Unidad</v>
      </c>
      <c r="D3727" s="25">
        <v>20</v>
      </c>
      <c r="E3727" s="28">
        <v>180</v>
      </c>
      <c r="F3727" s="27">
        <f t="shared" ca="1" si="113"/>
        <v>3600</v>
      </c>
    </row>
    <row r="3728" spans="1:6" ht="14.25" customHeight="1" x14ac:dyDescent="0.25">
      <c r="A3728" s="25" t="s">
        <v>493</v>
      </c>
      <c r="B3728" s="26" t="str">
        <f ca="1">IFERROR(INDEX(UNSPSCDes,MATCH(INDIRECT(ADDRESS(ROW(),COLUMN()-1,4)),UNSPSCCode,0)),IF(INDIRECT(ADDRESS(ROW(),COLUMN()-1,4))="27121704","Uniones hidráulicas",""))</f>
        <v>Uniones hidráulicas</v>
      </c>
      <c r="C3728" s="58" t="str">
        <f>IFERROR(VLOOKUP("UD",'Informacion '!P:Q,2,FALSE),"")</f>
        <v>Unidad</v>
      </c>
      <c r="D3728" s="25">
        <v>20</v>
      </c>
      <c r="E3728" s="28">
        <v>16.5</v>
      </c>
      <c r="F3728" s="27">
        <f t="shared" ca="1" si="113"/>
        <v>330</v>
      </c>
    </row>
    <row r="3729" spans="1:6" ht="14.25" customHeight="1" x14ac:dyDescent="0.25">
      <c r="A3729" s="25" t="s">
        <v>493</v>
      </c>
      <c r="B3729" s="26" t="str">
        <f ca="1">IFERROR(INDEX(UNSPSCDes,MATCH(INDIRECT(ADDRESS(ROW(),COLUMN()-1,4)),UNSPSCCode,0)),IF(INDIRECT(ADDRESS(ROW(),COLUMN()-1,4))="27121704","Uniones hidráulicas",""))</f>
        <v>Uniones hidráulicas</v>
      </c>
      <c r="C3729" s="58" t="str">
        <f>IFERROR(VLOOKUP("UD",'Informacion '!P:Q,2,FALSE),"")</f>
        <v>Unidad</v>
      </c>
      <c r="D3729" s="25">
        <v>20</v>
      </c>
      <c r="E3729" s="28">
        <v>16.5</v>
      </c>
      <c r="F3729" s="27">
        <f t="shared" ca="1" si="113"/>
        <v>330</v>
      </c>
    </row>
    <row r="3730" spans="1:6" ht="14.25" customHeight="1" x14ac:dyDescent="0.25">
      <c r="A3730" s="25" t="s">
        <v>1215</v>
      </c>
      <c r="B3730" s="26" t="str">
        <f ca="1">IFERROR(INDEX(UNSPSCDes,MATCH(INDIRECT(ADDRESS(ROW(),COLUMN()-1,4)),UNSPSCCode,0)),IF(INDIRECT(ADDRESS(ROW(),COLUMN()-1,4))="40141719","Adaptadores para plomería",""))</f>
        <v>Adaptadores para plomería</v>
      </c>
      <c r="C3730" s="58" t="str">
        <f>IFERROR(VLOOKUP("UD",'Informacion '!P:Q,2,FALSE),"")</f>
        <v>Unidad</v>
      </c>
      <c r="D3730" s="25">
        <v>20</v>
      </c>
      <c r="E3730" s="28">
        <v>166.8</v>
      </c>
      <c r="F3730" s="27">
        <f t="shared" ca="1" si="113"/>
        <v>3336</v>
      </c>
    </row>
    <row r="3731" spans="1:6" ht="14.25" customHeight="1" x14ac:dyDescent="0.25">
      <c r="A3731" s="25" t="s">
        <v>323</v>
      </c>
      <c r="B3731" s="26" t="str">
        <f ca="1">IFERROR(INDEX(UNSPSCDes,MATCH(INDIRECT(ADDRESS(ROW(),COLUMN()-1,4)),UNSPSCCode,0)),IF(INDIRECT(ADDRESS(ROW(),COLUMN()-1,4))="31231313","Tubería de plástico",""))</f>
        <v>Tubería de plástico</v>
      </c>
      <c r="C3731" s="58" t="str">
        <f>IFERROR(VLOOKUP("UD",'Informacion '!P:Q,2,FALSE),"")</f>
        <v>Unidad</v>
      </c>
      <c r="D3731" s="25">
        <v>2</v>
      </c>
      <c r="E3731" s="28">
        <v>147.5</v>
      </c>
      <c r="F3731" s="27">
        <f t="shared" ca="1" si="113"/>
        <v>295</v>
      </c>
    </row>
    <row r="3732" spans="1:6" ht="14.25" customHeight="1" x14ac:dyDescent="0.25">
      <c r="A3732" s="25" t="s">
        <v>323</v>
      </c>
      <c r="B3732" s="26" t="str">
        <f ca="1">IFERROR(INDEX(UNSPSCDes,MATCH(INDIRECT(ADDRESS(ROW(),COLUMN()-1,4)),UNSPSCCode,0)),IF(INDIRECT(ADDRESS(ROW(),COLUMN()-1,4))="31231313","Tubería de plástico",""))</f>
        <v>Tubería de plástico</v>
      </c>
      <c r="C3732" s="58" t="str">
        <f>IFERROR(VLOOKUP("UD",'Informacion '!P:Q,2,FALSE),"")</f>
        <v>Unidad</v>
      </c>
      <c r="D3732" s="25">
        <v>2</v>
      </c>
      <c r="E3732" s="28">
        <v>536.07000000000005</v>
      </c>
      <c r="F3732" s="27">
        <f t="shared" ca="1" si="113"/>
        <v>1072.1400000000001</v>
      </c>
    </row>
    <row r="3733" spans="1:6" ht="14.25" customHeight="1" x14ac:dyDescent="0.25">
      <c r="A3733" s="25" t="s">
        <v>323</v>
      </c>
      <c r="B3733" s="26" t="str">
        <f ca="1">IFERROR(INDEX(UNSPSCDes,MATCH(INDIRECT(ADDRESS(ROW(),COLUMN()-1,4)),UNSPSCCode,0)),IF(INDIRECT(ADDRESS(ROW(),COLUMN()-1,4))="31231313","Tubería de plástico",""))</f>
        <v>Tubería de plástico</v>
      </c>
      <c r="C3733" s="58" t="str">
        <f>IFERROR(VLOOKUP("UD",'Informacion '!P:Q,2,FALSE),"")</f>
        <v>Unidad</v>
      </c>
      <c r="D3733" s="25">
        <v>5</v>
      </c>
      <c r="E3733" s="28">
        <v>550.75</v>
      </c>
      <c r="F3733" s="27">
        <f t="shared" ca="1" si="113"/>
        <v>2753.75</v>
      </c>
    </row>
    <row r="3734" spans="1:6" ht="14.25" customHeight="1" x14ac:dyDescent="0.25">
      <c r="A3734" s="25" t="s">
        <v>323</v>
      </c>
      <c r="B3734" s="26" t="str">
        <f ca="1">IFERROR(INDEX(UNSPSCDes,MATCH(INDIRECT(ADDRESS(ROW(),COLUMN()-1,4)),UNSPSCCode,0)),IF(INDIRECT(ADDRESS(ROW(),COLUMN()-1,4))="31231313","Tubería de plástico",""))</f>
        <v>Tubería de plástico</v>
      </c>
      <c r="C3734" s="58" t="str">
        <f>IFERROR(VLOOKUP("UD",'Informacion '!P:Q,2,FALSE),"")</f>
        <v>Unidad</v>
      </c>
      <c r="D3734" s="25">
        <v>5</v>
      </c>
      <c r="E3734" s="28">
        <v>480</v>
      </c>
      <c r="F3734" s="27">
        <f t="shared" ca="1" si="113"/>
        <v>2400</v>
      </c>
    </row>
    <row r="3735" spans="1:6" ht="14.25" customHeight="1" x14ac:dyDescent="0.25">
      <c r="A3735" s="25" t="s">
        <v>692</v>
      </c>
      <c r="B3735" s="26" t="str">
        <f t="shared" ref="B3735:B3740" ca="1" si="114">IFERROR(INDEX(UNSPSCDes,MATCH(INDIRECT(ADDRESS(ROW(),COLUMN()-1,4)),UNSPSCCode,0)),IF(INDIRECT(ADDRESS(ROW(),COLUMN()-1,4))="27111708","Llaves para tubos",""))</f>
        <v>Llaves para tubos</v>
      </c>
      <c r="C3735" s="58" t="str">
        <f>IFERROR(VLOOKUP("UD",'Informacion '!P:Q,2,FALSE),"")</f>
        <v>Unidad</v>
      </c>
      <c r="D3735" s="25">
        <v>10</v>
      </c>
      <c r="E3735" s="28">
        <v>230</v>
      </c>
      <c r="F3735" s="27">
        <f t="shared" ca="1" si="113"/>
        <v>2300</v>
      </c>
    </row>
    <row r="3736" spans="1:6" ht="14.25" customHeight="1" x14ac:dyDescent="0.25">
      <c r="A3736" s="25" t="s">
        <v>692</v>
      </c>
      <c r="B3736" s="26" t="str">
        <f t="shared" ca="1" si="114"/>
        <v>Llaves para tubos</v>
      </c>
      <c r="C3736" s="58" t="str">
        <f>IFERROR(VLOOKUP("UD",'Informacion '!P:Q,2,FALSE),"")</f>
        <v>Unidad</v>
      </c>
      <c r="D3736" s="25">
        <v>10</v>
      </c>
      <c r="E3736" s="28">
        <v>230</v>
      </c>
      <c r="F3736" s="27">
        <f t="shared" ca="1" si="113"/>
        <v>2300</v>
      </c>
    </row>
    <row r="3737" spans="1:6" ht="14.25" customHeight="1" x14ac:dyDescent="0.25">
      <c r="A3737" s="25" t="s">
        <v>692</v>
      </c>
      <c r="B3737" s="26" t="str">
        <f t="shared" ca="1" si="114"/>
        <v>Llaves para tubos</v>
      </c>
      <c r="C3737" s="58" t="str">
        <f>IFERROR(VLOOKUP("UD",'Informacion '!P:Q,2,FALSE),"")</f>
        <v>Unidad</v>
      </c>
      <c r="D3737" s="25">
        <v>10</v>
      </c>
      <c r="E3737" s="28">
        <v>1900</v>
      </c>
      <c r="F3737" s="27">
        <f t="shared" ca="1" si="113"/>
        <v>19000</v>
      </c>
    </row>
    <row r="3738" spans="1:6" ht="14.25" customHeight="1" x14ac:dyDescent="0.25">
      <c r="A3738" s="25" t="s">
        <v>692</v>
      </c>
      <c r="B3738" s="26" t="str">
        <f t="shared" ca="1" si="114"/>
        <v>Llaves para tubos</v>
      </c>
      <c r="C3738" s="58" t="str">
        <f>IFERROR(VLOOKUP("UD",'Informacion '!P:Q,2,FALSE),"")</f>
        <v>Unidad</v>
      </c>
      <c r="D3738" s="25">
        <v>10</v>
      </c>
      <c r="E3738" s="28">
        <v>600</v>
      </c>
      <c r="F3738" s="27">
        <f t="shared" ca="1" si="113"/>
        <v>6000</v>
      </c>
    </row>
    <row r="3739" spans="1:6" ht="14.25" customHeight="1" x14ac:dyDescent="0.25">
      <c r="A3739" s="25" t="s">
        <v>692</v>
      </c>
      <c r="B3739" s="26" t="str">
        <f t="shared" ca="1" si="114"/>
        <v>Llaves para tubos</v>
      </c>
      <c r="C3739" s="58" t="str">
        <f>IFERROR(VLOOKUP("UD",'Informacion '!P:Q,2,FALSE),"")</f>
        <v>Unidad</v>
      </c>
      <c r="D3739" s="25">
        <v>10</v>
      </c>
      <c r="E3739" s="28">
        <v>190</v>
      </c>
      <c r="F3739" s="27">
        <f t="shared" ca="1" si="113"/>
        <v>1900</v>
      </c>
    </row>
    <row r="3740" spans="1:6" ht="14.25" customHeight="1" x14ac:dyDescent="0.25">
      <c r="A3740" s="25" t="s">
        <v>692</v>
      </c>
      <c r="B3740" s="26" t="str">
        <f t="shared" ca="1" si="114"/>
        <v>Llaves para tubos</v>
      </c>
      <c r="C3740" s="58" t="str">
        <f>IFERROR(VLOOKUP("UD",'Informacion '!P:Q,2,FALSE),"")</f>
        <v>Unidad</v>
      </c>
      <c r="D3740" s="25">
        <v>10</v>
      </c>
      <c r="E3740" s="28">
        <v>255</v>
      </c>
      <c r="F3740" s="27">
        <f t="shared" ca="1" si="113"/>
        <v>2550</v>
      </c>
    </row>
    <row r="3741" spans="1:6" ht="14.25" customHeight="1" x14ac:dyDescent="0.25">
      <c r="A3741" s="25" t="s">
        <v>439</v>
      </c>
      <c r="B3741" s="26" t="str">
        <f ca="1">IFERROR(INDEX(UNSPSCDes,MATCH(INDIRECT(ADDRESS(ROW(),COLUMN()-1,4)),UNSPSCCode,0)),IF(INDIRECT(ADDRESS(ROW(),COLUMN()-1,4))="40142009","Mangueras multipropósito de aire, agua y gas",""))</f>
        <v>Mangueras multipropósito de aire, agua y gas</v>
      </c>
      <c r="C3741" s="58" t="str">
        <f>IFERROR(VLOOKUP("UD",'Informacion '!P:Q,2,FALSE),"")</f>
        <v>Unidad</v>
      </c>
      <c r="D3741" s="25">
        <v>30</v>
      </c>
      <c r="E3741" s="28">
        <v>230</v>
      </c>
      <c r="F3741" s="27">
        <f t="shared" ca="1" si="113"/>
        <v>6900</v>
      </c>
    </row>
    <row r="3742" spans="1:6" ht="14.25" customHeight="1" x14ac:dyDescent="0.25">
      <c r="A3742" s="25" t="s">
        <v>439</v>
      </c>
      <c r="B3742" s="26" t="str">
        <f ca="1">IFERROR(INDEX(UNSPSCDes,MATCH(INDIRECT(ADDRESS(ROW(),COLUMN()-1,4)),UNSPSCCode,0)),IF(INDIRECT(ADDRESS(ROW(),COLUMN()-1,4))="40142009","Mangueras multipropósito de aire, agua y gas",""))</f>
        <v>Mangueras multipropósito de aire, agua y gas</v>
      </c>
      <c r="C3742" s="58" t="str">
        <f>IFERROR(VLOOKUP("UD",'Informacion '!P:Q,2,FALSE),"")</f>
        <v>Unidad</v>
      </c>
      <c r="D3742" s="25">
        <v>30</v>
      </c>
      <c r="E3742" s="28">
        <v>950.5</v>
      </c>
      <c r="F3742" s="27">
        <f t="shared" ca="1" si="113"/>
        <v>28515</v>
      </c>
    </row>
    <row r="3743" spans="1:6" ht="14.25" customHeight="1" x14ac:dyDescent="0.25">
      <c r="A3743" s="25" t="s">
        <v>439</v>
      </c>
      <c r="B3743" s="26" t="str">
        <f ca="1">IFERROR(INDEX(UNSPSCDes,MATCH(INDIRECT(ADDRESS(ROW(),COLUMN()-1,4)),UNSPSCCode,0)),IF(INDIRECT(ADDRESS(ROW(),COLUMN()-1,4))="40142009","Mangueras multipropósito de aire, agua y gas",""))</f>
        <v>Mangueras multipropósito de aire, agua y gas</v>
      </c>
      <c r="C3743" s="58" t="str">
        <f>IFERROR(VLOOKUP("UD",'Informacion '!P:Q,2,FALSE),"")</f>
        <v>Unidad</v>
      </c>
      <c r="D3743" s="25">
        <v>30</v>
      </c>
      <c r="E3743" s="28">
        <v>260</v>
      </c>
      <c r="F3743" s="27">
        <f t="shared" ca="1" si="113"/>
        <v>7800</v>
      </c>
    </row>
    <row r="3744" spans="1:6" ht="14.25" customHeight="1" x14ac:dyDescent="0.25">
      <c r="A3744" s="25" t="s">
        <v>439</v>
      </c>
      <c r="B3744" s="26" t="str">
        <f ca="1">IFERROR(INDEX(UNSPSCDes,MATCH(INDIRECT(ADDRESS(ROW(),COLUMN()-1,4)),UNSPSCCode,0)),IF(INDIRECT(ADDRESS(ROW(),COLUMN()-1,4))="40142009","Mangueras multipropósito de aire, agua y gas",""))</f>
        <v>Mangueras multipropósito de aire, agua y gas</v>
      </c>
      <c r="C3744" s="58" t="str">
        <f>IFERROR(VLOOKUP("UD",'Informacion '!P:Q,2,FALSE),"")</f>
        <v>Unidad</v>
      </c>
      <c r="D3744" s="25">
        <v>30</v>
      </c>
      <c r="E3744" s="28">
        <v>260</v>
      </c>
      <c r="F3744" s="27">
        <f t="shared" ca="1" si="113"/>
        <v>7800</v>
      </c>
    </row>
    <row r="3745" spans="1:6" ht="14.25" customHeight="1" x14ac:dyDescent="0.25">
      <c r="A3745" s="25" t="s">
        <v>439</v>
      </c>
      <c r="B3745" s="26" t="str">
        <f ca="1">IFERROR(INDEX(UNSPSCDes,MATCH(INDIRECT(ADDRESS(ROW(),COLUMN()-1,4)),UNSPSCCode,0)),IF(INDIRECT(ADDRESS(ROW(),COLUMN()-1,4))="40142009","Mangueras multipropósito de aire, agua y gas",""))</f>
        <v>Mangueras multipropósito de aire, agua y gas</v>
      </c>
      <c r="C3745" s="58" t="str">
        <f>IFERROR(VLOOKUP("UD",'Informacion '!P:Q,2,FALSE),"")</f>
        <v>Unidad</v>
      </c>
      <c r="D3745" s="25">
        <v>40</v>
      </c>
      <c r="E3745" s="28">
        <v>380</v>
      </c>
      <c r="F3745" s="27">
        <f t="shared" ca="1" si="113"/>
        <v>15200</v>
      </c>
    </row>
    <row r="3746" spans="1:6" ht="14.25" customHeight="1" x14ac:dyDescent="0.25">
      <c r="A3746" s="25" t="s">
        <v>874</v>
      </c>
      <c r="B3746" s="26" t="str">
        <f ca="1">IFERROR(INDEX(UNSPSCDes,MATCH(INDIRECT(ADDRESS(ROW(),COLUMN()-1,4)),UNSPSCCode,0)),IF(INDIRECT(ADDRESS(ROW(),COLUMN()-1,4))="40142612","Adaptadores de tubo",""))</f>
        <v>Adaptadores de tubo</v>
      </c>
      <c r="C3746" s="58" t="str">
        <f>IFERROR(VLOOKUP("UD",'Informacion '!P:Q,2,FALSE),"")</f>
        <v>Unidad</v>
      </c>
      <c r="D3746" s="25">
        <v>6</v>
      </c>
      <c r="E3746" s="28">
        <v>1800</v>
      </c>
      <c r="F3746" s="27">
        <f t="shared" ca="1" si="113"/>
        <v>10800</v>
      </c>
    </row>
    <row r="3747" spans="1:6" ht="14.25" customHeight="1" x14ac:dyDescent="0.25">
      <c r="A3747" s="25" t="s">
        <v>368</v>
      </c>
      <c r="B3747" s="26" t="str">
        <f ca="1">IFERROR(INDEX(UNSPSCDes,MATCH(INDIRECT(ADDRESS(ROW(),COLUMN()-1,4)),UNSPSCCode,0)),IF(INDIRECT(ADDRESS(ROW(),COLUMN()-1,4))="40151501","Bombas de aire",""))</f>
        <v>Bombas de aire</v>
      </c>
      <c r="C3747" s="58" t="str">
        <f>IFERROR(VLOOKUP("UD",'Informacion '!P:Q,2,FALSE),"")</f>
        <v>Unidad</v>
      </c>
      <c r="D3747" s="25">
        <v>4</v>
      </c>
      <c r="E3747" s="28">
        <v>8504.4699999999993</v>
      </c>
      <c r="F3747" s="27">
        <f t="shared" ca="1" si="113"/>
        <v>34017.879999999997</v>
      </c>
    </row>
    <row r="3748" spans="1:6" ht="14.25" customHeight="1" x14ac:dyDescent="0.25">
      <c r="A3748" s="25" t="s">
        <v>640</v>
      </c>
      <c r="B3748" s="26" t="str">
        <f ca="1">IFERROR(INDEX(UNSPSCDes,MATCH(INDIRECT(ADDRESS(ROW(),COLUMN()-1,4)),UNSPSCCode,0)),IF(INDIRECT(ADDRESS(ROW(),COLUMN()-1,4))="46171619","Sistemas de seguridad o de control de acceso",""))</f>
        <v>Sistemas de seguridad o de control de acceso</v>
      </c>
      <c r="C3748" s="58" t="str">
        <f>IFERROR(VLOOKUP("UD",'Informacion '!P:Q,2,FALSE),"")</f>
        <v>Unidad</v>
      </c>
      <c r="D3748" s="25">
        <v>5</v>
      </c>
      <c r="E3748" s="28">
        <v>5800</v>
      </c>
      <c r="F3748" s="27">
        <f t="shared" ca="1" si="113"/>
        <v>29000</v>
      </c>
    </row>
    <row r="3749" spans="1:6" ht="14.25" customHeight="1" x14ac:dyDescent="0.25">
      <c r="A3749" s="25" t="s">
        <v>895</v>
      </c>
      <c r="B3749" s="26" t="str">
        <f ca="1">IFERROR(INDEX(UNSPSCDes,MATCH(INDIRECT(ADDRESS(ROW(),COLUMN()-1,4)),UNSPSCCode,0)),IF(INDIRECT(ADDRESS(ROW(),COLUMN()-1,4))="40141609","Válvulas de control",""))</f>
        <v>Válvulas de control</v>
      </c>
      <c r="C3749" s="58" t="str">
        <f>IFERROR(VLOOKUP("UD",'Informacion '!P:Q,2,FALSE),"")</f>
        <v>Unidad</v>
      </c>
      <c r="D3749" s="25">
        <v>10</v>
      </c>
      <c r="E3749" s="28">
        <v>180</v>
      </c>
      <c r="F3749" s="27">
        <f t="shared" ca="1" si="113"/>
        <v>1800</v>
      </c>
    </row>
    <row r="3750" spans="1:6" ht="14.25" customHeight="1" x14ac:dyDescent="0.25">
      <c r="A3750" s="25" t="s">
        <v>762</v>
      </c>
      <c r="B3750" s="26" t="str">
        <f ca="1">IFERROR(INDEX(UNSPSCDes,MATCH(INDIRECT(ADDRESS(ROW(),COLUMN()-1,4)),UNSPSCCode,0)),IF(INDIRECT(ADDRESS(ROW(),COLUMN()-1,4))="30181504","Lavamanos/Fregadero",""))</f>
        <v>Lavamanos/Fregadero</v>
      </c>
      <c r="C3750" s="58" t="str">
        <f>IFERROR(VLOOKUP("UD",'Informacion '!P:Q,2,FALSE),"")</f>
        <v>Unidad</v>
      </c>
      <c r="D3750" s="25">
        <v>30</v>
      </c>
      <c r="E3750" s="28">
        <v>180</v>
      </c>
      <c r="F3750" s="27">
        <f t="shared" ca="1" si="113"/>
        <v>5400</v>
      </c>
    </row>
    <row r="3751" spans="1:6" ht="14.25" customHeight="1" x14ac:dyDescent="0.25">
      <c r="A3751" s="25" t="s">
        <v>768</v>
      </c>
      <c r="B3751" s="26" t="str">
        <f ca="1">IFERROR(INDEX(UNSPSCDes,MATCH(INDIRECT(ADDRESS(ROW(),COLUMN()-1,4)),UNSPSCCode,0)),IF(INDIRECT(ADDRESS(ROW(),COLUMN()-1,4))="31201514","Cinta de sellado de hilo de poli tetrafluoretileno (ptfe)",""))</f>
        <v>Cinta de sellado de hilo de poli tetrafluoretileno (ptfe)</v>
      </c>
      <c r="C3751" s="58" t="str">
        <f>IFERROR(VLOOKUP("UD",'Informacion '!P:Q,2,FALSE),"")</f>
        <v>Unidad</v>
      </c>
      <c r="D3751" s="25">
        <v>30</v>
      </c>
      <c r="E3751" s="28">
        <v>45.49</v>
      </c>
      <c r="F3751" s="27">
        <f t="shared" ca="1" si="113"/>
        <v>1364.7</v>
      </c>
    </row>
    <row r="3752" spans="1:6" ht="14.25" customHeight="1" x14ac:dyDescent="0.25">
      <c r="A3752" s="25" t="s">
        <v>493</v>
      </c>
      <c r="B3752" s="26" t="str">
        <f ca="1">IFERROR(INDEX(UNSPSCDes,MATCH(INDIRECT(ADDRESS(ROW(),COLUMN()-1,4)),UNSPSCCode,0)),IF(INDIRECT(ADDRESS(ROW(),COLUMN()-1,4))="27121704","Uniones hidráulicas",""))</f>
        <v>Uniones hidráulicas</v>
      </c>
      <c r="C3752" s="58" t="str">
        <f>IFERROR(VLOOKUP("UD",'Informacion '!P:Q,2,FALSE),"")</f>
        <v>Unidad</v>
      </c>
      <c r="D3752" s="25">
        <v>20</v>
      </c>
      <c r="E3752" s="28">
        <v>45</v>
      </c>
      <c r="F3752" s="27">
        <f t="shared" ca="1" si="113"/>
        <v>900</v>
      </c>
    </row>
    <row r="3753" spans="1:6" ht="14.25" customHeight="1" x14ac:dyDescent="0.25">
      <c r="A3753" s="25" t="s">
        <v>493</v>
      </c>
      <c r="B3753" s="26" t="str">
        <f ca="1">IFERROR(INDEX(UNSPSCDes,MATCH(INDIRECT(ADDRESS(ROW(),COLUMN()-1,4)),UNSPSCCode,0)),IF(INDIRECT(ADDRESS(ROW(),COLUMN()-1,4))="27121704","Uniones hidráulicas",""))</f>
        <v>Uniones hidráulicas</v>
      </c>
      <c r="C3753" s="58" t="str">
        <f>IFERROR(VLOOKUP("UD",'Informacion '!P:Q,2,FALSE),"")</f>
        <v>Unidad</v>
      </c>
      <c r="D3753" s="25">
        <v>20</v>
      </c>
      <c r="E3753" s="28">
        <v>32</v>
      </c>
      <c r="F3753" s="27">
        <f t="shared" ca="1" si="113"/>
        <v>640</v>
      </c>
    </row>
    <row r="3754" spans="1:6" ht="14.25" customHeight="1" x14ac:dyDescent="0.25">
      <c r="A3754" s="25" t="s">
        <v>323</v>
      </c>
      <c r="B3754" s="26" t="str">
        <f ca="1">IFERROR(INDEX(UNSPSCDes,MATCH(INDIRECT(ADDRESS(ROW(),COLUMN()-1,4)),UNSPSCCode,0)),IF(INDIRECT(ADDRESS(ROW(),COLUMN()-1,4))="31231313","Tubería de plástico",""))</f>
        <v>Tubería de plástico</v>
      </c>
      <c r="C3754" s="58" t="str">
        <f>IFERROR(VLOOKUP("UD",'Informacion '!P:Q,2,FALSE),"")</f>
        <v>Unidad</v>
      </c>
      <c r="D3754" s="25">
        <v>10</v>
      </c>
      <c r="E3754" s="28">
        <v>550.75</v>
      </c>
      <c r="F3754" s="27">
        <f t="shared" ca="1" si="113"/>
        <v>5507.5</v>
      </c>
    </row>
    <row r="3755" spans="1:6" ht="14.25" customHeight="1" x14ac:dyDescent="0.25">
      <c r="A3755" s="25" t="s">
        <v>874</v>
      </c>
      <c r="B3755" s="26" t="str">
        <f ca="1">IFERROR(INDEX(UNSPSCDes,MATCH(INDIRECT(ADDRESS(ROW(),COLUMN()-1,4)),UNSPSCCode,0)),IF(INDIRECT(ADDRESS(ROW(),COLUMN()-1,4))="40142612","Adaptadores de tubo",""))</f>
        <v>Adaptadores de tubo</v>
      </c>
      <c r="C3755" s="58" t="str">
        <f>IFERROR(VLOOKUP("UD",'Informacion '!P:Q,2,FALSE),"")</f>
        <v>Unidad</v>
      </c>
      <c r="D3755" s="25">
        <v>20</v>
      </c>
      <c r="E3755" s="28">
        <v>22</v>
      </c>
      <c r="F3755" s="27">
        <f t="shared" ca="1" si="113"/>
        <v>440</v>
      </c>
    </row>
    <row r="3756" spans="1:6" ht="14.25" customHeight="1" x14ac:dyDescent="0.25">
      <c r="A3756" s="25" t="s">
        <v>119</v>
      </c>
      <c r="B3756" s="26" t="str">
        <f ca="1">IFERROR(INDEX(UNSPSCDes,MATCH(INDIRECT(ADDRESS(ROW(),COLUMN()-1,4)),UNSPSCCode,0)),IF(INDIRECT(ADDRESS(ROW(),COLUMN()-1,4))="40142604","Codos de tubo",""))</f>
        <v>Codos de tubo</v>
      </c>
      <c r="C3756" s="58" t="str">
        <f>IFERROR(VLOOKUP("UD",'Informacion '!P:Q,2,FALSE),"")</f>
        <v>Unidad</v>
      </c>
      <c r="D3756" s="25">
        <v>30</v>
      </c>
      <c r="E3756" s="28">
        <v>216.95</v>
      </c>
      <c r="F3756" s="27">
        <f t="shared" ca="1" si="113"/>
        <v>6508.5</v>
      </c>
    </row>
    <row r="3757" spans="1:6" ht="14.25" customHeight="1" x14ac:dyDescent="0.25">
      <c r="A3757" s="25" t="s">
        <v>323</v>
      </c>
      <c r="B3757" s="26" t="str">
        <f ca="1">IFERROR(INDEX(UNSPSCDes,MATCH(INDIRECT(ADDRESS(ROW(),COLUMN()-1,4)),UNSPSCCode,0)),IF(INDIRECT(ADDRESS(ROW(),COLUMN()-1,4))="31231313","Tubería de plástico",""))</f>
        <v>Tubería de plástico</v>
      </c>
      <c r="C3757" s="58" t="str">
        <f>IFERROR(VLOOKUP("UD",'Informacion '!P:Q,2,FALSE),"")</f>
        <v>Unidad</v>
      </c>
      <c r="D3757" s="25">
        <v>10</v>
      </c>
      <c r="E3757" s="28">
        <v>550.75</v>
      </c>
      <c r="F3757" s="27">
        <f t="shared" ca="1" si="113"/>
        <v>5507.5</v>
      </c>
    </row>
    <row r="3758" spans="1:6" ht="14.25" customHeight="1" x14ac:dyDescent="0.25">
      <c r="A3758" s="25" t="s">
        <v>874</v>
      </c>
      <c r="B3758" s="26" t="str">
        <f ca="1">IFERROR(INDEX(UNSPSCDes,MATCH(INDIRECT(ADDRESS(ROW(),COLUMN()-1,4)),UNSPSCCode,0)),IF(INDIRECT(ADDRESS(ROW(),COLUMN()-1,4))="40142612","Adaptadores de tubo",""))</f>
        <v>Adaptadores de tubo</v>
      </c>
      <c r="C3758" s="58" t="str">
        <f>IFERROR(VLOOKUP("UD",'Informacion '!P:Q,2,FALSE),"")</f>
        <v>Unidad</v>
      </c>
      <c r="D3758" s="25">
        <v>15</v>
      </c>
      <c r="E3758" s="28">
        <v>22</v>
      </c>
      <c r="F3758" s="27">
        <f t="shared" ca="1" si="113"/>
        <v>330</v>
      </c>
    </row>
    <row r="3759" spans="1:6" ht="14.25" customHeight="1" x14ac:dyDescent="0.25">
      <c r="A3759" s="25" t="s">
        <v>119</v>
      </c>
      <c r="B3759" s="26" t="str">
        <f ca="1">IFERROR(INDEX(UNSPSCDes,MATCH(INDIRECT(ADDRESS(ROW(),COLUMN()-1,4)),UNSPSCCode,0)),IF(INDIRECT(ADDRESS(ROW(),COLUMN()-1,4))="40142604","Codos de tubo",""))</f>
        <v>Codos de tubo</v>
      </c>
      <c r="C3759" s="58" t="str">
        <f>IFERROR(VLOOKUP("UD",'Informacion '!P:Q,2,FALSE),"")</f>
        <v>Unidad</v>
      </c>
      <c r="D3759" s="25">
        <v>15</v>
      </c>
      <c r="E3759" s="28">
        <v>216.95</v>
      </c>
      <c r="F3759" s="27">
        <f t="shared" ca="1" si="113"/>
        <v>3254.25</v>
      </c>
    </row>
    <row r="3760" spans="1:6" ht="14.25" customHeight="1" x14ac:dyDescent="0.25">
      <c r="A3760" s="25" t="s">
        <v>784</v>
      </c>
      <c r="B3760" s="26" t="str">
        <f ca="1">IFERROR(INDEX(UNSPSCDes,MATCH(INDIRECT(ADDRESS(ROW(),COLUMN()-1,4)),UNSPSCCode,0)),IF(INDIRECT(ADDRESS(ROW(),COLUMN()-1,4))="26121519","Alambre de aluminio revestido de cobre",""))</f>
        <v>Alambre de aluminio revestido de cobre</v>
      </c>
      <c r="C3760" s="58" t="str">
        <f>IFERROR(VLOOKUP("FT",'Informacion '!P:Q,2,FALSE),"")</f>
        <v>Pie</v>
      </c>
      <c r="D3760" s="25">
        <v>300</v>
      </c>
      <c r="E3760" s="28">
        <v>37</v>
      </c>
      <c r="F3760" s="27">
        <f t="shared" ca="1" si="113"/>
        <v>11100</v>
      </c>
    </row>
    <row r="3761" spans="1:10" ht="14.25" customHeight="1" x14ac:dyDescent="0.25">
      <c r="E3761" s="30" t="s">
        <v>816</v>
      </c>
      <c r="F3761" s="31">
        <f ca="1">SUM(Table204[MONTO TOTAL ESTIMADO])</f>
        <v>246420.42</v>
      </c>
      <c r="H3761" s="21" t="str">
        <f>C3711</f>
        <v>Bienes</v>
      </c>
      <c r="I3761" s="21" t="str">
        <f>E3711</f>
        <v>Sí</v>
      </c>
      <c r="J3761" s="21" t="str">
        <f>D3711</f>
        <v>Compras Menores</v>
      </c>
    </row>
    <row r="3763" spans="1:10" ht="33.950000000000003" customHeight="1" x14ac:dyDescent="0.25">
      <c r="A3763" s="22" t="s">
        <v>1051</v>
      </c>
      <c r="B3763" s="22" t="s">
        <v>11</v>
      </c>
      <c r="C3763" s="22" t="s">
        <v>751</v>
      </c>
      <c r="D3763" s="22" t="s">
        <v>930</v>
      </c>
      <c r="E3763" s="22" t="s">
        <v>699</v>
      </c>
      <c r="F3763" s="22" t="s">
        <v>710</v>
      </c>
    </row>
    <row r="3764" spans="1:10" ht="14.25" customHeight="1" x14ac:dyDescent="0.25">
      <c r="A3764" s="23" t="s">
        <v>1189</v>
      </c>
      <c r="B3764" s="23" t="s">
        <v>1189</v>
      </c>
      <c r="C3764" s="23" t="s">
        <v>1155</v>
      </c>
      <c r="D3764" s="23" t="s">
        <v>654</v>
      </c>
      <c r="E3764" s="23" t="s">
        <v>1156</v>
      </c>
      <c r="F3764" s="23" t="s">
        <v>436</v>
      </c>
    </row>
    <row r="3765" spans="1:10" ht="14.25" customHeight="1" x14ac:dyDescent="0.25">
      <c r="A3765" s="68" t="s">
        <v>965</v>
      </c>
      <c r="B3765" s="24" t="s">
        <v>543</v>
      </c>
      <c r="C3765" s="54">
        <v>46115</v>
      </c>
      <c r="D3765" s="68" t="s">
        <v>598</v>
      </c>
      <c r="E3765" s="56" t="s">
        <v>858</v>
      </c>
      <c r="F3765" s="57" t="s">
        <v>184</v>
      </c>
    </row>
    <row r="3766" spans="1:10" ht="14.25" customHeight="1" x14ac:dyDescent="0.25">
      <c r="A3766" s="69"/>
      <c r="B3766" s="24" t="s">
        <v>112</v>
      </c>
      <c r="C3766" s="55">
        <f>IF(C3765="","",IF(AND(MONTH(C3765)&gt;=1,MONTH(C3765)&lt;=3),1,IF(AND(MONTH(C3765)&gt;=4,MONTH(C3765)&lt;=6),2,IF(AND(MONTH(C3765)&gt;=7,MONTH(C3765)&lt;=9),3,4))))</f>
        <v>2</v>
      </c>
      <c r="D3766" s="69"/>
      <c r="E3766" s="56" t="s">
        <v>143</v>
      </c>
      <c r="F3766" s="57"/>
    </row>
    <row r="3767" spans="1:10" ht="14.25" customHeight="1" x14ac:dyDescent="0.25">
      <c r="A3767" s="69"/>
      <c r="B3767" s="24" t="s">
        <v>844</v>
      </c>
      <c r="C3767" s="54">
        <v>46173</v>
      </c>
      <c r="D3767" s="69"/>
      <c r="E3767" s="56" t="s">
        <v>183</v>
      </c>
      <c r="F3767" s="57"/>
    </row>
    <row r="3768" spans="1:10" ht="14.25" customHeight="1" x14ac:dyDescent="0.25">
      <c r="A3768" s="69"/>
      <c r="B3768" s="24" t="s">
        <v>112</v>
      </c>
      <c r="C3768" s="55">
        <f>IF(C3767="","",IF(AND(MONTH(C3767)&gt;=1,MONTH(C3767)&lt;=3),1,IF(AND(MONTH(C3767)&gt;=4,MONTH(C3767)&lt;=6),2,IF(AND(MONTH(C3767)&gt;=7,MONTH(C3767)&lt;=9),3,4))))</f>
        <v>2</v>
      </c>
      <c r="D3768" s="69"/>
      <c r="E3768" s="56" t="s">
        <v>865</v>
      </c>
      <c r="F3768" s="57"/>
    </row>
    <row r="3770" spans="1:10" ht="14.25" customHeight="1" x14ac:dyDescent="0.25">
      <c r="A3770" s="29" t="s">
        <v>1017</v>
      </c>
      <c r="B3770" s="29" t="s">
        <v>1042</v>
      </c>
      <c r="C3770" s="29" t="s">
        <v>1011</v>
      </c>
      <c r="D3770" s="29" t="s">
        <v>985</v>
      </c>
      <c r="E3770" s="29" t="s">
        <v>449</v>
      </c>
      <c r="F3770" s="29" t="s">
        <v>989</v>
      </c>
    </row>
    <row r="3771" spans="1:10" ht="14.25" customHeight="1" x14ac:dyDescent="0.25">
      <c r="A3771" s="25" t="s">
        <v>887</v>
      </c>
      <c r="B3771" s="26" t="str">
        <f ca="1">IFERROR(INDEX(UNSPSCDes,MATCH(INDIRECT(ADDRESS(ROW(),COLUMN()-1,4)),UNSPSCCode,0)),IF(INDIRECT(ADDRESS(ROW(),COLUMN()-1,4))="53103001","Camisetas (t-shirts)",""))</f>
        <v>Camisetas (t-shirts)</v>
      </c>
      <c r="C3771" s="58" t="str">
        <f>IFERROR(VLOOKUP("UD",'Informacion '!P:Q,2,FALSE),"")</f>
        <v>Unidad</v>
      </c>
      <c r="D3771" s="25">
        <v>20</v>
      </c>
      <c r="E3771" s="28">
        <v>600</v>
      </c>
      <c r="F3771" s="27">
        <f ca="1">INDIRECT(ADDRESS(ROW(),COLUMN()-2,4))*INDIRECT(ADDRESS(ROW(),COLUMN()-1,4))</f>
        <v>12000</v>
      </c>
    </row>
    <row r="3772" spans="1:10" ht="14.25" customHeight="1" x14ac:dyDescent="0.25">
      <c r="A3772" s="25" t="s">
        <v>887</v>
      </c>
      <c r="B3772" s="26" t="str">
        <f ca="1">IFERROR(INDEX(UNSPSCDes,MATCH(INDIRECT(ADDRESS(ROW(),COLUMN()-1,4)),UNSPSCCode,0)),IF(INDIRECT(ADDRESS(ROW(),COLUMN()-1,4))="53103001","Camisetas (t-shirts)",""))</f>
        <v>Camisetas (t-shirts)</v>
      </c>
      <c r="C3772" s="58" t="str">
        <f>IFERROR(VLOOKUP("UD",'Informacion '!P:Q,2,FALSE),"")</f>
        <v>Unidad</v>
      </c>
      <c r="D3772" s="25">
        <v>45</v>
      </c>
      <c r="E3772" s="28">
        <v>500</v>
      </c>
      <c r="F3772" s="27">
        <f ca="1">INDIRECT(ADDRESS(ROW(),COLUMN()-2,4))*INDIRECT(ADDRESS(ROW(),COLUMN()-1,4))</f>
        <v>22500</v>
      </c>
    </row>
    <row r="3773" spans="1:10" ht="14.25" customHeight="1" x14ac:dyDescent="0.25">
      <c r="E3773" s="30" t="s">
        <v>816</v>
      </c>
      <c r="F3773" s="31">
        <f ca="1">SUM(Table205[MONTO TOTAL ESTIMADO])</f>
        <v>34500</v>
      </c>
      <c r="H3773" s="21" t="str">
        <f>C3764</f>
        <v>Bienes</v>
      </c>
      <c r="I3773" s="21" t="str">
        <f>E3764</f>
        <v>No</v>
      </c>
      <c r="J3773" s="21" t="str">
        <f>D3764</f>
        <v>Compras por debajo del Umbral</v>
      </c>
    </row>
    <row r="3775" spans="1:10" ht="33.950000000000003" customHeight="1" x14ac:dyDescent="0.25">
      <c r="A3775" s="22" t="s">
        <v>1051</v>
      </c>
      <c r="B3775" s="22" t="s">
        <v>11</v>
      </c>
      <c r="C3775" s="22" t="s">
        <v>751</v>
      </c>
      <c r="D3775" s="22" t="s">
        <v>930</v>
      </c>
      <c r="E3775" s="22" t="s">
        <v>699</v>
      </c>
      <c r="F3775" s="22" t="s">
        <v>710</v>
      </c>
    </row>
    <row r="3776" spans="1:10" ht="14.25" customHeight="1" x14ac:dyDescent="0.25">
      <c r="A3776" s="23" t="s">
        <v>476</v>
      </c>
      <c r="B3776" s="23" t="s">
        <v>476</v>
      </c>
      <c r="C3776" s="23" t="s">
        <v>438</v>
      </c>
      <c r="D3776" s="23" t="s">
        <v>116</v>
      </c>
      <c r="E3776" s="23" t="s">
        <v>1156</v>
      </c>
      <c r="F3776" s="23" t="s">
        <v>436</v>
      </c>
    </row>
    <row r="3777" spans="1:10" ht="14.25" customHeight="1" x14ac:dyDescent="0.25">
      <c r="A3777" s="68" t="s">
        <v>965</v>
      </c>
      <c r="B3777" s="24" t="s">
        <v>543</v>
      </c>
      <c r="C3777" s="54">
        <v>46332</v>
      </c>
      <c r="D3777" s="68" t="s">
        <v>598</v>
      </c>
      <c r="E3777" s="56" t="s">
        <v>858</v>
      </c>
      <c r="F3777" s="57" t="s">
        <v>184</v>
      </c>
    </row>
    <row r="3778" spans="1:10" ht="14.25" customHeight="1" x14ac:dyDescent="0.25">
      <c r="A3778" s="69"/>
      <c r="B3778" s="24" t="s">
        <v>112</v>
      </c>
      <c r="C3778" s="55">
        <f>IF(C3777="","",IF(AND(MONTH(C3777)&gt;=1,MONTH(C3777)&lt;=3),1,IF(AND(MONTH(C3777)&gt;=4,MONTH(C3777)&lt;=6),2,IF(AND(MONTH(C3777)&gt;=7,MONTH(C3777)&lt;=9),3,4))))</f>
        <v>4</v>
      </c>
      <c r="D3778" s="69"/>
      <c r="E3778" s="56" t="s">
        <v>143</v>
      </c>
      <c r="F3778" s="57"/>
    </row>
    <row r="3779" spans="1:10" ht="14.25" customHeight="1" x14ac:dyDescent="0.25">
      <c r="A3779" s="69"/>
      <c r="B3779" s="24" t="s">
        <v>844</v>
      </c>
      <c r="C3779" s="54">
        <v>46350</v>
      </c>
      <c r="D3779" s="69"/>
      <c r="E3779" s="56" t="s">
        <v>183</v>
      </c>
      <c r="F3779" s="57"/>
    </row>
    <row r="3780" spans="1:10" ht="14.25" customHeight="1" x14ac:dyDescent="0.25">
      <c r="A3780" s="69"/>
      <c r="B3780" s="24" t="s">
        <v>112</v>
      </c>
      <c r="C3780" s="55">
        <f>IF(C3779="","",IF(AND(MONTH(C3779)&gt;=1,MONTH(C3779)&lt;=3),1,IF(AND(MONTH(C3779)&gt;=4,MONTH(C3779)&lt;=6),2,IF(AND(MONTH(C3779)&gt;=7,MONTH(C3779)&lt;=9),3,4))))</f>
        <v>4</v>
      </c>
      <c r="D3780" s="69"/>
      <c r="E3780" s="56" t="s">
        <v>865</v>
      </c>
      <c r="F3780" s="57"/>
    </row>
    <row r="3782" spans="1:10" ht="14.25" customHeight="1" x14ac:dyDescent="0.25">
      <c r="A3782" s="29" t="s">
        <v>1017</v>
      </c>
      <c r="B3782" s="29" t="s">
        <v>1042</v>
      </c>
      <c r="C3782" s="29" t="s">
        <v>1011</v>
      </c>
      <c r="D3782" s="29" t="s">
        <v>985</v>
      </c>
      <c r="E3782" s="29" t="s">
        <v>449</v>
      </c>
      <c r="F3782" s="29" t="s">
        <v>989</v>
      </c>
    </row>
    <row r="3783" spans="1:10" ht="14.25" customHeight="1" x14ac:dyDescent="0.25">
      <c r="A3783" s="25" t="s">
        <v>67</v>
      </c>
      <c r="B3783" s="26" t="str">
        <f ca="1">IFERROR(INDEX(UNSPSCDes,MATCH(INDIRECT(ADDRESS(ROW(),COLUMN()-1,4)),UNSPSCCode,0)),IF(INDIRECT(ADDRESS(ROW(),COLUMN()-1,4))="10161707","Arreglo de flores cortadas",""))</f>
        <v>Arreglo de flores cortadas</v>
      </c>
      <c r="C3783" s="58" t="str">
        <f>IFERROR(VLOOKUP("UD",'Informacion '!P:Q,2,FALSE),"")</f>
        <v>Unidad</v>
      </c>
      <c r="D3783" s="25">
        <v>1</v>
      </c>
      <c r="E3783" s="28">
        <v>50000</v>
      </c>
      <c r="F3783" s="27">
        <f ca="1">INDIRECT(ADDRESS(ROW(),COLUMN()-2,4))*INDIRECT(ADDRESS(ROW(),COLUMN()-1,4))</f>
        <v>50000</v>
      </c>
    </row>
    <row r="3784" spans="1:10" ht="14.25" customHeight="1" x14ac:dyDescent="0.25">
      <c r="E3784" s="30" t="s">
        <v>816</v>
      </c>
      <c r="F3784" s="31">
        <f ca="1">SUM(Table206[MONTO TOTAL ESTIMADO])</f>
        <v>50000</v>
      </c>
      <c r="H3784" s="21" t="str">
        <f>C3776</f>
        <v>Servicios</v>
      </c>
      <c r="I3784" s="21" t="str">
        <f>E3776</f>
        <v>No</v>
      </c>
      <c r="J3784" s="21" t="str">
        <f>D3776</f>
        <v>Comparacion de Precios</v>
      </c>
    </row>
    <row r="3786" spans="1:10" ht="33.950000000000003" customHeight="1" x14ac:dyDescent="0.25">
      <c r="A3786" s="22" t="s">
        <v>1051</v>
      </c>
      <c r="B3786" s="22" t="s">
        <v>11</v>
      </c>
      <c r="C3786" s="22" t="s">
        <v>751</v>
      </c>
      <c r="D3786" s="22" t="s">
        <v>930</v>
      </c>
      <c r="E3786" s="22" t="s">
        <v>699</v>
      </c>
      <c r="F3786" s="22" t="s">
        <v>710</v>
      </c>
    </row>
    <row r="3787" spans="1:10" ht="14.25" customHeight="1" x14ac:dyDescent="0.25">
      <c r="A3787" s="23" t="s">
        <v>33</v>
      </c>
      <c r="B3787" s="23" t="s">
        <v>33</v>
      </c>
      <c r="C3787" s="23" t="s">
        <v>438</v>
      </c>
      <c r="D3787" s="23" t="s">
        <v>654</v>
      </c>
      <c r="E3787" s="23" t="s">
        <v>1156</v>
      </c>
      <c r="F3787" s="23" t="s">
        <v>436</v>
      </c>
    </row>
    <row r="3788" spans="1:10" ht="14.25" customHeight="1" x14ac:dyDescent="0.25">
      <c r="A3788" s="68" t="s">
        <v>965</v>
      </c>
      <c r="B3788" s="24" t="s">
        <v>543</v>
      </c>
      <c r="C3788" s="54">
        <v>46213</v>
      </c>
      <c r="D3788" s="68" t="s">
        <v>598</v>
      </c>
      <c r="E3788" s="56" t="s">
        <v>858</v>
      </c>
      <c r="F3788" s="57" t="s">
        <v>184</v>
      </c>
    </row>
    <row r="3789" spans="1:10" ht="14.25" customHeight="1" x14ac:dyDescent="0.25">
      <c r="A3789" s="69"/>
      <c r="B3789" s="24" t="s">
        <v>112</v>
      </c>
      <c r="C3789" s="55">
        <f>IF(C3788="","",IF(AND(MONTH(C3788)&gt;=1,MONTH(C3788)&lt;=3),1,IF(AND(MONTH(C3788)&gt;=4,MONTH(C3788)&lt;=6),2,IF(AND(MONTH(C3788)&gt;=7,MONTH(C3788)&lt;=9),3,4))))</f>
        <v>3</v>
      </c>
      <c r="D3789" s="69"/>
      <c r="E3789" s="56" t="s">
        <v>143</v>
      </c>
      <c r="F3789" s="57"/>
    </row>
    <row r="3790" spans="1:10" ht="14.25" customHeight="1" x14ac:dyDescent="0.25">
      <c r="A3790" s="69"/>
      <c r="B3790" s="24" t="s">
        <v>844</v>
      </c>
      <c r="C3790" s="54">
        <v>46234</v>
      </c>
      <c r="D3790" s="69"/>
      <c r="E3790" s="56" t="s">
        <v>183</v>
      </c>
      <c r="F3790" s="57"/>
    </row>
    <row r="3791" spans="1:10" ht="14.25" customHeight="1" x14ac:dyDescent="0.25">
      <c r="A3791" s="69"/>
      <c r="B3791" s="24" t="s">
        <v>112</v>
      </c>
      <c r="C3791" s="55">
        <f>IF(C3790="","",IF(AND(MONTH(C3790)&gt;=1,MONTH(C3790)&lt;=3),1,IF(AND(MONTH(C3790)&gt;=4,MONTH(C3790)&lt;=6),2,IF(AND(MONTH(C3790)&gt;=7,MONTH(C3790)&lt;=9),3,4))))</f>
        <v>3</v>
      </c>
      <c r="D3791" s="69"/>
      <c r="E3791" s="56" t="s">
        <v>865</v>
      </c>
      <c r="F3791" s="57"/>
    </row>
    <row r="3793" spans="1:10" ht="14.25" customHeight="1" x14ac:dyDescent="0.25">
      <c r="A3793" s="29" t="s">
        <v>1017</v>
      </c>
      <c r="B3793" s="29" t="s">
        <v>1042</v>
      </c>
      <c r="C3793" s="29" t="s">
        <v>1011</v>
      </c>
      <c r="D3793" s="29" t="s">
        <v>985</v>
      </c>
      <c r="E3793" s="29" t="s">
        <v>449</v>
      </c>
      <c r="F3793" s="29" t="s">
        <v>989</v>
      </c>
    </row>
    <row r="3794" spans="1:10" ht="14.25" customHeight="1" x14ac:dyDescent="0.25">
      <c r="A3794" s="25" t="s">
        <v>583</v>
      </c>
      <c r="B3794" s="26" t="str">
        <f ca="1">IFERROR(INDEX(UNSPSCDes,MATCH(INDIRECT(ADDRESS(ROW(),COLUMN()-1,4)),UNSPSCCode,0)),IF(INDIRECT(ADDRESS(ROW(),COLUMN()-1,4))="76111501","Servicios de limpieza de edificios",""))</f>
        <v>Servicios de limpieza de edificios</v>
      </c>
      <c r="C3794" s="58" t="str">
        <f>IFERROR(VLOOKUP("UD",'Informacion '!P:Q,2,FALSE),"")</f>
        <v>Unidad</v>
      </c>
      <c r="D3794" s="25">
        <v>1</v>
      </c>
      <c r="E3794" s="28">
        <v>150000</v>
      </c>
      <c r="F3794" s="27">
        <f ca="1">INDIRECT(ADDRESS(ROW(),COLUMN()-2,4))*INDIRECT(ADDRESS(ROW(),COLUMN()-1,4))</f>
        <v>150000</v>
      </c>
    </row>
    <row r="3795" spans="1:10" ht="14.25" customHeight="1" x14ac:dyDescent="0.25">
      <c r="E3795" s="30" t="s">
        <v>816</v>
      </c>
      <c r="F3795" s="31">
        <f ca="1">SUM(Table207[MONTO TOTAL ESTIMADO])</f>
        <v>150000</v>
      </c>
      <c r="H3795" s="21" t="str">
        <f>C3787</f>
        <v>Servicios</v>
      </c>
      <c r="I3795" s="21" t="str">
        <f>E3787</f>
        <v>No</v>
      </c>
      <c r="J3795" s="21" t="str">
        <f>D3787</f>
        <v>Compras por debajo del Umbral</v>
      </c>
    </row>
    <row r="3797" spans="1:10" ht="33.950000000000003" customHeight="1" x14ac:dyDescent="0.25">
      <c r="A3797" s="22" t="s">
        <v>1051</v>
      </c>
      <c r="B3797" s="22" t="s">
        <v>11</v>
      </c>
      <c r="C3797" s="22" t="s">
        <v>751</v>
      </c>
      <c r="D3797" s="22" t="s">
        <v>930</v>
      </c>
      <c r="E3797" s="22" t="s">
        <v>699</v>
      </c>
      <c r="F3797" s="22" t="s">
        <v>710</v>
      </c>
    </row>
    <row r="3798" spans="1:10" ht="14.25" customHeight="1" x14ac:dyDescent="0.25">
      <c r="A3798" s="23" t="s">
        <v>556</v>
      </c>
      <c r="B3798" s="23" t="s">
        <v>556</v>
      </c>
      <c r="C3798" s="23" t="s">
        <v>1155</v>
      </c>
      <c r="D3798" s="23" t="s">
        <v>654</v>
      </c>
      <c r="E3798" s="23" t="s">
        <v>1156</v>
      </c>
      <c r="F3798" s="23" t="s">
        <v>436</v>
      </c>
    </row>
    <row r="3799" spans="1:10" ht="14.25" customHeight="1" x14ac:dyDescent="0.25">
      <c r="A3799" s="68" t="s">
        <v>965</v>
      </c>
      <c r="B3799" s="24" t="s">
        <v>543</v>
      </c>
      <c r="C3799" s="54">
        <v>46155</v>
      </c>
      <c r="D3799" s="68" t="s">
        <v>598</v>
      </c>
      <c r="E3799" s="56" t="s">
        <v>858</v>
      </c>
      <c r="F3799" s="57" t="s">
        <v>184</v>
      </c>
    </row>
    <row r="3800" spans="1:10" ht="14.25" customHeight="1" x14ac:dyDescent="0.25">
      <c r="A3800" s="69"/>
      <c r="B3800" s="24" t="s">
        <v>112</v>
      </c>
      <c r="C3800" s="55">
        <f>IF(C3799="","",IF(AND(MONTH(C3799)&gt;=1,MONTH(C3799)&lt;=3),1,IF(AND(MONTH(C3799)&gt;=4,MONTH(C3799)&lt;=6),2,IF(AND(MONTH(C3799)&gt;=7,MONTH(C3799)&lt;=9),3,4))))</f>
        <v>2</v>
      </c>
      <c r="D3800" s="69"/>
      <c r="E3800" s="56" t="s">
        <v>143</v>
      </c>
      <c r="F3800" s="57"/>
    </row>
    <row r="3801" spans="1:10" ht="14.25" customHeight="1" x14ac:dyDescent="0.25">
      <c r="A3801" s="69"/>
      <c r="B3801" s="24" t="s">
        <v>844</v>
      </c>
      <c r="C3801" s="54">
        <v>46173</v>
      </c>
      <c r="D3801" s="69"/>
      <c r="E3801" s="56" t="s">
        <v>183</v>
      </c>
      <c r="F3801" s="57"/>
    </row>
    <row r="3802" spans="1:10" ht="14.25" customHeight="1" x14ac:dyDescent="0.25">
      <c r="A3802" s="69"/>
      <c r="B3802" s="24" t="s">
        <v>112</v>
      </c>
      <c r="C3802" s="55">
        <f>IF(C3801="","",IF(AND(MONTH(C3801)&gt;=1,MONTH(C3801)&lt;=3),1,IF(AND(MONTH(C3801)&gt;=4,MONTH(C3801)&lt;=6),2,IF(AND(MONTH(C3801)&gt;=7,MONTH(C3801)&lt;=9),3,4))))</f>
        <v>2</v>
      </c>
      <c r="D3802" s="69"/>
      <c r="E3802" s="56" t="s">
        <v>865</v>
      </c>
      <c r="F3802" s="57"/>
    </row>
    <row r="3804" spans="1:10" ht="14.25" customHeight="1" x14ac:dyDescent="0.25">
      <c r="A3804" s="29" t="s">
        <v>1017</v>
      </c>
      <c r="B3804" s="29" t="s">
        <v>1042</v>
      </c>
      <c r="C3804" s="29" t="s">
        <v>1011</v>
      </c>
      <c r="D3804" s="29" t="s">
        <v>985</v>
      </c>
      <c r="E3804" s="29" t="s">
        <v>449</v>
      </c>
      <c r="F3804" s="29" t="s">
        <v>989</v>
      </c>
    </row>
    <row r="3805" spans="1:10" ht="14.25" customHeight="1" x14ac:dyDescent="0.25">
      <c r="A3805" s="25" t="s">
        <v>164</v>
      </c>
      <c r="B3805" s="26" t="str">
        <f ca="1">IFERROR(INDEX(UNSPSCDes,MATCH(INDIRECT(ADDRESS(ROW(),COLUMN()-1,4)),UNSPSCCode,0)),IF(INDIRECT(ADDRESS(ROW(),COLUMN()-1,4))="53102707","Batas de doctor",""))</f>
        <v>Batas de doctor</v>
      </c>
      <c r="C3805" s="58" t="str">
        <f>IFERROR(VLOOKUP("UD",'Informacion '!P:Q,2,FALSE),"")</f>
        <v>Unidad</v>
      </c>
      <c r="D3805" s="25">
        <v>8</v>
      </c>
      <c r="E3805" s="28">
        <v>2500</v>
      </c>
      <c r="F3805" s="27">
        <f ca="1">INDIRECT(ADDRESS(ROW(),COLUMN()-2,4))*INDIRECT(ADDRESS(ROW(),COLUMN()-1,4))</f>
        <v>20000</v>
      </c>
    </row>
    <row r="3806" spans="1:10" ht="14.25" customHeight="1" x14ac:dyDescent="0.25">
      <c r="A3806" s="25" t="s">
        <v>164</v>
      </c>
      <c r="B3806" s="26" t="str">
        <f ca="1">IFERROR(INDEX(UNSPSCDes,MATCH(INDIRECT(ADDRESS(ROW(),COLUMN()-1,4)),UNSPSCCode,0)),IF(INDIRECT(ADDRESS(ROW(),COLUMN()-1,4))="53102707","Batas de doctor",""))</f>
        <v>Batas de doctor</v>
      </c>
      <c r="C3806" s="58" t="str">
        <f>IFERROR(VLOOKUP("UD",'Informacion '!P:Q,2,FALSE),"")</f>
        <v>Unidad</v>
      </c>
      <c r="D3806" s="25">
        <v>30</v>
      </c>
      <c r="E3806" s="28">
        <v>1500</v>
      </c>
      <c r="F3806" s="27">
        <f ca="1">INDIRECT(ADDRESS(ROW(),COLUMN()-2,4))*INDIRECT(ADDRESS(ROW(),COLUMN()-1,4))</f>
        <v>45000</v>
      </c>
    </row>
    <row r="3807" spans="1:10" ht="14.25" customHeight="1" x14ac:dyDescent="0.25">
      <c r="E3807" s="30" t="s">
        <v>816</v>
      </c>
      <c r="F3807" s="31">
        <f ca="1">SUM(Table208[MONTO TOTAL ESTIMADO])</f>
        <v>65000</v>
      </c>
      <c r="H3807" s="21" t="str">
        <f>C3798</f>
        <v>Bienes</v>
      </c>
      <c r="I3807" s="21" t="str">
        <f>E3798</f>
        <v>No</v>
      </c>
      <c r="J3807" s="21" t="str">
        <f>D3798</f>
        <v>Compras por debajo del Umbral</v>
      </c>
    </row>
    <row r="3809" spans="1:10" ht="33.950000000000003" customHeight="1" x14ac:dyDescent="0.25">
      <c r="A3809" s="22" t="s">
        <v>1051</v>
      </c>
      <c r="B3809" s="22" t="s">
        <v>11</v>
      </c>
      <c r="C3809" s="22" t="s">
        <v>751</v>
      </c>
      <c r="D3809" s="22" t="s">
        <v>930</v>
      </c>
      <c r="E3809" s="22" t="s">
        <v>699</v>
      </c>
      <c r="F3809" s="22" t="s">
        <v>710</v>
      </c>
    </row>
    <row r="3810" spans="1:10" ht="14.25" customHeight="1" x14ac:dyDescent="0.25">
      <c r="A3810" s="23" t="s">
        <v>589</v>
      </c>
      <c r="B3810" s="23" t="s">
        <v>589</v>
      </c>
      <c r="C3810" s="23" t="s">
        <v>438</v>
      </c>
      <c r="D3810" s="23" t="s">
        <v>116</v>
      </c>
      <c r="E3810" s="23" t="s">
        <v>1156</v>
      </c>
      <c r="F3810" s="23" t="s">
        <v>436</v>
      </c>
    </row>
    <row r="3811" spans="1:10" ht="14.25" customHeight="1" x14ac:dyDescent="0.25">
      <c r="A3811" s="68" t="s">
        <v>965</v>
      </c>
      <c r="B3811" s="24" t="s">
        <v>543</v>
      </c>
      <c r="C3811" s="54">
        <v>46035</v>
      </c>
      <c r="D3811" s="68" t="s">
        <v>598</v>
      </c>
      <c r="E3811" s="56" t="s">
        <v>858</v>
      </c>
      <c r="F3811" s="57" t="s">
        <v>757</v>
      </c>
    </row>
    <row r="3812" spans="1:10" ht="14.25" customHeight="1" x14ac:dyDescent="0.25">
      <c r="A3812" s="69"/>
      <c r="B3812" s="24" t="s">
        <v>112</v>
      </c>
      <c r="C3812" s="55">
        <f>IF(C3811="","",IF(AND(MONTH(C3811)&gt;=1,MONTH(C3811)&lt;=3),1,IF(AND(MONTH(C3811)&gt;=4,MONTH(C3811)&lt;=6),2,IF(AND(MONTH(C3811)&gt;=7,MONTH(C3811)&lt;=9),3,4))))</f>
        <v>1</v>
      </c>
      <c r="D3812" s="69"/>
      <c r="E3812" s="56" t="s">
        <v>143</v>
      </c>
      <c r="F3812" s="57" t="s">
        <v>1208</v>
      </c>
    </row>
    <row r="3813" spans="1:10" ht="14.25" customHeight="1" x14ac:dyDescent="0.25">
      <c r="A3813" s="69"/>
      <c r="B3813" s="24" t="s">
        <v>844</v>
      </c>
      <c r="C3813" s="54">
        <v>46112</v>
      </c>
      <c r="D3813" s="69"/>
      <c r="E3813" s="56" t="s">
        <v>183</v>
      </c>
      <c r="F3813" s="57"/>
    </row>
    <row r="3814" spans="1:10" ht="14.25" customHeight="1" x14ac:dyDescent="0.25">
      <c r="A3814" s="69"/>
      <c r="B3814" s="24" t="s">
        <v>112</v>
      </c>
      <c r="C3814" s="55">
        <f>IF(C3813="","",IF(AND(MONTH(C3813)&gt;=1,MONTH(C3813)&lt;=3),1,IF(AND(MONTH(C3813)&gt;=4,MONTH(C3813)&lt;=6),2,IF(AND(MONTH(C3813)&gt;=7,MONTH(C3813)&lt;=9),3,4))))</f>
        <v>1</v>
      </c>
      <c r="D3814" s="69"/>
      <c r="E3814" s="56" t="s">
        <v>865</v>
      </c>
      <c r="F3814" s="57"/>
    </row>
    <row r="3816" spans="1:10" ht="14.25" customHeight="1" x14ac:dyDescent="0.25">
      <c r="A3816" s="29" t="s">
        <v>1017</v>
      </c>
      <c r="B3816" s="29" t="s">
        <v>1042</v>
      </c>
      <c r="C3816" s="29" t="s">
        <v>1011</v>
      </c>
      <c r="D3816" s="29" t="s">
        <v>985</v>
      </c>
      <c r="E3816" s="29" t="s">
        <v>449</v>
      </c>
      <c r="F3816" s="29" t="s">
        <v>989</v>
      </c>
    </row>
    <row r="3817" spans="1:10" ht="14.25" customHeight="1" x14ac:dyDescent="0.25">
      <c r="A3817" s="25" t="s">
        <v>115</v>
      </c>
      <c r="B3817" s="26" t="str">
        <f ca="1">IFERROR(INDEX(UNSPSCDes,MATCH(INDIRECT(ADDRESS(ROW(),COLUMN()-1,4)),UNSPSCCode,0)),IF(INDIRECT(ADDRESS(ROW(),COLUMN()-1,4))="90101802","Servicios de comidas a domicilio",""))</f>
        <v>Servicios de comidas a domicilio</v>
      </c>
      <c r="C3817" s="58" t="str">
        <f>IFERROR(VLOOKUP("UD",'Informacion '!P:Q,2,FALSE),"")</f>
        <v>Unidad</v>
      </c>
      <c r="D3817" s="25">
        <v>1</v>
      </c>
      <c r="E3817" s="28">
        <v>5000000</v>
      </c>
      <c r="F3817" s="27">
        <f ca="1">INDIRECT(ADDRESS(ROW(),COLUMN()-2,4))*INDIRECT(ADDRESS(ROW(),COLUMN()-1,4))</f>
        <v>5000000</v>
      </c>
    </row>
    <row r="3818" spans="1:10" ht="14.25" customHeight="1" x14ac:dyDescent="0.25">
      <c r="E3818" s="30" t="s">
        <v>816</v>
      </c>
      <c r="F3818" s="31">
        <f ca="1">SUM(Table209[MONTO TOTAL ESTIMADO])</f>
        <v>5000000</v>
      </c>
      <c r="H3818" s="21" t="str">
        <f>C3810</f>
        <v>Servicios</v>
      </c>
      <c r="I3818" s="21" t="str">
        <f>E3810</f>
        <v>No</v>
      </c>
      <c r="J3818" s="21" t="str">
        <f>D3810</f>
        <v>Comparacion de Precios</v>
      </c>
    </row>
    <row r="3820" spans="1:10" ht="33.950000000000003" customHeight="1" x14ac:dyDescent="0.25">
      <c r="A3820" s="22" t="s">
        <v>1051</v>
      </c>
      <c r="B3820" s="22" t="s">
        <v>11</v>
      </c>
      <c r="C3820" s="22" t="s">
        <v>751</v>
      </c>
      <c r="D3820" s="22" t="s">
        <v>930</v>
      </c>
      <c r="E3820" s="22" t="s">
        <v>699</v>
      </c>
      <c r="F3820" s="22" t="s">
        <v>710</v>
      </c>
    </row>
    <row r="3821" spans="1:10" ht="14.25" customHeight="1" x14ac:dyDescent="0.25">
      <c r="A3821" s="23" t="s">
        <v>1200</v>
      </c>
      <c r="B3821" s="23" t="s">
        <v>1200</v>
      </c>
      <c r="C3821" s="23" t="s">
        <v>1155</v>
      </c>
      <c r="D3821" s="23" t="s">
        <v>146</v>
      </c>
      <c r="E3821" s="23" t="s">
        <v>1156</v>
      </c>
      <c r="F3821" s="23" t="s">
        <v>436</v>
      </c>
    </row>
    <row r="3822" spans="1:10" ht="14.25" customHeight="1" x14ac:dyDescent="0.25">
      <c r="A3822" s="68" t="s">
        <v>965</v>
      </c>
      <c r="B3822" s="24" t="s">
        <v>543</v>
      </c>
      <c r="C3822" s="54">
        <v>46240</v>
      </c>
      <c r="D3822" s="68" t="s">
        <v>598</v>
      </c>
      <c r="E3822" s="56" t="s">
        <v>858</v>
      </c>
      <c r="F3822" s="57" t="s">
        <v>184</v>
      </c>
    </row>
    <row r="3823" spans="1:10" ht="14.25" customHeight="1" x14ac:dyDescent="0.25">
      <c r="A3823" s="69"/>
      <c r="B3823" s="24" t="s">
        <v>112</v>
      </c>
      <c r="C3823" s="55">
        <f>IF(C3822="","",IF(AND(MONTH(C3822)&gt;=1,MONTH(C3822)&lt;=3),1,IF(AND(MONTH(C3822)&gt;=4,MONTH(C3822)&lt;=6),2,IF(AND(MONTH(C3822)&gt;=7,MONTH(C3822)&lt;=9),3,4))))</f>
        <v>3</v>
      </c>
      <c r="D3823" s="69"/>
      <c r="E3823" s="56" t="s">
        <v>143</v>
      </c>
      <c r="F3823" s="57"/>
    </row>
    <row r="3824" spans="1:10" ht="14.25" customHeight="1" x14ac:dyDescent="0.25">
      <c r="A3824" s="69"/>
      <c r="B3824" s="24" t="s">
        <v>844</v>
      </c>
      <c r="C3824" s="54">
        <v>46295</v>
      </c>
      <c r="D3824" s="69"/>
      <c r="E3824" s="56" t="s">
        <v>183</v>
      </c>
      <c r="F3824" s="57"/>
    </row>
    <row r="3825" spans="1:6" ht="14.25" customHeight="1" x14ac:dyDescent="0.25">
      <c r="A3825" s="69"/>
      <c r="B3825" s="24" t="s">
        <v>112</v>
      </c>
      <c r="C3825" s="55">
        <f>IF(C3824="","",IF(AND(MONTH(C3824)&gt;=1,MONTH(C3824)&lt;=3),1,IF(AND(MONTH(C3824)&gt;=4,MONTH(C3824)&lt;=6),2,IF(AND(MONTH(C3824)&gt;=7,MONTH(C3824)&lt;=9),3,4))))</f>
        <v>3</v>
      </c>
      <c r="D3825" s="69"/>
      <c r="E3825" s="56" t="s">
        <v>865</v>
      </c>
      <c r="F3825" s="57"/>
    </row>
    <row r="3827" spans="1:6" ht="14.25" customHeight="1" x14ac:dyDescent="0.25">
      <c r="A3827" s="29" t="s">
        <v>1017</v>
      </c>
      <c r="B3827" s="29" t="s">
        <v>1042</v>
      </c>
      <c r="C3827" s="29" t="s">
        <v>1011</v>
      </c>
      <c r="D3827" s="29" t="s">
        <v>985</v>
      </c>
      <c r="E3827" s="29" t="s">
        <v>449</v>
      </c>
      <c r="F3827" s="29" t="s">
        <v>989</v>
      </c>
    </row>
    <row r="3828" spans="1:6" ht="14.25" customHeight="1" x14ac:dyDescent="0.25">
      <c r="A3828" s="25" t="s">
        <v>708</v>
      </c>
      <c r="B3828" s="26" t="str">
        <f ca="1">IFERROR(INDEX(UNSPSCDes,MATCH(INDIRECT(ADDRESS(ROW(),COLUMN()-1,4)),UNSPSCCode,0)),IF(INDIRECT(ADDRESS(ROW(),COLUMN()-1,4))="43211507","Computadores de escritorio",""))</f>
        <v>Computadores de escritorio</v>
      </c>
      <c r="C3828" s="58" t="str">
        <f>IFERROR(VLOOKUP("UD",'Informacion '!P:Q,2,FALSE),"")</f>
        <v>Unidad</v>
      </c>
      <c r="D3828" s="25">
        <v>10</v>
      </c>
      <c r="E3828" s="28">
        <v>185000</v>
      </c>
      <c r="F3828" s="27">
        <f t="shared" ref="F3828:F3847" ca="1" si="115">INDIRECT(ADDRESS(ROW(),COLUMN()-2,4))*INDIRECT(ADDRESS(ROW(),COLUMN()-1,4))</f>
        <v>1850000</v>
      </c>
    </row>
    <row r="3829" spans="1:6" ht="14.25" customHeight="1" x14ac:dyDescent="0.25">
      <c r="A3829" s="25" t="s">
        <v>708</v>
      </c>
      <c r="B3829" s="26" t="str">
        <f ca="1">IFERROR(INDEX(UNSPSCDes,MATCH(INDIRECT(ADDRESS(ROW(),COLUMN()-1,4)),UNSPSCCode,0)),IF(INDIRECT(ADDRESS(ROW(),COLUMN()-1,4))="43211507","Computadores de escritorio",""))</f>
        <v>Computadores de escritorio</v>
      </c>
      <c r="C3829" s="58" t="str">
        <f>IFERROR(VLOOKUP("UD",'Informacion '!P:Q,2,FALSE),"")</f>
        <v>Unidad</v>
      </c>
      <c r="D3829" s="25">
        <v>11</v>
      </c>
      <c r="E3829" s="28">
        <v>72000</v>
      </c>
      <c r="F3829" s="27">
        <f t="shared" ca="1" si="115"/>
        <v>792000</v>
      </c>
    </row>
    <row r="3830" spans="1:6" ht="14.25" customHeight="1" x14ac:dyDescent="0.25">
      <c r="A3830" s="25" t="s">
        <v>708</v>
      </c>
      <c r="B3830" s="26" t="str">
        <f ca="1">IFERROR(INDEX(UNSPSCDes,MATCH(INDIRECT(ADDRESS(ROW(),COLUMN()-1,4)),UNSPSCCode,0)),IF(INDIRECT(ADDRESS(ROW(),COLUMN()-1,4))="43211507","Computadores de escritorio",""))</f>
        <v>Computadores de escritorio</v>
      </c>
      <c r="C3830" s="58" t="str">
        <f>IFERROR(VLOOKUP("UD",'Informacion '!P:Q,2,FALSE),"")</f>
        <v>Unidad</v>
      </c>
      <c r="D3830" s="25">
        <v>8</v>
      </c>
      <c r="E3830" s="28">
        <v>72000</v>
      </c>
      <c r="F3830" s="27">
        <f t="shared" ca="1" si="115"/>
        <v>576000</v>
      </c>
    </row>
    <row r="3831" spans="1:6" ht="14.25" customHeight="1" x14ac:dyDescent="0.25">
      <c r="A3831" s="25" t="s">
        <v>1165</v>
      </c>
      <c r="B3831" s="26" t="str">
        <f ca="1">IFERROR(INDEX(UNSPSCDes,MATCH(INDIRECT(ADDRESS(ROW(),COLUMN()-1,4)),UNSPSCCode,0)),IF(INDIRECT(ADDRESS(ROW(),COLUMN()-1,4))="43211503","Computadores notebook",""))</f>
        <v>Computadores notebook</v>
      </c>
      <c r="C3831" s="58" t="str">
        <f>IFERROR(VLOOKUP("UD",'Informacion '!P:Q,2,FALSE),"")</f>
        <v>Unidad</v>
      </c>
      <c r="D3831" s="25">
        <v>7</v>
      </c>
      <c r="E3831" s="28">
        <v>80000</v>
      </c>
      <c r="F3831" s="27">
        <f t="shared" ca="1" si="115"/>
        <v>560000</v>
      </c>
    </row>
    <row r="3832" spans="1:6" ht="14.25" customHeight="1" x14ac:dyDescent="0.25">
      <c r="A3832" s="25" t="s">
        <v>651</v>
      </c>
      <c r="B3832" s="26" t="str">
        <f ca="1">IFERROR(INDEX(UNSPSCDes,MATCH(INDIRECT(ADDRESS(ROW(),COLUMN()-1,4)),UNSPSCCode,0)),IF(INDIRECT(ADDRESS(ROW(),COLUMN()-1,4))="43211711","Escáneres",""))</f>
        <v>Escáneres</v>
      </c>
      <c r="C3832" s="58" t="str">
        <f>IFERROR(VLOOKUP("UD",'Informacion '!P:Q,2,FALSE),"")</f>
        <v>Unidad</v>
      </c>
      <c r="D3832" s="25">
        <v>1</v>
      </c>
      <c r="E3832" s="28">
        <v>400000</v>
      </c>
      <c r="F3832" s="27">
        <f t="shared" ca="1" si="115"/>
        <v>400000</v>
      </c>
    </row>
    <row r="3833" spans="1:6" ht="14.25" customHeight="1" x14ac:dyDescent="0.25">
      <c r="A3833" s="25" t="s">
        <v>1165</v>
      </c>
      <c r="B3833" s="26" t="str">
        <f ca="1">IFERROR(INDEX(UNSPSCDes,MATCH(INDIRECT(ADDRESS(ROW(),COLUMN()-1,4)),UNSPSCCode,0)),IF(INDIRECT(ADDRESS(ROW(),COLUMN()-1,4))="43211503","Computadores notebook",""))</f>
        <v>Computadores notebook</v>
      </c>
      <c r="C3833" s="58" t="str">
        <f>IFERROR(VLOOKUP("UD",'Informacion '!P:Q,2,FALSE),"")</f>
        <v>Unidad</v>
      </c>
      <c r="D3833" s="25">
        <v>5</v>
      </c>
      <c r="E3833" s="28">
        <v>80000</v>
      </c>
      <c r="F3833" s="27">
        <f t="shared" ca="1" si="115"/>
        <v>400000</v>
      </c>
    </row>
    <row r="3834" spans="1:6" ht="14.25" customHeight="1" x14ac:dyDescent="0.25">
      <c r="A3834" s="25" t="s">
        <v>488</v>
      </c>
      <c r="B3834" s="26" t="str">
        <f ca="1">IFERROR(INDEX(UNSPSCDes,MATCH(INDIRECT(ADDRESS(ROW(),COLUMN()-1,4)),UNSPSCCode,0)),IF(INDIRECT(ADDRESS(ROW(),COLUMN()-1,4))="43211902","Paneles o monitores de pantalla de cristal líquido lcd",""))</f>
        <v>Paneles o monitores de pantalla de cristal líquido lcd</v>
      </c>
      <c r="C3834" s="58" t="str">
        <f>IFERROR(VLOOKUP("UD",'Informacion '!P:Q,2,FALSE),"")</f>
        <v>Unidad</v>
      </c>
      <c r="D3834" s="25">
        <v>20</v>
      </c>
      <c r="E3834" s="28">
        <v>16000</v>
      </c>
      <c r="F3834" s="27">
        <f t="shared" ca="1" si="115"/>
        <v>320000</v>
      </c>
    </row>
    <row r="3835" spans="1:6" ht="14.25" customHeight="1" x14ac:dyDescent="0.25">
      <c r="A3835" s="25" t="s">
        <v>1165</v>
      </c>
      <c r="B3835" s="26" t="str">
        <f ca="1">IFERROR(INDEX(UNSPSCDes,MATCH(INDIRECT(ADDRESS(ROW(),COLUMN()-1,4)),UNSPSCCode,0)),IF(INDIRECT(ADDRESS(ROW(),COLUMN()-1,4))="43211503","Computadores notebook",""))</f>
        <v>Computadores notebook</v>
      </c>
      <c r="C3835" s="58" t="str">
        <f>IFERROR(VLOOKUP("UD",'Informacion '!P:Q,2,FALSE),"")</f>
        <v>Unidad</v>
      </c>
      <c r="D3835" s="25">
        <v>3</v>
      </c>
      <c r="E3835" s="28">
        <v>80000</v>
      </c>
      <c r="F3835" s="27">
        <f t="shared" ca="1" si="115"/>
        <v>240000</v>
      </c>
    </row>
    <row r="3836" spans="1:6" ht="14.25" customHeight="1" x14ac:dyDescent="0.25">
      <c r="A3836" s="25" t="s">
        <v>708</v>
      </c>
      <c r="B3836" s="26" t="str">
        <f ca="1">IFERROR(INDEX(UNSPSCDes,MATCH(INDIRECT(ADDRESS(ROW(),COLUMN()-1,4)),UNSPSCCode,0)),IF(INDIRECT(ADDRESS(ROW(),COLUMN()-1,4))="43211507","Computadores de escritorio",""))</f>
        <v>Computadores de escritorio</v>
      </c>
      <c r="C3836" s="58" t="str">
        <f>IFERROR(VLOOKUP("UD",'Informacion '!P:Q,2,FALSE),"")</f>
        <v>Unidad</v>
      </c>
      <c r="D3836" s="25">
        <v>3</v>
      </c>
      <c r="E3836" s="28">
        <v>72000</v>
      </c>
      <c r="F3836" s="27">
        <f t="shared" ca="1" si="115"/>
        <v>216000</v>
      </c>
    </row>
    <row r="3837" spans="1:6" ht="14.25" customHeight="1" x14ac:dyDescent="0.25">
      <c r="A3837" s="25" t="s">
        <v>708</v>
      </c>
      <c r="B3837" s="26" t="str">
        <f ca="1">IFERROR(INDEX(UNSPSCDes,MATCH(INDIRECT(ADDRESS(ROW(),COLUMN()-1,4)),UNSPSCCode,0)),IF(INDIRECT(ADDRESS(ROW(),COLUMN()-1,4))="43211507","Computadores de escritorio",""))</f>
        <v>Computadores de escritorio</v>
      </c>
      <c r="C3837" s="58" t="str">
        <f>IFERROR(VLOOKUP("UD",'Informacion '!P:Q,2,FALSE),"")</f>
        <v>Unidad</v>
      </c>
      <c r="D3837" s="25">
        <v>3</v>
      </c>
      <c r="E3837" s="28">
        <v>72000</v>
      </c>
      <c r="F3837" s="27">
        <f t="shared" ca="1" si="115"/>
        <v>216000</v>
      </c>
    </row>
    <row r="3838" spans="1:6" ht="14.25" customHeight="1" x14ac:dyDescent="0.25">
      <c r="A3838" s="25" t="s">
        <v>651</v>
      </c>
      <c r="B3838" s="26" t="str">
        <f ca="1">IFERROR(INDEX(UNSPSCDes,MATCH(INDIRECT(ADDRESS(ROW(),COLUMN()-1,4)),UNSPSCCode,0)),IF(INDIRECT(ADDRESS(ROW(),COLUMN()-1,4))="43211711","Escáneres",""))</f>
        <v>Escáneres</v>
      </c>
      <c r="C3838" s="58" t="str">
        <f>IFERROR(VLOOKUP("UD",'Informacion '!P:Q,2,FALSE),"")</f>
        <v>Unidad</v>
      </c>
      <c r="D3838" s="25">
        <v>7</v>
      </c>
      <c r="E3838" s="28">
        <v>28000</v>
      </c>
      <c r="F3838" s="27">
        <f t="shared" ca="1" si="115"/>
        <v>196000</v>
      </c>
    </row>
    <row r="3839" spans="1:6" ht="14.25" customHeight="1" x14ac:dyDescent="0.25">
      <c r="A3839" s="25" t="s">
        <v>488</v>
      </c>
      <c r="B3839" s="26" t="str">
        <f ca="1">IFERROR(INDEX(UNSPSCDes,MATCH(INDIRECT(ADDRESS(ROW(),COLUMN()-1,4)),UNSPSCCode,0)),IF(INDIRECT(ADDRESS(ROW(),COLUMN()-1,4))="43211902","Paneles o monitores de pantalla de cristal líquido lcd",""))</f>
        <v>Paneles o monitores de pantalla de cristal líquido lcd</v>
      </c>
      <c r="C3839" s="58" t="str">
        <f>IFERROR(VLOOKUP("UD",'Informacion '!P:Q,2,FALSE),"")</f>
        <v>Unidad</v>
      </c>
      <c r="D3839" s="25">
        <v>10</v>
      </c>
      <c r="E3839" s="28">
        <v>16000</v>
      </c>
      <c r="F3839" s="27">
        <f t="shared" ca="1" si="115"/>
        <v>160000</v>
      </c>
    </row>
    <row r="3840" spans="1:6" ht="14.25" customHeight="1" x14ac:dyDescent="0.25">
      <c r="A3840" s="25" t="s">
        <v>488</v>
      </c>
      <c r="B3840" s="26" t="str">
        <f ca="1">IFERROR(INDEX(UNSPSCDes,MATCH(INDIRECT(ADDRESS(ROW(),COLUMN()-1,4)),UNSPSCCode,0)),IF(INDIRECT(ADDRESS(ROW(),COLUMN()-1,4))="43211902","Paneles o monitores de pantalla de cristal líquido lcd",""))</f>
        <v>Paneles o monitores de pantalla de cristal líquido lcd</v>
      </c>
      <c r="C3840" s="58" t="str">
        <f>IFERROR(VLOOKUP("UD",'Informacion '!P:Q,2,FALSE),"")</f>
        <v>Unidad</v>
      </c>
      <c r="D3840" s="25">
        <v>10</v>
      </c>
      <c r="E3840" s="28">
        <v>16000</v>
      </c>
      <c r="F3840" s="27">
        <f t="shared" ca="1" si="115"/>
        <v>160000</v>
      </c>
    </row>
    <row r="3841" spans="1:10" ht="14.25" customHeight="1" x14ac:dyDescent="0.25">
      <c r="A3841" s="25" t="s">
        <v>708</v>
      </c>
      <c r="B3841" s="26" t="str">
        <f ca="1">IFERROR(INDEX(UNSPSCDes,MATCH(INDIRECT(ADDRESS(ROW(),COLUMN()-1,4)),UNSPSCCode,0)),IF(INDIRECT(ADDRESS(ROW(),COLUMN()-1,4))="43211507","Computadores de escritorio",""))</f>
        <v>Computadores de escritorio</v>
      </c>
      <c r="C3841" s="58" t="str">
        <f>IFERROR(VLOOKUP("UD",'Informacion '!P:Q,2,FALSE),"")</f>
        <v>Unidad</v>
      </c>
      <c r="D3841" s="25">
        <v>2</v>
      </c>
      <c r="E3841" s="28">
        <v>72000</v>
      </c>
      <c r="F3841" s="27">
        <f t="shared" ca="1" si="115"/>
        <v>144000</v>
      </c>
    </row>
    <row r="3842" spans="1:10" ht="14.25" customHeight="1" x14ac:dyDescent="0.25">
      <c r="A3842" s="25" t="s">
        <v>708</v>
      </c>
      <c r="B3842" s="26" t="str">
        <f ca="1">IFERROR(INDEX(UNSPSCDes,MATCH(INDIRECT(ADDRESS(ROW(),COLUMN()-1,4)),UNSPSCCode,0)),IF(INDIRECT(ADDRESS(ROW(),COLUMN()-1,4))="43211507","Computadores de escritorio",""))</f>
        <v>Computadores de escritorio</v>
      </c>
      <c r="C3842" s="58" t="str">
        <f>IFERROR(VLOOKUP("UD",'Informacion '!P:Q,2,FALSE),"")</f>
        <v>Unidad</v>
      </c>
      <c r="D3842" s="25">
        <v>2</v>
      </c>
      <c r="E3842" s="28">
        <v>72000</v>
      </c>
      <c r="F3842" s="27">
        <f t="shared" ca="1" si="115"/>
        <v>144000</v>
      </c>
    </row>
    <row r="3843" spans="1:10" ht="14.25" customHeight="1" x14ac:dyDescent="0.25">
      <c r="A3843" s="25" t="s">
        <v>651</v>
      </c>
      <c r="B3843" s="26" t="str">
        <f ca="1">IFERROR(INDEX(UNSPSCDes,MATCH(INDIRECT(ADDRESS(ROW(),COLUMN()-1,4)),UNSPSCCode,0)),IF(INDIRECT(ADDRESS(ROW(),COLUMN()-1,4))="43211711","Escáneres",""))</f>
        <v>Escáneres</v>
      </c>
      <c r="C3843" s="58" t="str">
        <f>IFERROR(VLOOKUP("UD",'Informacion '!P:Q,2,FALSE),"")</f>
        <v>Unidad</v>
      </c>
      <c r="D3843" s="25">
        <v>5</v>
      </c>
      <c r="E3843" s="28">
        <v>28000</v>
      </c>
      <c r="F3843" s="27">
        <f t="shared" ca="1" si="115"/>
        <v>140000</v>
      </c>
    </row>
    <row r="3844" spans="1:10" ht="14.25" customHeight="1" x14ac:dyDescent="0.25">
      <c r="A3844" s="25" t="s">
        <v>488</v>
      </c>
      <c r="B3844" s="26" t="str">
        <f ca="1">IFERROR(INDEX(UNSPSCDes,MATCH(INDIRECT(ADDRESS(ROW(),COLUMN()-1,4)),UNSPSCCode,0)),IF(INDIRECT(ADDRESS(ROW(),COLUMN()-1,4))="43211902","Paneles o monitores de pantalla de cristal líquido lcd",""))</f>
        <v>Paneles o monitores de pantalla de cristal líquido lcd</v>
      </c>
      <c r="C3844" s="58" t="str">
        <f>IFERROR(VLOOKUP("UD",'Informacion '!P:Q,2,FALSE),"")</f>
        <v>Unidad</v>
      </c>
      <c r="D3844" s="25">
        <v>8</v>
      </c>
      <c r="E3844" s="28">
        <v>16000</v>
      </c>
      <c r="F3844" s="27">
        <f t="shared" ca="1" si="115"/>
        <v>128000</v>
      </c>
    </row>
    <row r="3845" spans="1:10" ht="14.25" customHeight="1" x14ac:dyDescent="0.25">
      <c r="A3845" s="25" t="s">
        <v>302</v>
      </c>
      <c r="B3845" s="26" t="str">
        <f ca="1">IFERROR(INDEX(UNSPSCDes,MATCH(INDIRECT(ADDRESS(ROW(),COLUMN()-1,4)),UNSPSCCode,0)),IF(INDIRECT(ADDRESS(ROW(),COLUMN()-1,4))="43211509","Computadores de tableta",""))</f>
        <v>Computadores de tableta</v>
      </c>
      <c r="C3845" s="58" t="str">
        <f>IFERROR(VLOOKUP("UD",'Informacion '!P:Q,2,FALSE),"")</f>
        <v>Unidad</v>
      </c>
      <c r="D3845" s="25">
        <v>5</v>
      </c>
      <c r="E3845" s="28">
        <v>25000</v>
      </c>
      <c r="F3845" s="27">
        <f t="shared" ca="1" si="115"/>
        <v>125000</v>
      </c>
    </row>
    <row r="3846" spans="1:10" ht="14.25" customHeight="1" x14ac:dyDescent="0.25">
      <c r="A3846" s="25" t="s">
        <v>488</v>
      </c>
      <c r="B3846" s="26" t="str">
        <f ca="1">IFERROR(INDEX(UNSPSCDes,MATCH(INDIRECT(ADDRESS(ROW(),COLUMN()-1,4)),UNSPSCCode,0)),IF(INDIRECT(ADDRESS(ROW(),COLUMN()-1,4))="43211902","Paneles o monitores de pantalla de cristal líquido lcd",""))</f>
        <v>Paneles o monitores de pantalla de cristal líquido lcd</v>
      </c>
      <c r="C3846" s="58" t="str">
        <f>IFERROR(VLOOKUP("UD",'Informacion '!P:Q,2,FALSE),"")</f>
        <v>Unidad</v>
      </c>
      <c r="D3846" s="25">
        <v>5</v>
      </c>
      <c r="E3846" s="28">
        <v>16000</v>
      </c>
      <c r="F3846" s="27">
        <f t="shared" ca="1" si="115"/>
        <v>80000</v>
      </c>
    </row>
    <row r="3847" spans="1:10" ht="14.25" customHeight="1" x14ac:dyDescent="0.25">
      <c r="A3847" s="25" t="s">
        <v>488</v>
      </c>
      <c r="B3847" s="26" t="str">
        <f ca="1">IFERROR(INDEX(UNSPSCDes,MATCH(INDIRECT(ADDRESS(ROW(),COLUMN()-1,4)),UNSPSCCode,0)),IF(INDIRECT(ADDRESS(ROW(),COLUMN()-1,4))="43211902","Paneles o monitores de pantalla de cristal líquido lcd",""))</f>
        <v>Paneles o monitores de pantalla de cristal líquido lcd</v>
      </c>
      <c r="C3847" s="58" t="str">
        <f>IFERROR(VLOOKUP("UD",'Informacion '!P:Q,2,FALSE),"")</f>
        <v>Unidad</v>
      </c>
      <c r="D3847" s="25">
        <v>5</v>
      </c>
      <c r="E3847" s="28">
        <v>16000</v>
      </c>
      <c r="F3847" s="27">
        <f t="shared" ca="1" si="115"/>
        <v>80000</v>
      </c>
    </row>
    <row r="3848" spans="1:10" ht="14.25" customHeight="1" x14ac:dyDescent="0.25">
      <c r="E3848" s="30" t="s">
        <v>816</v>
      </c>
      <c r="F3848" s="31">
        <f ca="1">SUM(Table210[MONTO TOTAL ESTIMADO])</f>
        <v>6927000</v>
      </c>
      <c r="H3848" s="21" t="str">
        <f>C3821</f>
        <v>Bienes</v>
      </c>
      <c r="I3848" s="21" t="str">
        <f>E3821</f>
        <v>No</v>
      </c>
      <c r="J3848" s="21" t="str">
        <f>D3821</f>
        <v>Licitacion Publica</v>
      </c>
    </row>
    <row r="3850" spans="1:10" ht="33.950000000000003" customHeight="1" x14ac:dyDescent="0.25">
      <c r="A3850" s="22" t="s">
        <v>1051</v>
      </c>
      <c r="B3850" s="22" t="s">
        <v>11</v>
      </c>
      <c r="C3850" s="22" t="s">
        <v>751</v>
      </c>
      <c r="D3850" s="22" t="s">
        <v>930</v>
      </c>
      <c r="E3850" s="22" t="s">
        <v>699</v>
      </c>
      <c r="F3850" s="22" t="s">
        <v>710</v>
      </c>
    </row>
    <row r="3851" spans="1:10" ht="14.25" customHeight="1" x14ac:dyDescent="0.25">
      <c r="A3851" s="23" t="s">
        <v>324</v>
      </c>
      <c r="B3851" s="23" t="s">
        <v>324</v>
      </c>
      <c r="C3851" s="23" t="s">
        <v>1155</v>
      </c>
      <c r="D3851" s="23" t="s">
        <v>116</v>
      </c>
      <c r="E3851" s="23" t="s">
        <v>1156</v>
      </c>
      <c r="F3851" s="23" t="s">
        <v>436</v>
      </c>
    </row>
    <row r="3852" spans="1:10" ht="14.25" customHeight="1" x14ac:dyDescent="0.25">
      <c r="A3852" s="68" t="s">
        <v>965</v>
      </c>
      <c r="B3852" s="24" t="s">
        <v>543</v>
      </c>
      <c r="C3852" s="54">
        <v>46118</v>
      </c>
      <c r="D3852" s="68" t="s">
        <v>598</v>
      </c>
      <c r="E3852" s="56" t="s">
        <v>858</v>
      </c>
      <c r="F3852" s="57" t="s">
        <v>184</v>
      </c>
    </row>
    <row r="3853" spans="1:10" ht="14.25" customHeight="1" x14ac:dyDescent="0.25">
      <c r="A3853" s="69"/>
      <c r="B3853" s="24" t="s">
        <v>112</v>
      </c>
      <c r="C3853" s="55">
        <f>IF(C3852="","",IF(AND(MONTH(C3852)&gt;=1,MONTH(C3852)&lt;=3),1,IF(AND(MONTH(C3852)&gt;=4,MONTH(C3852)&lt;=6),2,IF(AND(MONTH(C3852)&gt;=7,MONTH(C3852)&lt;=9),3,4))))</f>
        <v>2</v>
      </c>
      <c r="D3853" s="69"/>
      <c r="E3853" s="56" t="s">
        <v>143</v>
      </c>
      <c r="F3853" s="57"/>
    </row>
    <row r="3854" spans="1:10" ht="14.25" customHeight="1" x14ac:dyDescent="0.25">
      <c r="A3854" s="69"/>
      <c r="B3854" s="24" t="s">
        <v>844</v>
      </c>
      <c r="C3854" s="54">
        <v>46173</v>
      </c>
      <c r="D3854" s="69"/>
      <c r="E3854" s="56" t="s">
        <v>183</v>
      </c>
      <c r="F3854" s="57"/>
    </row>
    <row r="3855" spans="1:10" ht="14.25" customHeight="1" x14ac:dyDescent="0.25">
      <c r="A3855" s="69"/>
      <c r="B3855" s="24" t="s">
        <v>112</v>
      </c>
      <c r="C3855" s="55">
        <f>IF(C3854="","",IF(AND(MONTH(C3854)&gt;=1,MONTH(C3854)&lt;=3),1,IF(AND(MONTH(C3854)&gt;=4,MONTH(C3854)&lt;=6),2,IF(AND(MONTH(C3854)&gt;=7,MONTH(C3854)&lt;=9),3,4))))</f>
        <v>2</v>
      </c>
      <c r="D3855" s="69"/>
      <c r="E3855" s="56" t="s">
        <v>865</v>
      </c>
      <c r="F3855" s="57"/>
    </row>
    <row r="3857" spans="1:10" ht="14.25" customHeight="1" x14ac:dyDescent="0.25">
      <c r="A3857" s="29" t="s">
        <v>1017</v>
      </c>
      <c r="B3857" s="29" t="s">
        <v>1042</v>
      </c>
      <c r="C3857" s="29" t="s">
        <v>1011</v>
      </c>
      <c r="D3857" s="29" t="s">
        <v>985</v>
      </c>
      <c r="E3857" s="29" t="s">
        <v>449</v>
      </c>
      <c r="F3857" s="29" t="s">
        <v>989</v>
      </c>
    </row>
    <row r="3858" spans="1:10" ht="14.25" customHeight="1" x14ac:dyDescent="0.25">
      <c r="A3858" s="25" t="s">
        <v>1037</v>
      </c>
      <c r="B3858" s="26" t="str">
        <f ca="1">IFERROR(INDEX(UNSPSCDes,MATCH(INDIRECT(ADDRESS(ROW(),COLUMN()-1,4)),UNSPSCCode,0)),IF(INDIRECT(ADDRESS(ROW(),COLUMN()-1,4))="25101501","Minibuses",""))</f>
        <v>Minibuses</v>
      </c>
      <c r="C3858" s="58" t="str">
        <f>IFERROR(VLOOKUP("UD",'Informacion '!P:Q,2,FALSE),"")</f>
        <v>Unidad</v>
      </c>
      <c r="D3858" s="25">
        <v>1</v>
      </c>
      <c r="E3858" s="28">
        <v>2994700.5</v>
      </c>
      <c r="F3858" s="27">
        <f ca="1">INDIRECT(ADDRESS(ROW(),COLUMN()-2,4))*INDIRECT(ADDRESS(ROW(),COLUMN()-1,4))</f>
        <v>2994700.5</v>
      </c>
    </row>
    <row r="3859" spans="1:10" ht="14.25" customHeight="1" x14ac:dyDescent="0.25">
      <c r="E3859" s="30" t="s">
        <v>816</v>
      </c>
      <c r="F3859" s="31">
        <f ca="1">SUM(Table211[MONTO TOTAL ESTIMADO])</f>
        <v>2994700.5</v>
      </c>
      <c r="H3859" s="21" t="str">
        <f>C3851</f>
        <v>Bienes</v>
      </c>
      <c r="I3859" s="21" t="str">
        <f>E3851</f>
        <v>No</v>
      </c>
      <c r="J3859" s="21" t="str">
        <f>D3851</f>
        <v>Comparacion de Precios</v>
      </c>
    </row>
    <row r="3861" spans="1:10" ht="33.950000000000003" customHeight="1" x14ac:dyDescent="0.25">
      <c r="A3861" s="22" t="s">
        <v>1051</v>
      </c>
      <c r="B3861" s="22" t="s">
        <v>11</v>
      </c>
      <c r="C3861" s="22" t="s">
        <v>751</v>
      </c>
      <c r="D3861" s="22" t="s">
        <v>930</v>
      </c>
      <c r="E3861" s="22" t="s">
        <v>699</v>
      </c>
      <c r="F3861" s="22" t="s">
        <v>710</v>
      </c>
    </row>
    <row r="3862" spans="1:10" ht="14.25" customHeight="1" x14ac:dyDescent="0.25">
      <c r="A3862" s="23" t="s">
        <v>403</v>
      </c>
      <c r="B3862" s="23" t="s">
        <v>403</v>
      </c>
      <c r="C3862" s="23" t="s">
        <v>1155</v>
      </c>
      <c r="D3862" s="23" t="s">
        <v>1128</v>
      </c>
      <c r="E3862" s="23" t="s">
        <v>561</v>
      </c>
      <c r="F3862" s="23" t="s">
        <v>436</v>
      </c>
    </row>
    <row r="3863" spans="1:10" ht="14.25" customHeight="1" x14ac:dyDescent="0.25">
      <c r="A3863" s="68" t="s">
        <v>965</v>
      </c>
      <c r="B3863" s="24" t="s">
        <v>543</v>
      </c>
      <c r="C3863" s="54">
        <v>46298</v>
      </c>
      <c r="D3863" s="68" t="s">
        <v>598</v>
      </c>
      <c r="E3863" s="56" t="s">
        <v>858</v>
      </c>
      <c r="F3863" s="57" t="s">
        <v>184</v>
      </c>
    </row>
    <row r="3864" spans="1:10" ht="14.25" customHeight="1" x14ac:dyDescent="0.25">
      <c r="A3864" s="69"/>
      <c r="B3864" s="24" t="s">
        <v>112</v>
      </c>
      <c r="C3864" s="55">
        <f>IF(C3863="","",IF(AND(MONTH(C3863)&gt;=1,MONTH(C3863)&lt;=3),1,IF(AND(MONTH(C3863)&gt;=4,MONTH(C3863)&lt;=6),2,IF(AND(MONTH(C3863)&gt;=7,MONTH(C3863)&lt;=9),3,4))))</f>
        <v>4</v>
      </c>
      <c r="D3864" s="69"/>
      <c r="E3864" s="56" t="s">
        <v>143</v>
      </c>
      <c r="F3864" s="57"/>
    </row>
    <row r="3865" spans="1:10" ht="14.25" customHeight="1" x14ac:dyDescent="0.25">
      <c r="A3865" s="69"/>
      <c r="B3865" s="24" t="s">
        <v>844</v>
      </c>
      <c r="C3865" s="54">
        <v>46326</v>
      </c>
      <c r="D3865" s="69"/>
      <c r="E3865" s="56" t="s">
        <v>183</v>
      </c>
      <c r="F3865" s="57"/>
    </row>
    <row r="3866" spans="1:10" ht="14.25" customHeight="1" x14ac:dyDescent="0.25">
      <c r="A3866" s="69"/>
      <c r="B3866" s="24" t="s">
        <v>112</v>
      </c>
      <c r="C3866" s="55">
        <f>IF(C3865="","",IF(AND(MONTH(C3865)&gt;=1,MONTH(C3865)&lt;=3),1,IF(AND(MONTH(C3865)&gt;=4,MONTH(C3865)&lt;=6),2,IF(AND(MONTH(C3865)&gt;=7,MONTH(C3865)&lt;=9),3,4))))</f>
        <v>4</v>
      </c>
      <c r="D3866" s="69"/>
      <c r="E3866" s="56" t="s">
        <v>865</v>
      </c>
      <c r="F3866" s="57"/>
    </row>
    <row r="3868" spans="1:10" ht="14.25" customHeight="1" x14ac:dyDescent="0.25">
      <c r="A3868" s="29" t="s">
        <v>1017</v>
      </c>
      <c r="B3868" s="29" t="s">
        <v>1042</v>
      </c>
      <c r="C3868" s="29" t="s">
        <v>1011</v>
      </c>
      <c r="D3868" s="29" t="s">
        <v>985</v>
      </c>
      <c r="E3868" s="29" t="s">
        <v>449</v>
      </c>
      <c r="F3868" s="29" t="s">
        <v>989</v>
      </c>
    </row>
    <row r="3869" spans="1:10" ht="14.25" customHeight="1" x14ac:dyDescent="0.25">
      <c r="A3869" s="25" t="s">
        <v>936</v>
      </c>
      <c r="B3869" s="26" t="str">
        <f ca="1">IFERROR(INDEX(UNSPSCDes,MATCH(INDIRECT(ADDRESS(ROW(),COLUMN()-1,4)),UNSPSCCode,0)),IF(INDIRECT(ADDRESS(ROW(),COLUMN()-1,4))="40101604","Ventiladores",""))</f>
        <v>Ventiladores</v>
      </c>
      <c r="C3869" s="58" t="str">
        <f>IFERROR(VLOOKUP("UD",'Informacion '!P:Q,2,FALSE),"")</f>
        <v>Unidad</v>
      </c>
      <c r="D3869" s="25">
        <v>5</v>
      </c>
      <c r="E3869" s="28">
        <v>60000</v>
      </c>
      <c r="F3869" s="27">
        <f t="shared" ref="F3869:F3876" ca="1" si="116">INDIRECT(ADDRESS(ROW(),COLUMN()-2,4))*INDIRECT(ADDRESS(ROW(),COLUMN()-1,4))</f>
        <v>300000</v>
      </c>
    </row>
    <row r="3870" spans="1:10" ht="14.25" customHeight="1" x14ac:dyDescent="0.25">
      <c r="A3870" s="25" t="s">
        <v>890</v>
      </c>
      <c r="B3870" s="26" t="str">
        <f ca="1">IFERROR(INDEX(UNSPSCDes,MATCH(INDIRECT(ADDRESS(ROW(),COLUMN()-1,4)),UNSPSCCode,0)),IF(INDIRECT(ADDRESS(ROW(),COLUMN()-1,4))="40151601","Compresores de aire",""))</f>
        <v>Compresores de aire</v>
      </c>
      <c r="C3870" s="58" t="str">
        <f>IFERROR(VLOOKUP("UD",'Informacion '!P:Q,2,FALSE),"")</f>
        <v>Unidad</v>
      </c>
      <c r="D3870" s="25">
        <v>5</v>
      </c>
      <c r="E3870" s="28">
        <v>18000</v>
      </c>
      <c r="F3870" s="27">
        <f t="shared" ca="1" si="116"/>
        <v>90000</v>
      </c>
    </row>
    <row r="3871" spans="1:10" ht="14.25" customHeight="1" x14ac:dyDescent="0.25">
      <c r="A3871" s="25" t="s">
        <v>1123</v>
      </c>
      <c r="B3871" s="26" t="str">
        <f ca="1">IFERROR(INDEX(UNSPSCDes,MATCH(INDIRECT(ADDRESS(ROW(),COLUMN()-1,4)),UNSPSCCode,0)),IF(INDIRECT(ADDRESS(ROW(),COLUMN()-1,4))="40151607","Compresores refrigerantes",""))</f>
        <v>Compresores refrigerantes</v>
      </c>
      <c r="C3871" s="58" t="str">
        <f>IFERROR(VLOOKUP("UD",'Informacion '!P:Q,2,FALSE),"")</f>
        <v>Unidad</v>
      </c>
      <c r="D3871" s="25">
        <v>5</v>
      </c>
      <c r="E3871" s="28">
        <v>24629.19</v>
      </c>
      <c r="F3871" s="27">
        <f t="shared" ca="1" si="116"/>
        <v>123145.95</v>
      </c>
    </row>
    <row r="3872" spans="1:10" ht="14.25" customHeight="1" x14ac:dyDescent="0.25">
      <c r="A3872" s="25" t="s">
        <v>180</v>
      </c>
      <c r="B3872" s="26" t="str">
        <f ca="1">IFERROR(INDEX(UNSPSCDes,MATCH(INDIRECT(ADDRESS(ROW(),COLUMN()-1,4)),UNSPSCCode,0)),IF(INDIRECT(ADDRESS(ROW(),COLUMN()-1,4))="39121549","Termostato",""))</f>
        <v>Termostato</v>
      </c>
      <c r="C3872" s="58" t="str">
        <f>IFERROR(VLOOKUP("UD",'Informacion '!P:Q,2,FALSE),"")</f>
        <v>Unidad</v>
      </c>
      <c r="D3872" s="25">
        <v>15</v>
      </c>
      <c r="E3872" s="28">
        <v>13400</v>
      </c>
      <c r="F3872" s="27">
        <f t="shared" ca="1" si="116"/>
        <v>201000</v>
      </c>
    </row>
    <row r="3873" spans="1:10" ht="14.25" customHeight="1" x14ac:dyDescent="0.25">
      <c r="A3873" s="25" t="s">
        <v>402</v>
      </c>
      <c r="B3873" s="26" t="str">
        <f ca="1">IFERROR(INDEX(UNSPSCDes,MATCH(INDIRECT(ADDRESS(ROW(),COLUMN()-1,4)),UNSPSCCode,0)),IF(INDIRECT(ADDRESS(ROW(),COLUMN()-1,4))="12142105","Gas refrigerante ",""))</f>
        <v xml:space="preserve">Gas refrigerante </v>
      </c>
      <c r="C3873" s="58" t="str">
        <f>IFERROR(VLOOKUP("UD",'Informacion '!P:Q,2,FALSE),"")</f>
        <v>Unidad</v>
      </c>
      <c r="D3873" s="25">
        <v>15</v>
      </c>
      <c r="E3873" s="28">
        <v>8000</v>
      </c>
      <c r="F3873" s="27">
        <f t="shared" ca="1" si="116"/>
        <v>120000</v>
      </c>
    </row>
    <row r="3874" spans="1:10" ht="14.25" customHeight="1" x14ac:dyDescent="0.25">
      <c r="A3874" s="25" t="s">
        <v>402</v>
      </c>
      <c r="B3874" s="26" t="str">
        <f ca="1">IFERROR(INDEX(UNSPSCDes,MATCH(INDIRECT(ADDRESS(ROW(),COLUMN()-1,4)),UNSPSCCode,0)),IF(INDIRECT(ADDRESS(ROW(),COLUMN()-1,4))="12142105","Gas refrigerante ",""))</f>
        <v xml:space="preserve">Gas refrigerante </v>
      </c>
      <c r="C3874" s="58" t="str">
        <f>IFERROR(VLOOKUP("UD",'Informacion '!P:Q,2,FALSE),"")</f>
        <v>Unidad</v>
      </c>
      <c r="D3874" s="25">
        <v>15</v>
      </c>
      <c r="E3874" s="28">
        <v>12000</v>
      </c>
      <c r="F3874" s="27">
        <f t="shared" ca="1" si="116"/>
        <v>180000</v>
      </c>
    </row>
    <row r="3875" spans="1:10" ht="14.25" customHeight="1" x14ac:dyDescent="0.25">
      <c r="A3875" s="25" t="s">
        <v>25</v>
      </c>
      <c r="B3875" s="26" t="str">
        <f ca="1">IFERROR(INDEX(UNSPSCDes,MATCH(INDIRECT(ADDRESS(ROW(),COLUMN()-1,4)),UNSPSCCode,0)),IF(INDIRECT(ADDRESS(ROW(),COLUMN()-1,4))="41103311","Manómetros",""))</f>
        <v>Manómetros</v>
      </c>
      <c r="C3875" s="58" t="str">
        <f>IFERROR(VLOOKUP("UD",'Informacion '!P:Q,2,FALSE),"")</f>
        <v>Unidad</v>
      </c>
      <c r="D3875" s="25">
        <v>4</v>
      </c>
      <c r="E3875" s="28">
        <v>6000</v>
      </c>
      <c r="F3875" s="27">
        <f t="shared" ca="1" si="116"/>
        <v>24000</v>
      </c>
    </row>
    <row r="3876" spans="1:10" ht="14.25" customHeight="1" x14ac:dyDescent="0.25">
      <c r="A3876" s="25" t="s">
        <v>728</v>
      </c>
      <c r="B3876" s="26" t="str">
        <f ca="1">IFERROR(INDEX(UNSPSCDes,MATCH(INDIRECT(ADDRESS(ROW(),COLUMN()-1,4)),UNSPSCCode,0)),IF(INDIRECT(ADDRESS(ROW(),COLUMN()-1,4))="40101704","Unidades de condensación",""))</f>
        <v>Unidades de condensación</v>
      </c>
      <c r="C3876" s="58" t="str">
        <f>IFERROR(VLOOKUP("UD",'Informacion '!P:Q,2,FALSE),"")</f>
        <v>Unidad</v>
      </c>
      <c r="D3876" s="25">
        <v>5</v>
      </c>
      <c r="E3876" s="28">
        <v>70000</v>
      </c>
      <c r="F3876" s="27">
        <f t="shared" ca="1" si="116"/>
        <v>350000</v>
      </c>
    </row>
    <row r="3877" spans="1:10" ht="14.25" customHeight="1" x14ac:dyDescent="0.25">
      <c r="E3877" s="30" t="s">
        <v>816</v>
      </c>
      <c r="F3877" s="31">
        <f ca="1">SUM(Table212[MONTO TOTAL ESTIMADO])</f>
        <v>1388145.95</v>
      </c>
      <c r="H3877" s="21" t="str">
        <f>C3862</f>
        <v>Bienes</v>
      </c>
      <c r="I3877" s="21" t="str">
        <f>E3862</f>
        <v>Sí</v>
      </c>
      <c r="J3877" s="21" t="str">
        <f>D3862</f>
        <v>Compras Menores</v>
      </c>
    </row>
    <row r="3879" spans="1:10" ht="33.950000000000003" customHeight="1" x14ac:dyDescent="0.25">
      <c r="A3879" s="22" t="s">
        <v>1051</v>
      </c>
      <c r="B3879" s="22" t="s">
        <v>11</v>
      </c>
      <c r="C3879" s="22" t="s">
        <v>751</v>
      </c>
      <c r="D3879" s="22" t="s">
        <v>930</v>
      </c>
      <c r="E3879" s="22" t="s">
        <v>699</v>
      </c>
      <c r="F3879" s="22" t="s">
        <v>710</v>
      </c>
    </row>
    <row r="3880" spans="1:10" ht="14.25" customHeight="1" x14ac:dyDescent="0.25">
      <c r="A3880" s="23" t="s">
        <v>618</v>
      </c>
      <c r="B3880" s="23" t="s">
        <v>618</v>
      </c>
      <c r="C3880" s="23" t="s">
        <v>438</v>
      </c>
      <c r="D3880" s="23" t="s">
        <v>146</v>
      </c>
      <c r="E3880" s="23" t="s">
        <v>1156</v>
      </c>
      <c r="F3880" s="23" t="s">
        <v>436</v>
      </c>
    </row>
    <row r="3881" spans="1:10" ht="14.25" customHeight="1" x14ac:dyDescent="0.25">
      <c r="A3881" s="68" t="s">
        <v>965</v>
      </c>
      <c r="B3881" s="24" t="s">
        <v>543</v>
      </c>
      <c r="C3881" s="54">
        <v>46115</v>
      </c>
      <c r="D3881" s="68" t="s">
        <v>598</v>
      </c>
      <c r="E3881" s="56" t="s">
        <v>858</v>
      </c>
      <c r="F3881" s="57" t="s">
        <v>184</v>
      </c>
    </row>
    <row r="3882" spans="1:10" ht="14.25" customHeight="1" x14ac:dyDescent="0.25">
      <c r="A3882" s="69"/>
      <c r="B3882" s="24" t="s">
        <v>112</v>
      </c>
      <c r="C3882" s="55">
        <f>IF(C3881="","",IF(AND(MONTH(C3881)&gt;=1,MONTH(C3881)&lt;=3),1,IF(AND(MONTH(C3881)&gt;=4,MONTH(C3881)&lt;=6),2,IF(AND(MONTH(C3881)&gt;=7,MONTH(C3881)&lt;=9),3,4))))</f>
        <v>2</v>
      </c>
      <c r="D3882" s="69"/>
      <c r="E3882" s="56" t="s">
        <v>143</v>
      </c>
      <c r="F3882" s="57"/>
    </row>
    <row r="3883" spans="1:10" ht="14.25" customHeight="1" x14ac:dyDescent="0.25">
      <c r="A3883" s="69"/>
      <c r="B3883" s="24" t="s">
        <v>844</v>
      </c>
      <c r="C3883" s="54">
        <v>46174</v>
      </c>
      <c r="D3883" s="69"/>
      <c r="E3883" s="56" t="s">
        <v>183</v>
      </c>
      <c r="F3883" s="57"/>
    </row>
    <row r="3884" spans="1:10" ht="14.25" customHeight="1" x14ac:dyDescent="0.25">
      <c r="A3884" s="69"/>
      <c r="B3884" s="24" t="s">
        <v>112</v>
      </c>
      <c r="C3884" s="55">
        <f>IF(C3883="","",IF(AND(MONTH(C3883)&gt;=1,MONTH(C3883)&lt;=3),1,IF(AND(MONTH(C3883)&gt;=4,MONTH(C3883)&lt;=6),2,IF(AND(MONTH(C3883)&gt;=7,MONTH(C3883)&lt;=9),3,4))))</f>
        <v>2</v>
      </c>
      <c r="D3884" s="69"/>
      <c r="E3884" s="56" t="s">
        <v>865</v>
      </c>
      <c r="F3884" s="57"/>
    </row>
    <row r="3886" spans="1:10" ht="14.25" customHeight="1" x14ac:dyDescent="0.25">
      <c r="A3886" s="29" t="s">
        <v>1017</v>
      </c>
      <c r="B3886" s="29" t="s">
        <v>1042</v>
      </c>
      <c r="C3886" s="29" t="s">
        <v>1011</v>
      </c>
      <c r="D3886" s="29" t="s">
        <v>985</v>
      </c>
      <c r="E3886" s="29" t="s">
        <v>449</v>
      </c>
      <c r="F3886" s="29" t="s">
        <v>989</v>
      </c>
    </row>
    <row r="3887" spans="1:10" ht="14.25" customHeight="1" x14ac:dyDescent="0.25">
      <c r="A3887" s="25" t="s">
        <v>115</v>
      </c>
      <c r="B3887" s="26" t="str">
        <f ca="1">IFERROR(INDEX(UNSPSCDes,MATCH(INDIRECT(ADDRESS(ROW(),COLUMN()-1,4)),UNSPSCCode,0)),IF(INDIRECT(ADDRESS(ROW(),COLUMN()-1,4))="90101802","Servicios de comidas a domicilio",""))</f>
        <v>Servicios de comidas a domicilio</v>
      </c>
      <c r="C3887" s="58" t="str">
        <f>IFERROR(VLOOKUP("UD",'Informacion '!P:Q,2,FALSE),"")</f>
        <v>Unidad</v>
      </c>
      <c r="D3887" s="25">
        <v>1</v>
      </c>
      <c r="E3887" s="28">
        <v>26000000</v>
      </c>
      <c r="F3887" s="27">
        <f ca="1">INDIRECT(ADDRESS(ROW(),COLUMN()-2,4))*INDIRECT(ADDRESS(ROW(),COLUMN()-1,4))</f>
        <v>26000000</v>
      </c>
    </row>
    <row r="3888" spans="1:10" ht="14.25" customHeight="1" x14ac:dyDescent="0.25">
      <c r="E3888" s="30" t="s">
        <v>816</v>
      </c>
      <c r="F3888" s="31">
        <f ca="1">SUM(Table213[MONTO TOTAL ESTIMADO])</f>
        <v>26000000</v>
      </c>
      <c r="H3888" s="21" t="str">
        <f>C3880</f>
        <v>Servicios</v>
      </c>
      <c r="I3888" s="21" t="str">
        <f>E3880</f>
        <v>No</v>
      </c>
      <c r="J3888" s="21" t="str">
        <f>D3880</f>
        <v>Licitacion Publica</v>
      </c>
    </row>
    <row r="3890" spans="1:6" ht="33.950000000000003" customHeight="1" x14ac:dyDescent="0.25">
      <c r="A3890" s="22" t="s">
        <v>1051</v>
      </c>
      <c r="B3890" s="22" t="s">
        <v>11</v>
      </c>
      <c r="C3890" s="22" t="s">
        <v>751</v>
      </c>
      <c r="D3890" s="22" t="s">
        <v>930</v>
      </c>
      <c r="E3890" s="22" t="s">
        <v>699</v>
      </c>
      <c r="F3890" s="22" t="s">
        <v>710</v>
      </c>
    </row>
    <row r="3891" spans="1:6" ht="14.25" customHeight="1" x14ac:dyDescent="0.25">
      <c r="A3891" s="23" t="s">
        <v>565</v>
      </c>
      <c r="B3891" s="23" t="s">
        <v>565</v>
      </c>
      <c r="C3891" s="23" t="s">
        <v>1155</v>
      </c>
      <c r="D3891" s="23" t="s">
        <v>1128</v>
      </c>
      <c r="E3891" s="23" t="s">
        <v>1156</v>
      </c>
      <c r="F3891" s="23" t="s">
        <v>436</v>
      </c>
    </row>
    <row r="3892" spans="1:6" ht="14.25" customHeight="1" x14ac:dyDescent="0.25">
      <c r="A3892" s="68" t="s">
        <v>965</v>
      </c>
      <c r="B3892" s="24" t="s">
        <v>543</v>
      </c>
      <c r="C3892" s="54">
        <v>46215</v>
      </c>
      <c r="D3892" s="68" t="s">
        <v>598</v>
      </c>
      <c r="E3892" s="56" t="s">
        <v>858</v>
      </c>
      <c r="F3892" s="57"/>
    </row>
    <row r="3893" spans="1:6" ht="14.25" customHeight="1" x14ac:dyDescent="0.25">
      <c r="A3893" s="69"/>
      <c r="B3893" s="24" t="s">
        <v>112</v>
      </c>
      <c r="C3893" s="55">
        <f>IF(C3892="","",IF(AND(MONTH(C3892)&gt;=1,MONTH(C3892)&lt;=3),1,IF(AND(MONTH(C3892)&gt;=4,MONTH(C3892)&lt;=6),2,IF(AND(MONTH(C3892)&gt;=7,MONTH(C3892)&lt;=9),3,4))))</f>
        <v>3</v>
      </c>
      <c r="D3893" s="69"/>
      <c r="E3893" s="56" t="s">
        <v>143</v>
      </c>
      <c r="F3893" s="57"/>
    </row>
    <row r="3894" spans="1:6" ht="14.25" customHeight="1" x14ac:dyDescent="0.25">
      <c r="A3894" s="69"/>
      <c r="B3894" s="24" t="s">
        <v>844</v>
      </c>
      <c r="C3894" s="54">
        <v>46264</v>
      </c>
      <c r="D3894" s="69"/>
      <c r="E3894" s="56" t="s">
        <v>183</v>
      </c>
      <c r="F3894" s="57"/>
    </row>
    <row r="3895" spans="1:6" ht="14.25" customHeight="1" x14ac:dyDescent="0.25">
      <c r="A3895" s="69"/>
      <c r="B3895" s="24" t="s">
        <v>112</v>
      </c>
      <c r="C3895" s="55">
        <f>IF(C3894="","",IF(AND(MONTH(C3894)&gt;=1,MONTH(C3894)&lt;=3),1,IF(AND(MONTH(C3894)&gt;=4,MONTH(C3894)&lt;=6),2,IF(AND(MONTH(C3894)&gt;=7,MONTH(C3894)&lt;=9),3,4))))</f>
        <v>3</v>
      </c>
      <c r="D3895" s="69"/>
      <c r="E3895" s="56" t="s">
        <v>865</v>
      </c>
      <c r="F3895" s="57"/>
    </row>
    <row r="3897" spans="1:6" ht="14.25" customHeight="1" x14ac:dyDescent="0.25">
      <c r="A3897" s="29" t="s">
        <v>1017</v>
      </c>
      <c r="B3897" s="29" t="s">
        <v>1042</v>
      </c>
      <c r="C3897" s="29" t="s">
        <v>1011</v>
      </c>
      <c r="D3897" s="29" t="s">
        <v>985</v>
      </c>
      <c r="E3897" s="29" t="s">
        <v>449</v>
      </c>
      <c r="F3897" s="29" t="s">
        <v>989</v>
      </c>
    </row>
    <row r="3898" spans="1:6" ht="14.25" customHeight="1" x14ac:dyDescent="0.25">
      <c r="A3898" s="25" t="s">
        <v>704</v>
      </c>
      <c r="B3898" s="26" t="str">
        <f ca="1">IFERROR(INDEX(UNSPSCDes,MATCH(INDIRECT(ADDRESS(ROW(),COLUMN()-1,4)),UNSPSCCode,0)),IF(INDIRECT(ADDRESS(ROW(),COLUMN()-1,4))="55121704","Señales de seguridad",""))</f>
        <v>Señales de seguridad</v>
      </c>
      <c r="C3898" s="58" t="str">
        <f>IFERROR(VLOOKUP("UD",'Informacion '!P:Q,2,FALSE),"")</f>
        <v>Unidad</v>
      </c>
      <c r="D3898" s="25">
        <v>150</v>
      </c>
      <c r="E3898" s="28">
        <v>600</v>
      </c>
      <c r="F3898" s="27">
        <f t="shared" ref="F3898:F3929" ca="1" si="117">INDIRECT(ADDRESS(ROW(),COLUMN()-2,4))*INDIRECT(ADDRESS(ROW(),COLUMN()-1,4))</f>
        <v>90000</v>
      </c>
    </row>
    <row r="3899" spans="1:6" ht="14.25" customHeight="1" x14ac:dyDescent="0.25">
      <c r="A3899" s="25" t="s">
        <v>609</v>
      </c>
      <c r="B3899" s="26" t="str">
        <f ca="1">IFERROR(INDEX(UNSPSCDes,MATCH(INDIRECT(ADDRESS(ROW(),COLUMN()-1,4)),UNSPSCCode,0)),IF(INDIRECT(ADDRESS(ROW(),COLUMN()-1,4))="39121205","Canaletas para cables",""))</f>
        <v>Canaletas para cables</v>
      </c>
      <c r="C3899" s="58" t="str">
        <f>IFERROR(VLOOKUP("CAJ",'Informacion '!P:Q,2,FALSE),"")</f>
        <v>Caja</v>
      </c>
      <c r="D3899" s="25">
        <v>5</v>
      </c>
      <c r="E3899" s="28">
        <v>161.75</v>
      </c>
      <c r="F3899" s="27">
        <f t="shared" ca="1" si="117"/>
        <v>808.75</v>
      </c>
    </row>
    <row r="3900" spans="1:6" ht="14.25" customHeight="1" x14ac:dyDescent="0.25">
      <c r="A3900" s="25" t="s">
        <v>609</v>
      </c>
      <c r="B3900" s="26" t="str">
        <f ca="1">IFERROR(INDEX(UNSPSCDes,MATCH(INDIRECT(ADDRESS(ROW(),COLUMN()-1,4)),UNSPSCCode,0)),IF(INDIRECT(ADDRESS(ROW(),COLUMN()-1,4))="39121205","Canaletas para cables",""))</f>
        <v>Canaletas para cables</v>
      </c>
      <c r="C3900" s="58" t="str">
        <f>IFERROR(VLOOKUP("CAJ",'Informacion '!P:Q,2,FALSE),"")</f>
        <v>Caja</v>
      </c>
      <c r="D3900" s="25">
        <v>5</v>
      </c>
      <c r="E3900" s="28">
        <v>161.75</v>
      </c>
      <c r="F3900" s="27">
        <f t="shared" ca="1" si="117"/>
        <v>808.75</v>
      </c>
    </row>
    <row r="3901" spans="1:6" ht="14.25" customHeight="1" x14ac:dyDescent="0.25">
      <c r="A3901" s="25" t="s">
        <v>857</v>
      </c>
      <c r="B3901" s="26" t="str">
        <f ca="1">IFERROR(INDEX(UNSPSCDes,MATCH(INDIRECT(ADDRESS(ROW(),COLUMN()-1,4)),UNSPSCCode,0)),IF(INDIRECT(ADDRESS(ROW(),COLUMN()-1,4))="30151703","Canaletas",""))</f>
        <v>Canaletas</v>
      </c>
      <c r="C3901" s="58" t="str">
        <f>IFERROR(VLOOKUP("FT",'Informacion '!P:Q,2,FALSE),"")</f>
        <v>Pie</v>
      </c>
      <c r="D3901" s="25">
        <v>200</v>
      </c>
      <c r="E3901" s="28">
        <v>35</v>
      </c>
      <c r="F3901" s="27">
        <f t="shared" ca="1" si="117"/>
        <v>7000</v>
      </c>
    </row>
    <row r="3902" spans="1:6" ht="14.25" customHeight="1" x14ac:dyDescent="0.25">
      <c r="A3902" s="25" t="s">
        <v>211</v>
      </c>
      <c r="B3902" s="26" t="str">
        <f ca="1">IFERROR(INDEX(UNSPSCDes,MATCH(INDIRECT(ADDRESS(ROW(),COLUMN()-1,4)),UNSPSCCode,0)),IF(INDIRECT(ADDRESS(ROW(),COLUMN()-1,4))="53121603","Morrales",""))</f>
        <v>Morrales</v>
      </c>
      <c r="C3902" s="58" t="str">
        <f>IFERROR(VLOOKUP("UD",'Informacion '!P:Q,2,FALSE),"")</f>
        <v>Unidad</v>
      </c>
      <c r="D3902" s="25">
        <v>10</v>
      </c>
      <c r="E3902" s="28">
        <v>2500</v>
      </c>
      <c r="F3902" s="27">
        <f t="shared" ca="1" si="117"/>
        <v>25000</v>
      </c>
    </row>
    <row r="3903" spans="1:6" ht="14.25" customHeight="1" x14ac:dyDescent="0.25">
      <c r="A3903" s="25" t="s">
        <v>1138</v>
      </c>
      <c r="B3903" s="26" t="str">
        <f ca="1">IFERROR(INDEX(UNSPSCDes,MATCH(INDIRECT(ADDRESS(ROW(),COLUMN()-1,4)),UNSPSCCode,0)),IF(INDIRECT(ADDRESS(ROW(),COLUMN()-1,4))="31162402","Cerraduras",""))</f>
        <v>Cerraduras</v>
      </c>
      <c r="C3903" s="58" t="str">
        <f>IFERROR(VLOOKUP("UD",'Informacion '!P:Q,2,FALSE),"")</f>
        <v>Unidad</v>
      </c>
      <c r="D3903" s="25">
        <v>20</v>
      </c>
      <c r="E3903" s="28">
        <v>200.33</v>
      </c>
      <c r="F3903" s="27">
        <f t="shared" ca="1" si="117"/>
        <v>4006.6000000000004</v>
      </c>
    </row>
    <row r="3904" spans="1:6" ht="14.25" customHeight="1" x14ac:dyDescent="0.25">
      <c r="A3904" s="25" t="s">
        <v>4</v>
      </c>
      <c r="B3904" s="26" t="str">
        <f ca="1">IFERROR(INDEX(UNSPSCDes,MATCH(INDIRECT(ADDRESS(ROW(),COLUMN()-1,4)),UNSPSCCode,0)),IF(INDIRECT(ADDRESS(ROW(),COLUMN()-1,4))="31162801","Chapas o pomos",""))</f>
        <v>Chapas o pomos</v>
      </c>
      <c r="C3904" s="58" t="str">
        <f>IFERROR(VLOOKUP("UD",'Informacion '!P:Q,2,FALSE),"")</f>
        <v>Unidad</v>
      </c>
      <c r="D3904" s="25">
        <v>15</v>
      </c>
      <c r="E3904" s="28">
        <v>3340.79</v>
      </c>
      <c r="F3904" s="27">
        <f t="shared" ca="1" si="117"/>
        <v>50111.85</v>
      </c>
    </row>
    <row r="3905" spans="1:6" ht="14.25" customHeight="1" x14ac:dyDescent="0.25">
      <c r="A3905" s="25" t="s">
        <v>4</v>
      </c>
      <c r="B3905" s="26" t="str">
        <f ca="1">IFERROR(INDEX(UNSPSCDes,MATCH(INDIRECT(ADDRESS(ROW(),COLUMN()-1,4)),UNSPSCCode,0)),IF(INDIRECT(ADDRESS(ROW(),COLUMN()-1,4))="31162801","Chapas o pomos",""))</f>
        <v>Chapas o pomos</v>
      </c>
      <c r="C3905" s="58" t="str">
        <f>IFERROR(VLOOKUP("UD",'Informacion '!P:Q,2,FALSE),"")</f>
        <v>Unidad</v>
      </c>
      <c r="D3905" s="25">
        <v>15</v>
      </c>
      <c r="E3905" s="28">
        <v>1800</v>
      </c>
      <c r="F3905" s="27">
        <f t="shared" ca="1" si="117"/>
        <v>27000</v>
      </c>
    </row>
    <row r="3906" spans="1:6" ht="14.25" customHeight="1" x14ac:dyDescent="0.25">
      <c r="A3906" s="25" t="s">
        <v>4</v>
      </c>
      <c r="B3906" s="26" t="str">
        <f ca="1">IFERROR(INDEX(UNSPSCDes,MATCH(INDIRECT(ADDRESS(ROW(),COLUMN()-1,4)),UNSPSCCode,0)),IF(INDIRECT(ADDRESS(ROW(),COLUMN()-1,4))="31162801","Chapas o pomos",""))</f>
        <v>Chapas o pomos</v>
      </c>
      <c r="C3906" s="58" t="str">
        <f>IFERROR(VLOOKUP("UD",'Informacion '!P:Q,2,FALSE),"")</f>
        <v>Unidad</v>
      </c>
      <c r="D3906" s="25">
        <v>15</v>
      </c>
      <c r="E3906" s="28">
        <v>433.69</v>
      </c>
      <c r="F3906" s="27">
        <f t="shared" ca="1" si="117"/>
        <v>6505.35</v>
      </c>
    </row>
    <row r="3907" spans="1:6" ht="14.25" customHeight="1" x14ac:dyDescent="0.25">
      <c r="A3907" s="25" t="s">
        <v>785</v>
      </c>
      <c r="B3907" s="26" t="str">
        <f ca="1">IFERROR(INDEX(UNSPSCDes,MATCH(INDIRECT(ADDRESS(ROW(),COLUMN()-1,4)),UNSPSCCode,0)),IF(INDIRECT(ADDRESS(ROW(),COLUMN()-1,4))="30191501","Escaleras",""))</f>
        <v>Escaleras</v>
      </c>
      <c r="C3907" s="58" t="str">
        <f>IFERROR(VLOOKUP("UD",'Informacion '!P:Q,2,FALSE),"")</f>
        <v>Unidad</v>
      </c>
      <c r="D3907" s="25">
        <v>2</v>
      </c>
      <c r="E3907" s="28">
        <v>15000</v>
      </c>
      <c r="F3907" s="27">
        <f t="shared" ca="1" si="117"/>
        <v>30000</v>
      </c>
    </row>
    <row r="3908" spans="1:6" ht="14.25" customHeight="1" x14ac:dyDescent="0.25">
      <c r="A3908" s="25" t="s">
        <v>785</v>
      </c>
      <c r="B3908" s="26" t="str">
        <f ca="1">IFERROR(INDEX(UNSPSCDes,MATCH(INDIRECT(ADDRESS(ROW(),COLUMN()-1,4)),UNSPSCCode,0)),IF(INDIRECT(ADDRESS(ROW(),COLUMN()-1,4))="30191501","Escaleras",""))</f>
        <v>Escaleras</v>
      </c>
      <c r="C3908" s="58" t="str">
        <f>IFERROR(VLOOKUP("UD",'Informacion '!P:Q,2,FALSE),"")</f>
        <v>Unidad</v>
      </c>
      <c r="D3908" s="25">
        <v>5</v>
      </c>
      <c r="E3908" s="28">
        <v>6500</v>
      </c>
      <c r="F3908" s="27">
        <f t="shared" ca="1" si="117"/>
        <v>32500</v>
      </c>
    </row>
    <row r="3909" spans="1:6" ht="14.25" customHeight="1" x14ac:dyDescent="0.25">
      <c r="A3909" s="25" t="s">
        <v>785</v>
      </c>
      <c r="B3909" s="26" t="str">
        <f ca="1">IFERROR(INDEX(UNSPSCDes,MATCH(INDIRECT(ADDRESS(ROW(),COLUMN()-1,4)),UNSPSCCode,0)),IF(INDIRECT(ADDRESS(ROW(),COLUMN()-1,4))="30191501","Escaleras",""))</f>
        <v>Escaleras</v>
      </c>
      <c r="C3909" s="58" t="str">
        <f>IFERROR(VLOOKUP("UD",'Informacion '!P:Q,2,FALSE),"")</f>
        <v>Unidad</v>
      </c>
      <c r="D3909" s="25">
        <v>1</v>
      </c>
      <c r="E3909" s="28">
        <v>20500</v>
      </c>
      <c r="F3909" s="27">
        <f t="shared" ca="1" si="117"/>
        <v>20500</v>
      </c>
    </row>
    <row r="3910" spans="1:6" ht="14.25" customHeight="1" x14ac:dyDescent="0.25">
      <c r="A3910" s="25" t="s">
        <v>785</v>
      </c>
      <c r="B3910" s="26" t="str">
        <f ca="1">IFERROR(INDEX(UNSPSCDes,MATCH(INDIRECT(ADDRESS(ROW(),COLUMN()-1,4)),UNSPSCCode,0)),IF(INDIRECT(ADDRESS(ROW(),COLUMN()-1,4))="30191501","Escaleras",""))</f>
        <v>Escaleras</v>
      </c>
      <c r="C3910" s="58" t="str">
        <f>IFERROR(VLOOKUP("UD",'Informacion '!P:Q,2,FALSE),"")</f>
        <v>Unidad</v>
      </c>
      <c r="D3910" s="25">
        <v>3</v>
      </c>
      <c r="E3910" s="28">
        <v>28237.86</v>
      </c>
      <c r="F3910" s="27">
        <f t="shared" ca="1" si="117"/>
        <v>84713.58</v>
      </c>
    </row>
    <row r="3911" spans="1:6" ht="14.25" customHeight="1" x14ac:dyDescent="0.25">
      <c r="A3911" s="25" t="s">
        <v>919</v>
      </c>
      <c r="B3911" s="26" t="str">
        <f ca="1">IFERROR(INDEX(UNSPSCDes,MATCH(INDIRECT(ADDRESS(ROW(),COLUMN()-1,4)),UNSPSCCode,0)),IF(INDIRECT(ADDRESS(ROW(),COLUMN()-1,4))="31162506","Soporte de pared",""))</f>
        <v>Soporte de pared</v>
      </c>
      <c r="C3911" s="58" t="str">
        <f>IFERROR(VLOOKUP("UD",'Informacion '!P:Q,2,FALSE),"")</f>
        <v>Unidad</v>
      </c>
      <c r="D3911" s="25">
        <v>15</v>
      </c>
      <c r="E3911" s="28">
        <v>52.84</v>
      </c>
      <c r="F3911" s="27">
        <f t="shared" ca="1" si="117"/>
        <v>792.6</v>
      </c>
    </row>
    <row r="3912" spans="1:6" ht="14.25" customHeight="1" x14ac:dyDescent="0.25">
      <c r="A3912" s="25" t="s">
        <v>1120</v>
      </c>
      <c r="B3912" s="26" t="str">
        <f ca="1">IFERROR(INDEX(UNSPSCDes,MATCH(INDIRECT(ADDRESS(ROW(),COLUMN()-1,4)),UNSPSCCode,0)),IF(INDIRECT(ADDRESS(ROW(),COLUMN()-1,4))="30102306","Perfiles de aluminio",""))</f>
        <v>Perfiles de aluminio</v>
      </c>
      <c r="C3912" s="58" t="str">
        <f>IFERROR(VLOOKUP("UD",'Informacion '!P:Q,2,FALSE),"")</f>
        <v>Unidad</v>
      </c>
      <c r="D3912" s="25">
        <v>1</v>
      </c>
      <c r="E3912" s="28">
        <v>346.33</v>
      </c>
      <c r="F3912" s="27">
        <f t="shared" ca="1" si="117"/>
        <v>346.33</v>
      </c>
    </row>
    <row r="3913" spans="1:6" ht="14.25" customHeight="1" x14ac:dyDescent="0.25">
      <c r="A3913" s="25" t="s">
        <v>531</v>
      </c>
      <c r="B3913" s="26" t="str">
        <f ca="1">IFERROR(INDEX(UNSPSCDes,MATCH(INDIRECT(ADDRESS(ROW(),COLUMN()-1,4)),UNSPSCCode,0)),IF(INDIRECT(ADDRESS(ROW(),COLUMN()-1,4))="31201610","Pegamentos",""))</f>
        <v>Pegamentos</v>
      </c>
      <c r="C3913" s="58" t="str">
        <f>IFERROR(VLOOKUP("GAL",'Informacion '!P:Q,2,FALSE),"")</f>
        <v>Galón</v>
      </c>
      <c r="D3913" s="25">
        <v>3</v>
      </c>
      <c r="E3913" s="28">
        <v>959.69</v>
      </c>
      <c r="F3913" s="27">
        <f t="shared" ca="1" si="117"/>
        <v>2879.07</v>
      </c>
    </row>
    <row r="3914" spans="1:6" ht="14.25" customHeight="1" x14ac:dyDescent="0.25">
      <c r="A3914" s="25" t="s">
        <v>231</v>
      </c>
      <c r="B3914" s="26" t="str">
        <f ca="1">IFERROR(INDEX(UNSPSCDes,MATCH(INDIRECT(ADDRESS(ROW(),COLUMN()-1,4)),UNSPSCCode,0)),IF(INDIRECT(ADDRESS(ROW(),COLUMN()-1,4))="39111521","Plafones",""))</f>
        <v>Plafones</v>
      </c>
      <c r="C3914" s="58" t="str">
        <f>IFERROR(VLOOKUP("UD",'Informacion '!P:Q,2,FALSE),"")</f>
        <v>Unidad</v>
      </c>
      <c r="D3914" s="25">
        <v>50</v>
      </c>
      <c r="E3914" s="28">
        <v>604.67999999999995</v>
      </c>
      <c r="F3914" s="27">
        <f t="shared" ca="1" si="117"/>
        <v>30233.999999999996</v>
      </c>
    </row>
    <row r="3915" spans="1:6" ht="14.25" customHeight="1" x14ac:dyDescent="0.25">
      <c r="A3915" s="25" t="s">
        <v>1110</v>
      </c>
      <c r="B3915" s="26" t="str">
        <f ca="1">IFERROR(INDEX(UNSPSCDes,MATCH(INDIRECT(ADDRESS(ROW(),COLUMN()-1,4)),UNSPSCCode,0)),IF(INDIRECT(ADDRESS(ROW(),COLUMN()-1,4))="30161706","Pisos de baldosa o piedra",""))</f>
        <v>Pisos de baldosa o piedra</v>
      </c>
      <c r="C3915" s="58" t="str">
        <f>IFERROR(VLOOKUP("M2",'Informacion '!P:Q,2,FALSE),"")</f>
        <v>Metro cuadrado</v>
      </c>
      <c r="D3915" s="25">
        <v>30</v>
      </c>
      <c r="E3915" s="28">
        <v>202.36</v>
      </c>
      <c r="F3915" s="27">
        <f t="shared" ca="1" si="117"/>
        <v>6070.8</v>
      </c>
    </row>
    <row r="3916" spans="1:6" ht="14.25" customHeight="1" x14ac:dyDescent="0.25">
      <c r="A3916" s="25" t="s">
        <v>531</v>
      </c>
      <c r="B3916" s="26" t="str">
        <f ca="1">IFERROR(INDEX(UNSPSCDes,MATCH(INDIRECT(ADDRESS(ROW(),COLUMN()-1,4)),UNSPSCCode,0)),IF(INDIRECT(ADDRESS(ROW(),COLUMN()-1,4))="31201610","Pegamentos",""))</f>
        <v>Pegamentos</v>
      </c>
      <c r="C3916" s="58" t="str">
        <f>IFERROR(VLOOKUP("UD",'Informacion '!P:Q,2,FALSE),"")</f>
        <v>Unidad</v>
      </c>
      <c r="D3916" s="25">
        <v>30</v>
      </c>
      <c r="E3916" s="28">
        <v>431.67</v>
      </c>
      <c r="F3916" s="27">
        <f t="shared" ca="1" si="117"/>
        <v>12950.1</v>
      </c>
    </row>
    <row r="3917" spans="1:6" ht="14.25" customHeight="1" x14ac:dyDescent="0.25">
      <c r="A3917" s="25" t="s">
        <v>774</v>
      </c>
      <c r="B3917" s="26" t="str">
        <f ca="1">IFERROR(INDEX(UNSPSCDes,MATCH(INDIRECT(ADDRESS(ROW(),COLUMN()-1,4)),UNSPSCCode,0)),IF(INDIRECT(ADDRESS(ROW(),COLUMN()-1,4))="31162104","Anclajes de tornillo",""))</f>
        <v>Anclajes de tornillo</v>
      </c>
      <c r="C3917" s="58" t="str">
        <f>IFERROR(VLOOKUP("UD",'Informacion '!P:Q,2,FALSE),"")</f>
        <v>Unidad</v>
      </c>
      <c r="D3917" s="25">
        <v>300</v>
      </c>
      <c r="E3917" s="28">
        <v>0.5</v>
      </c>
      <c r="F3917" s="27">
        <f t="shared" ca="1" si="117"/>
        <v>150</v>
      </c>
    </row>
    <row r="3918" spans="1:6" ht="14.25" customHeight="1" x14ac:dyDescent="0.25">
      <c r="A3918" s="25" t="s">
        <v>774</v>
      </c>
      <c r="B3918" s="26" t="str">
        <f ca="1">IFERROR(INDEX(UNSPSCDes,MATCH(INDIRECT(ADDRESS(ROW(),COLUMN()-1,4)),UNSPSCCode,0)),IF(INDIRECT(ADDRESS(ROW(),COLUMN()-1,4))="31162104","Anclajes de tornillo",""))</f>
        <v>Anclajes de tornillo</v>
      </c>
      <c r="C3918" s="58" t="str">
        <f>IFERROR(VLOOKUP("UD",'Informacion '!P:Q,2,FALSE),"")</f>
        <v>Unidad</v>
      </c>
      <c r="D3918" s="25">
        <v>500</v>
      </c>
      <c r="E3918" s="28">
        <v>1.5</v>
      </c>
      <c r="F3918" s="27">
        <f t="shared" ca="1" si="117"/>
        <v>750</v>
      </c>
    </row>
    <row r="3919" spans="1:6" ht="14.25" customHeight="1" x14ac:dyDescent="0.25">
      <c r="A3919" s="25" t="s">
        <v>774</v>
      </c>
      <c r="B3919" s="26" t="str">
        <f ca="1">IFERROR(INDEX(UNSPSCDes,MATCH(INDIRECT(ADDRESS(ROW(),COLUMN()-1,4)),UNSPSCCode,0)),IF(INDIRECT(ADDRESS(ROW(),COLUMN()-1,4))="31162104","Anclajes de tornillo",""))</f>
        <v>Anclajes de tornillo</v>
      </c>
      <c r="C3919" s="58" t="str">
        <f>IFERROR(VLOOKUP("UD",'Informacion '!P:Q,2,FALSE),"")</f>
        <v>Unidad</v>
      </c>
      <c r="D3919" s="25">
        <v>200</v>
      </c>
      <c r="E3919" s="28">
        <v>1.8</v>
      </c>
      <c r="F3919" s="27">
        <f t="shared" ca="1" si="117"/>
        <v>360</v>
      </c>
    </row>
    <row r="3920" spans="1:6" ht="14.25" customHeight="1" x14ac:dyDescent="0.25">
      <c r="A3920" s="25" t="s">
        <v>774</v>
      </c>
      <c r="B3920" s="26" t="str">
        <f ca="1">IFERROR(INDEX(UNSPSCDes,MATCH(INDIRECT(ADDRESS(ROW(),COLUMN()-1,4)),UNSPSCCode,0)),IF(INDIRECT(ADDRESS(ROW(),COLUMN()-1,4))="31162104","Anclajes de tornillo",""))</f>
        <v>Anclajes de tornillo</v>
      </c>
      <c r="C3920" s="58" t="str">
        <f>IFERROR(VLOOKUP("UD",'Informacion '!P:Q,2,FALSE),"")</f>
        <v>Unidad</v>
      </c>
      <c r="D3920" s="25">
        <v>300</v>
      </c>
      <c r="E3920" s="28">
        <v>11.68</v>
      </c>
      <c r="F3920" s="27">
        <f t="shared" ca="1" si="117"/>
        <v>3504</v>
      </c>
    </row>
    <row r="3921" spans="1:6" ht="14.25" customHeight="1" x14ac:dyDescent="0.25">
      <c r="A3921" s="25" t="s">
        <v>774</v>
      </c>
      <c r="B3921" s="26" t="str">
        <f ca="1">IFERROR(INDEX(UNSPSCDes,MATCH(INDIRECT(ADDRESS(ROW(),COLUMN()-1,4)),UNSPSCCode,0)),IF(INDIRECT(ADDRESS(ROW(),COLUMN()-1,4))="31162104","Anclajes de tornillo",""))</f>
        <v>Anclajes de tornillo</v>
      </c>
      <c r="C3921" s="58" t="str">
        <f>IFERROR(VLOOKUP("UD",'Informacion '!P:Q,2,FALSE),"")</f>
        <v>Unidad</v>
      </c>
      <c r="D3921" s="25">
        <v>100</v>
      </c>
      <c r="E3921" s="28">
        <v>10</v>
      </c>
      <c r="F3921" s="27">
        <f t="shared" ca="1" si="117"/>
        <v>1000</v>
      </c>
    </row>
    <row r="3922" spans="1:6" ht="14.25" customHeight="1" x14ac:dyDescent="0.25">
      <c r="A3922" s="25" t="s">
        <v>624</v>
      </c>
      <c r="B3922" s="26" t="str">
        <f ca="1">IFERROR(INDEX(UNSPSCDes,MATCH(INDIRECT(ADDRESS(ROW(),COLUMN()-1,4)),UNSPSCCode,0)),IF(INDIRECT(ADDRESS(ROW(),COLUMN()-1,4))="31161503","Clavo-tornillo",""))</f>
        <v>Clavo-tornillo</v>
      </c>
      <c r="C3922" s="58" t="str">
        <f>IFERROR(VLOOKUP("UD",'Informacion '!P:Q,2,FALSE),"")</f>
        <v>Unidad</v>
      </c>
      <c r="D3922" s="25">
        <v>100</v>
      </c>
      <c r="E3922" s="28">
        <v>42.99</v>
      </c>
      <c r="F3922" s="27">
        <f t="shared" ca="1" si="117"/>
        <v>4299</v>
      </c>
    </row>
    <row r="3923" spans="1:6" ht="14.25" customHeight="1" x14ac:dyDescent="0.25">
      <c r="A3923" s="25" t="s">
        <v>774</v>
      </c>
      <c r="B3923" s="26" t="str">
        <f ca="1">IFERROR(INDEX(UNSPSCDes,MATCH(INDIRECT(ADDRESS(ROW(),COLUMN()-1,4)),UNSPSCCode,0)),IF(INDIRECT(ADDRESS(ROW(),COLUMN()-1,4))="31162104","Anclajes de tornillo",""))</f>
        <v>Anclajes de tornillo</v>
      </c>
      <c r="C3923" s="58" t="str">
        <f>IFERROR(VLOOKUP("UD",'Informacion '!P:Q,2,FALSE),"")</f>
        <v>Unidad</v>
      </c>
      <c r="D3923" s="25">
        <v>200</v>
      </c>
      <c r="E3923" s="28">
        <v>11.23</v>
      </c>
      <c r="F3923" s="27">
        <f t="shared" ca="1" si="117"/>
        <v>2246</v>
      </c>
    </row>
    <row r="3924" spans="1:6" ht="14.25" customHeight="1" x14ac:dyDescent="0.25">
      <c r="A3924" s="25" t="s">
        <v>774</v>
      </c>
      <c r="B3924" s="26" t="str">
        <f ca="1">IFERROR(INDEX(UNSPSCDes,MATCH(INDIRECT(ADDRESS(ROW(),COLUMN()-1,4)),UNSPSCCode,0)),IF(INDIRECT(ADDRESS(ROW(),COLUMN()-1,4))="31162104","Anclajes de tornillo",""))</f>
        <v>Anclajes de tornillo</v>
      </c>
      <c r="C3924" s="58" t="str">
        <f>IFERROR(VLOOKUP("UD",'Informacion '!P:Q,2,FALSE),"")</f>
        <v>Unidad</v>
      </c>
      <c r="D3924" s="25">
        <v>200</v>
      </c>
      <c r="E3924" s="28">
        <v>116.74</v>
      </c>
      <c r="F3924" s="27">
        <f t="shared" ca="1" si="117"/>
        <v>23348</v>
      </c>
    </row>
    <row r="3925" spans="1:6" ht="14.25" customHeight="1" x14ac:dyDescent="0.25">
      <c r="A3925" s="25" t="s">
        <v>624</v>
      </c>
      <c r="B3925" s="26" t="str">
        <f ca="1">IFERROR(INDEX(UNSPSCDes,MATCH(INDIRECT(ADDRESS(ROW(),COLUMN()-1,4)),UNSPSCCode,0)),IF(INDIRECT(ADDRESS(ROW(),COLUMN()-1,4))="31161503","Clavo-tornillo",""))</f>
        <v>Clavo-tornillo</v>
      </c>
      <c r="C3925" s="58" t="str">
        <f>IFERROR(VLOOKUP("UD",'Informacion '!P:Q,2,FALSE),"")</f>
        <v>Unidad</v>
      </c>
      <c r="D3925" s="25">
        <v>200</v>
      </c>
      <c r="E3925" s="28">
        <v>2.99</v>
      </c>
      <c r="F3925" s="27">
        <f t="shared" ca="1" si="117"/>
        <v>598</v>
      </c>
    </row>
    <row r="3926" spans="1:6" ht="14.25" customHeight="1" x14ac:dyDescent="0.25">
      <c r="A3926" s="25" t="s">
        <v>415</v>
      </c>
      <c r="B3926" s="26" t="str">
        <f ca="1">IFERROR(INDEX(UNSPSCDes,MATCH(INDIRECT(ADDRESS(ROW(),COLUMN()-1,4)),UNSPSCCode,0)),IF(INDIRECT(ADDRESS(ROW(),COLUMN()-1,4))="31161807","Arandelas planas",""))</f>
        <v>Arandelas planas</v>
      </c>
      <c r="C3926" s="58" t="str">
        <f>IFERROR(VLOOKUP("LB",'Informacion '!P:Q,2,FALSE),"")</f>
        <v>Libra </v>
      </c>
      <c r="D3926" s="25">
        <v>2</v>
      </c>
      <c r="E3926" s="28">
        <v>73.67</v>
      </c>
      <c r="F3926" s="27">
        <f t="shared" ca="1" si="117"/>
        <v>147.34</v>
      </c>
    </row>
    <row r="3927" spans="1:6" ht="14.25" customHeight="1" x14ac:dyDescent="0.25">
      <c r="A3927" s="25" t="s">
        <v>624</v>
      </c>
      <c r="B3927" s="26" t="str">
        <f t="shared" ref="B3927:B3938" ca="1" si="118">IFERROR(INDEX(UNSPSCDes,MATCH(INDIRECT(ADDRESS(ROW(),COLUMN()-1,4)),UNSPSCCode,0)),IF(INDIRECT(ADDRESS(ROW(),COLUMN()-1,4))="31161503","Clavo-tornillo",""))</f>
        <v>Clavo-tornillo</v>
      </c>
      <c r="C3927" s="58" t="str">
        <f>IFERROR(VLOOKUP("UD",'Informacion '!P:Q,2,FALSE),"")</f>
        <v>Unidad</v>
      </c>
      <c r="D3927" s="25">
        <v>200</v>
      </c>
      <c r="E3927" s="28">
        <v>135.5</v>
      </c>
      <c r="F3927" s="27">
        <f t="shared" ca="1" si="117"/>
        <v>27100</v>
      </c>
    </row>
    <row r="3928" spans="1:6" ht="14.25" customHeight="1" x14ac:dyDescent="0.25">
      <c r="A3928" s="25" t="s">
        <v>624</v>
      </c>
      <c r="B3928" s="26" t="str">
        <f t="shared" ca="1" si="118"/>
        <v>Clavo-tornillo</v>
      </c>
      <c r="C3928" s="58" t="str">
        <f>IFERROR(VLOOKUP("UD",'Informacion '!P:Q,2,FALSE),"")</f>
        <v>Unidad</v>
      </c>
      <c r="D3928" s="25">
        <v>200</v>
      </c>
      <c r="E3928" s="28">
        <v>135.5</v>
      </c>
      <c r="F3928" s="27">
        <f t="shared" ca="1" si="117"/>
        <v>27100</v>
      </c>
    </row>
    <row r="3929" spans="1:6" ht="14.25" customHeight="1" x14ac:dyDescent="0.25">
      <c r="A3929" s="25" t="s">
        <v>624</v>
      </c>
      <c r="B3929" s="26" t="str">
        <f t="shared" ca="1" si="118"/>
        <v>Clavo-tornillo</v>
      </c>
      <c r="C3929" s="58" t="str">
        <f>IFERROR(VLOOKUP("UD",'Informacion '!P:Q,2,FALSE),"")</f>
        <v>Unidad</v>
      </c>
      <c r="D3929" s="25">
        <v>200</v>
      </c>
      <c r="E3929" s="28">
        <v>6.49</v>
      </c>
      <c r="F3929" s="27">
        <f t="shared" ca="1" si="117"/>
        <v>1298</v>
      </c>
    </row>
    <row r="3930" spans="1:6" ht="14.25" customHeight="1" x14ac:dyDescent="0.25">
      <c r="A3930" s="25" t="s">
        <v>624</v>
      </c>
      <c r="B3930" s="26" t="str">
        <f t="shared" ca="1" si="118"/>
        <v>Clavo-tornillo</v>
      </c>
      <c r="C3930" s="58" t="str">
        <f>IFERROR(VLOOKUP("UD",'Informacion '!P:Q,2,FALSE),"")</f>
        <v>Unidad</v>
      </c>
      <c r="D3930" s="25">
        <v>200</v>
      </c>
      <c r="E3930" s="28">
        <v>0.9</v>
      </c>
      <c r="F3930" s="27">
        <f t="shared" ref="F3930:F3961" ca="1" si="119">INDIRECT(ADDRESS(ROW(),COLUMN()-2,4))*INDIRECT(ADDRESS(ROW(),COLUMN()-1,4))</f>
        <v>180</v>
      </c>
    </row>
    <row r="3931" spans="1:6" ht="14.25" customHeight="1" x14ac:dyDescent="0.25">
      <c r="A3931" s="25" t="s">
        <v>624</v>
      </c>
      <c r="B3931" s="26" t="str">
        <f t="shared" ca="1" si="118"/>
        <v>Clavo-tornillo</v>
      </c>
      <c r="C3931" s="58" t="str">
        <f>IFERROR(VLOOKUP("UD",'Informacion '!P:Q,2,FALSE),"")</f>
        <v>Unidad</v>
      </c>
      <c r="D3931" s="25">
        <v>200</v>
      </c>
      <c r="E3931" s="28">
        <v>0.9</v>
      </c>
      <c r="F3931" s="27">
        <f t="shared" ca="1" si="119"/>
        <v>180</v>
      </c>
    </row>
    <row r="3932" spans="1:6" ht="14.25" customHeight="1" x14ac:dyDescent="0.25">
      <c r="A3932" s="25" t="s">
        <v>624</v>
      </c>
      <c r="B3932" s="26" t="str">
        <f t="shared" ca="1" si="118"/>
        <v>Clavo-tornillo</v>
      </c>
      <c r="C3932" s="58" t="str">
        <f>IFERROR(VLOOKUP("UD",'Informacion '!P:Q,2,FALSE),"")</f>
        <v>Unidad</v>
      </c>
      <c r="D3932" s="25">
        <v>200</v>
      </c>
      <c r="E3932" s="28">
        <v>0.61</v>
      </c>
      <c r="F3932" s="27">
        <f t="shared" ca="1" si="119"/>
        <v>122</v>
      </c>
    </row>
    <row r="3933" spans="1:6" ht="14.25" customHeight="1" x14ac:dyDescent="0.25">
      <c r="A3933" s="25" t="s">
        <v>624</v>
      </c>
      <c r="B3933" s="26" t="str">
        <f t="shared" ca="1" si="118"/>
        <v>Clavo-tornillo</v>
      </c>
      <c r="C3933" s="58" t="str">
        <f>IFERROR(VLOOKUP("UD",'Informacion '!P:Q,2,FALSE),"")</f>
        <v>Unidad</v>
      </c>
      <c r="D3933" s="25">
        <v>500</v>
      </c>
      <c r="E3933" s="28">
        <v>0.27</v>
      </c>
      <c r="F3933" s="27">
        <f t="shared" ca="1" si="119"/>
        <v>135</v>
      </c>
    </row>
    <row r="3934" spans="1:6" ht="14.25" customHeight="1" x14ac:dyDescent="0.25">
      <c r="A3934" s="25" t="s">
        <v>624</v>
      </c>
      <c r="B3934" s="26" t="str">
        <f t="shared" ca="1" si="118"/>
        <v>Clavo-tornillo</v>
      </c>
      <c r="C3934" s="58" t="str">
        <f>IFERROR(VLOOKUP("UD",'Informacion '!P:Q,2,FALSE),"")</f>
        <v>Unidad</v>
      </c>
      <c r="D3934" s="25">
        <v>500</v>
      </c>
      <c r="E3934" s="28">
        <v>0.9</v>
      </c>
      <c r="F3934" s="27">
        <f t="shared" ca="1" si="119"/>
        <v>450</v>
      </c>
    </row>
    <row r="3935" spans="1:6" ht="14.25" customHeight="1" x14ac:dyDescent="0.25">
      <c r="A3935" s="25" t="s">
        <v>624</v>
      </c>
      <c r="B3935" s="26" t="str">
        <f t="shared" ca="1" si="118"/>
        <v>Clavo-tornillo</v>
      </c>
      <c r="C3935" s="58" t="str">
        <f>IFERROR(VLOOKUP("UD",'Informacion '!P:Q,2,FALSE),"")</f>
        <v>Unidad</v>
      </c>
      <c r="D3935" s="25">
        <v>10</v>
      </c>
      <c r="E3935" s="28">
        <v>850</v>
      </c>
      <c r="F3935" s="27">
        <f t="shared" ca="1" si="119"/>
        <v>8500</v>
      </c>
    </row>
    <row r="3936" spans="1:6" ht="14.25" customHeight="1" x14ac:dyDescent="0.25">
      <c r="A3936" s="25" t="s">
        <v>624</v>
      </c>
      <c r="B3936" s="26" t="str">
        <f t="shared" ca="1" si="118"/>
        <v>Clavo-tornillo</v>
      </c>
      <c r="C3936" s="58" t="str">
        <f>IFERROR(VLOOKUP("UD",'Informacion '!P:Q,2,FALSE),"")</f>
        <v>Unidad</v>
      </c>
      <c r="D3936" s="25">
        <v>10</v>
      </c>
      <c r="E3936" s="28">
        <v>900</v>
      </c>
      <c r="F3936" s="27">
        <f t="shared" ca="1" si="119"/>
        <v>9000</v>
      </c>
    </row>
    <row r="3937" spans="1:6" ht="14.25" customHeight="1" x14ac:dyDescent="0.25">
      <c r="A3937" s="25" t="s">
        <v>624</v>
      </c>
      <c r="B3937" s="26" t="str">
        <f t="shared" ca="1" si="118"/>
        <v>Clavo-tornillo</v>
      </c>
      <c r="C3937" s="58" t="str">
        <f>IFERROR(VLOOKUP("UD",'Informacion '!P:Q,2,FALSE),"")</f>
        <v>Unidad</v>
      </c>
      <c r="D3937" s="25">
        <v>10</v>
      </c>
      <c r="E3937" s="28">
        <v>900</v>
      </c>
      <c r="F3937" s="27">
        <f t="shared" ca="1" si="119"/>
        <v>9000</v>
      </c>
    </row>
    <row r="3938" spans="1:6" ht="14.25" customHeight="1" x14ac:dyDescent="0.25">
      <c r="A3938" s="25" t="s">
        <v>624</v>
      </c>
      <c r="B3938" s="26" t="str">
        <f t="shared" ca="1" si="118"/>
        <v>Clavo-tornillo</v>
      </c>
      <c r="C3938" s="58" t="str">
        <f>IFERROR(VLOOKUP("UD",'Informacion '!P:Q,2,FALSE),"")</f>
        <v>Unidad</v>
      </c>
      <c r="D3938" s="25">
        <v>200</v>
      </c>
      <c r="E3938" s="28">
        <v>150</v>
      </c>
      <c r="F3938" s="27">
        <f t="shared" ca="1" si="119"/>
        <v>30000</v>
      </c>
    </row>
    <row r="3939" spans="1:6" ht="14.25" customHeight="1" x14ac:dyDescent="0.25">
      <c r="A3939" s="25" t="s">
        <v>743</v>
      </c>
      <c r="B3939" s="26" t="str">
        <f ca="1">IFERROR(INDEX(UNSPSCDes,MATCH(INDIRECT(ADDRESS(ROW(),COLUMN()-1,4)),UNSPSCCode,0)),IF(INDIRECT(ADDRESS(ROW(),COLUMN()-1,4))="31162906","Abrazaderas de manguera o tubo",""))</f>
        <v>Abrazaderas de manguera o tubo</v>
      </c>
      <c r="C3939" s="58" t="str">
        <f>IFERROR(VLOOKUP("UD",'Informacion '!P:Q,2,FALSE),"")</f>
        <v>Unidad</v>
      </c>
      <c r="D3939" s="25">
        <v>10</v>
      </c>
      <c r="E3939" s="28">
        <v>1206.33</v>
      </c>
      <c r="F3939" s="27">
        <f t="shared" ca="1" si="119"/>
        <v>12063.3</v>
      </c>
    </row>
    <row r="3940" spans="1:6" ht="14.25" customHeight="1" x14ac:dyDescent="0.25">
      <c r="A3940" s="25" t="s">
        <v>966</v>
      </c>
      <c r="B3940" s="26" t="str">
        <f ca="1">IFERROR(INDEX(UNSPSCDes,MATCH(INDIRECT(ADDRESS(ROW(),COLUMN()-1,4)),UNSPSCCode,0)),IF(INDIRECT(ADDRESS(ROW(),COLUMN()-1,4))="60105705","Cinta pegante libre de ácido",""))</f>
        <v>Cinta pegante libre de ácido</v>
      </c>
      <c r="C3940" s="58" t="str">
        <f>IFERROR(VLOOKUP("UD",'Informacion '!P:Q,2,FALSE),"")</f>
        <v>Unidad</v>
      </c>
      <c r="D3940" s="25">
        <v>50</v>
      </c>
      <c r="E3940" s="28">
        <v>151.87</v>
      </c>
      <c r="F3940" s="27">
        <f t="shared" ca="1" si="119"/>
        <v>7593.5</v>
      </c>
    </row>
    <row r="3941" spans="1:6" ht="14.25" customHeight="1" x14ac:dyDescent="0.25">
      <c r="A3941" s="25" t="s">
        <v>185</v>
      </c>
      <c r="B3941" s="26" t="str">
        <f ca="1">IFERROR(INDEX(UNSPSCDes,MATCH(INDIRECT(ADDRESS(ROW(),COLUMN()-1,4)),UNSPSCCode,0)),IF(INDIRECT(ADDRESS(ROW(),COLUMN()-1,4))="31162403","Goznes o bisagras",""))</f>
        <v>Goznes o bisagras</v>
      </c>
      <c r="C3941" s="58" t="str">
        <f>IFERROR(VLOOKUP("UD",'Informacion '!P:Q,2,FALSE),"")</f>
        <v>Unidad</v>
      </c>
      <c r="D3941" s="25">
        <v>100</v>
      </c>
      <c r="E3941" s="28">
        <v>160.80000000000001</v>
      </c>
      <c r="F3941" s="27">
        <f t="shared" ca="1" si="119"/>
        <v>16080.000000000002</v>
      </c>
    </row>
    <row r="3942" spans="1:6" ht="14.25" customHeight="1" x14ac:dyDescent="0.25">
      <c r="A3942" s="25" t="s">
        <v>465</v>
      </c>
      <c r="B3942" s="26" t="str">
        <f ca="1">IFERROR(INDEX(UNSPSCDes,MATCH(INDIRECT(ADDRESS(ROW(),COLUMN()-1,4)),UNSPSCCode,0)),IF(INDIRECT(ADDRESS(ROW(),COLUMN()-1,4))="14121504","Papel de empaque",""))</f>
        <v>Papel de empaque</v>
      </c>
      <c r="C3942" s="58" t="str">
        <f>IFERROR(VLOOKUP("UD",'Informacion '!P:Q,2,FALSE),"")</f>
        <v>Unidad</v>
      </c>
      <c r="D3942" s="25">
        <v>5</v>
      </c>
      <c r="E3942" s="28">
        <v>900</v>
      </c>
      <c r="F3942" s="27">
        <f t="shared" ca="1" si="119"/>
        <v>4500</v>
      </c>
    </row>
    <row r="3943" spans="1:6" ht="14.25" customHeight="1" x14ac:dyDescent="0.25">
      <c r="A3943" s="25" t="s">
        <v>150</v>
      </c>
      <c r="B3943" s="26" t="str">
        <f ca="1">IFERROR(INDEX(UNSPSCDes,MATCH(INDIRECT(ADDRESS(ROW(),COLUMN()-1,4)),UNSPSCCode,0)),IF(INDIRECT(ADDRESS(ROW(),COLUMN()-1,4))="30102905","Postes de plástico",""))</f>
        <v>Postes de plástico</v>
      </c>
      <c r="C3943" s="58" t="str">
        <f>IFERROR(VLOOKUP("UD",'Informacion '!P:Q,2,FALSE),"")</f>
        <v>Unidad</v>
      </c>
      <c r="D3943" s="25">
        <v>10</v>
      </c>
      <c r="E3943" s="28">
        <v>2917.85</v>
      </c>
      <c r="F3943" s="27">
        <f t="shared" ca="1" si="119"/>
        <v>29178.5</v>
      </c>
    </row>
    <row r="3944" spans="1:6" ht="14.25" customHeight="1" x14ac:dyDescent="0.25">
      <c r="A3944" s="25" t="s">
        <v>46</v>
      </c>
      <c r="B3944" s="26" t="str">
        <f ca="1">IFERROR(INDEX(UNSPSCDes,MATCH(INDIRECT(ADDRESS(ROW(),COLUMN()-1,4)),UNSPSCCode,0)),IF(INDIRECT(ADDRESS(ROW(),COLUMN()-1,4))="27111509","Barrenas",""))</f>
        <v>Barrenas</v>
      </c>
      <c r="C3944" s="58" t="str">
        <f>IFERROR(VLOOKUP("UD",'Informacion '!P:Q,2,FALSE),"")</f>
        <v>Unidad</v>
      </c>
      <c r="D3944" s="25">
        <v>5</v>
      </c>
      <c r="E3944" s="28">
        <v>1048.3900000000001</v>
      </c>
      <c r="F3944" s="27">
        <f t="shared" ca="1" si="119"/>
        <v>5241.9500000000007</v>
      </c>
    </row>
    <row r="3945" spans="1:6" ht="14.25" customHeight="1" x14ac:dyDescent="0.25">
      <c r="A3945" s="25" t="s">
        <v>46</v>
      </c>
      <c r="B3945" s="26" t="str">
        <f ca="1">IFERROR(INDEX(UNSPSCDes,MATCH(INDIRECT(ADDRESS(ROW(),COLUMN()-1,4)),UNSPSCCode,0)),IF(INDIRECT(ADDRESS(ROW(),COLUMN()-1,4))="27111509","Barrenas",""))</f>
        <v>Barrenas</v>
      </c>
      <c r="C3945" s="58" t="str">
        <f>IFERROR(VLOOKUP("UD",'Informacion '!P:Q,2,FALSE),"")</f>
        <v>Unidad</v>
      </c>
      <c r="D3945" s="25">
        <v>5</v>
      </c>
      <c r="E3945" s="28">
        <v>259.31</v>
      </c>
      <c r="F3945" s="27">
        <f t="shared" ca="1" si="119"/>
        <v>1296.55</v>
      </c>
    </row>
    <row r="3946" spans="1:6" ht="14.25" customHeight="1" x14ac:dyDescent="0.25">
      <c r="A3946" s="25" t="s">
        <v>46</v>
      </c>
      <c r="B3946" s="26" t="str">
        <f ca="1">IFERROR(INDEX(UNSPSCDes,MATCH(INDIRECT(ADDRESS(ROW(),COLUMN()-1,4)),UNSPSCCode,0)),IF(INDIRECT(ADDRESS(ROW(),COLUMN()-1,4))="27111509","Barrenas",""))</f>
        <v>Barrenas</v>
      </c>
      <c r="C3946" s="58" t="str">
        <f>IFERROR(VLOOKUP("UD",'Informacion '!P:Q,2,FALSE),"")</f>
        <v>Unidad</v>
      </c>
      <c r="D3946" s="25">
        <v>5</v>
      </c>
      <c r="E3946" s="28">
        <v>203.4</v>
      </c>
      <c r="F3946" s="27">
        <f t="shared" ca="1" si="119"/>
        <v>1017</v>
      </c>
    </row>
    <row r="3947" spans="1:6" ht="14.25" customHeight="1" x14ac:dyDescent="0.25">
      <c r="A3947" s="25" t="s">
        <v>46</v>
      </c>
      <c r="B3947" s="26" t="str">
        <f ca="1">IFERROR(INDEX(UNSPSCDes,MATCH(INDIRECT(ADDRESS(ROW(),COLUMN()-1,4)),UNSPSCCode,0)),IF(INDIRECT(ADDRESS(ROW(),COLUMN()-1,4))="27111509","Barrenas",""))</f>
        <v>Barrenas</v>
      </c>
      <c r="C3947" s="58" t="str">
        <f>IFERROR(VLOOKUP("UD",'Informacion '!P:Q,2,FALSE),"")</f>
        <v>Unidad</v>
      </c>
      <c r="D3947" s="25">
        <v>5</v>
      </c>
      <c r="E3947" s="28">
        <v>266.23</v>
      </c>
      <c r="F3947" s="27">
        <f t="shared" ca="1" si="119"/>
        <v>1331.15</v>
      </c>
    </row>
    <row r="3948" spans="1:6" ht="14.25" customHeight="1" x14ac:dyDescent="0.25">
      <c r="A3948" s="25" t="s">
        <v>46</v>
      </c>
      <c r="B3948" s="26" t="str">
        <f ca="1">IFERROR(INDEX(UNSPSCDes,MATCH(INDIRECT(ADDRESS(ROW(),COLUMN()-1,4)),UNSPSCCode,0)),IF(INDIRECT(ADDRESS(ROW(),COLUMN()-1,4))="27111509","Barrenas",""))</f>
        <v>Barrenas</v>
      </c>
      <c r="C3948" s="58" t="str">
        <f>IFERROR(VLOOKUP("UD",'Informacion '!P:Q,2,FALSE),"")</f>
        <v>Unidad</v>
      </c>
      <c r="D3948" s="25">
        <v>2</v>
      </c>
      <c r="E3948" s="28">
        <v>750.17</v>
      </c>
      <c r="F3948" s="27">
        <f t="shared" ca="1" si="119"/>
        <v>1500.34</v>
      </c>
    </row>
    <row r="3949" spans="1:6" ht="14.25" customHeight="1" x14ac:dyDescent="0.25">
      <c r="A3949" s="25" t="s">
        <v>1211</v>
      </c>
      <c r="B3949" s="26" t="str">
        <f ca="1">IFERROR(INDEX(UNSPSCDes,MATCH(INDIRECT(ADDRESS(ROW(),COLUMN()-1,4)),UNSPSCCode,0)),IF(INDIRECT(ADDRESS(ROW(),COLUMN()-1,4))="27111906","Cinceles de madera",""))</f>
        <v>Cinceles de madera</v>
      </c>
      <c r="C3949" s="58" t="str">
        <f>IFERROR(VLOOKUP("UD",'Informacion '!P:Q,2,FALSE),"")</f>
        <v>Unidad</v>
      </c>
      <c r="D3949" s="25">
        <v>2</v>
      </c>
      <c r="E3949" s="28">
        <v>1539.33</v>
      </c>
      <c r="F3949" s="27">
        <f t="shared" ca="1" si="119"/>
        <v>3078.66</v>
      </c>
    </row>
    <row r="3950" spans="1:6" ht="14.25" customHeight="1" x14ac:dyDescent="0.25">
      <c r="A3950" s="25" t="s">
        <v>1211</v>
      </c>
      <c r="B3950" s="26" t="str">
        <f ca="1">IFERROR(INDEX(UNSPSCDes,MATCH(INDIRECT(ADDRESS(ROW(),COLUMN()-1,4)),UNSPSCCode,0)),IF(INDIRECT(ADDRESS(ROW(),COLUMN()-1,4))="27111906","Cinceles de madera",""))</f>
        <v>Cinceles de madera</v>
      </c>
      <c r="C3950" s="58" t="str">
        <f>IFERROR(VLOOKUP("UD",'Informacion '!P:Q,2,FALSE),"")</f>
        <v>Unidad</v>
      </c>
      <c r="D3950" s="25">
        <v>2</v>
      </c>
      <c r="E3950" s="28">
        <v>986.95</v>
      </c>
      <c r="F3950" s="27">
        <f t="shared" ca="1" si="119"/>
        <v>1973.9</v>
      </c>
    </row>
    <row r="3951" spans="1:6" ht="14.25" customHeight="1" x14ac:dyDescent="0.25">
      <c r="A3951" s="25" t="s">
        <v>677</v>
      </c>
      <c r="B3951" s="26" t="str">
        <f ca="1">IFERROR(INDEX(UNSPSCDes,MATCH(INDIRECT(ADDRESS(ROW(),COLUMN()-1,4)),UNSPSCCode,0)),IF(INDIRECT(ADDRESS(ROW(),COLUMN()-1,4))="23153303","Brocas o herramientas de moldeado",""))</f>
        <v>Brocas o herramientas de moldeado</v>
      </c>
      <c r="C3951" s="58" t="str">
        <f>IFERROR(VLOOKUP("UD",'Informacion '!P:Q,2,FALSE),"")</f>
        <v>Unidad</v>
      </c>
      <c r="D3951" s="25">
        <v>2</v>
      </c>
      <c r="E3951" s="28">
        <v>4923.41</v>
      </c>
      <c r="F3951" s="27">
        <f t="shared" ca="1" si="119"/>
        <v>9846.82</v>
      </c>
    </row>
    <row r="3952" spans="1:6" ht="14.25" customHeight="1" x14ac:dyDescent="0.25">
      <c r="A3952" s="25" t="s">
        <v>261</v>
      </c>
      <c r="B3952" s="26" t="str">
        <f ca="1">IFERROR(INDEX(UNSPSCDes,MATCH(INDIRECT(ADDRESS(ROW(),COLUMN()-1,4)),UNSPSCCode,0)),IF(INDIRECT(ADDRESS(ROW(),COLUMN()-1,4))="27111507","Cortadores de metal",""))</f>
        <v>Cortadores de metal</v>
      </c>
      <c r="C3952" s="58" t="str">
        <f>IFERROR(VLOOKUP("UD",'Informacion '!P:Q,2,FALSE),"")</f>
        <v>Unidad</v>
      </c>
      <c r="D3952" s="25">
        <v>10</v>
      </c>
      <c r="E3952" s="28">
        <v>386.94</v>
      </c>
      <c r="F3952" s="27">
        <f t="shared" ca="1" si="119"/>
        <v>3869.4</v>
      </c>
    </row>
    <row r="3953" spans="1:6" ht="14.25" customHeight="1" x14ac:dyDescent="0.25">
      <c r="A3953" s="25" t="s">
        <v>261</v>
      </c>
      <c r="B3953" s="26" t="str">
        <f ca="1">IFERROR(INDEX(UNSPSCDes,MATCH(INDIRECT(ADDRESS(ROW(),COLUMN()-1,4)),UNSPSCCode,0)),IF(INDIRECT(ADDRESS(ROW(),COLUMN()-1,4))="27111507","Cortadores de metal",""))</f>
        <v>Cortadores de metal</v>
      </c>
      <c r="C3953" s="58" t="str">
        <f>IFERROR(VLOOKUP("UD",'Informacion '!P:Q,2,FALSE),"")</f>
        <v>Unidad</v>
      </c>
      <c r="D3953" s="25">
        <v>30</v>
      </c>
      <c r="E3953" s="28">
        <v>45</v>
      </c>
      <c r="F3953" s="27">
        <f t="shared" ca="1" si="119"/>
        <v>1350</v>
      </c>
    </row>
    <row r="3954" spans="1:6" ht="14.25" customHeight="1" x14ac:dyDescent="0.25">
      <c r="A3954" s="25" t="s">
        <v>110</v>
      </c>
      <c r="B3954" s="26" t="str">
        <f ca="1">IFERROR(INDEX(UNSPSCDes,MATCH(INDIRECT(ADDRESS(ROW(),COLUMN()-1,4)),UNSPSCCode,0)),IF(INDIRECT(ADDRESS(ROW(),COLUMN()-1,4))="27111709","Extractor de tornillos",""))</f>
        <v>Extractor de tornillos</v>
      </c>
      <c r="C3954" s="58" t="str">
        <f>IFERROR(VLOOKUP("UD",'Informacion '!P:Q,2,FALSE),"")</f>
        <v>Unidad</v>
      </c>
      <c r="D3954" s="25">
        <v>3</v>
      </c>
      <c r="E3954" s="28">
        <v>245.73</v>
      </c>
      <c r="F3954" s="27">
        <f t="shared" ca="1" si="119"/>
        <v>737.18999999999994</v>
      </c>
    </row>
    <row r="3955" spans="1:6" ht="14.25" customHeight="1" x14ac:dyDescent="0.25">
      <c r="A3955" s="25" t="s">
        <v>224</v>
      </c>
      <c r="B3955" s="26" t="str">
        <f ca="1">IFERROR(INDEX(UNSPSCDes,MATCH(INDIRECT(ADDRESS(ROW(),COLUMN()-1,4)),UNSPSCCode,0)),IF(INDIRECT(ADDRESS(ROW(),COLUMN()-1,4))="31162808","Barras de pánico",""))</f>
        <v>Barras de pánico</v>
      </c>
      <c r="C3955" s="58" t="str">
        <f>IFERROR(VLOOKUP("UD",'Informacion '!P:Q,2,FALSE),"")</f>
        <v>Unidad</v>
      </c>
      <c r="D3955" s="25">
        <v>4</v>
      </c>
      <c r="E3955" s="28">
        <v>8000</v>
      </c>
      <c r="F3955" s="27">
        <f t="shared" ca="1" si="119"/>
        <v>32000</v>
      </c>
    </row>
    <row r="3956" spans="1:6" ht="14.25" customHeight="1" x14ac:dyDescent="0.25">
      <c r="A3956" s="25" t="s">
        <v>1190</v>
      </c>
      <c r="B3956" s="26" t="str">
        <f ca="1">IFERROR(INDEX(UNSPSCDes,MATCH(INDIRECT(ADDRESS(ROW(),COLUMN()-1,4)),UNSPSCCode,0)),IF(INDIRECT(ADDRESS(ROW(),COLUMN()-1,4))="27121602","Cilindros hidráulicos",""))</f>
        <v>Cilindros hidráulicos</v>
      </c>
      <c r="C3956" s="58" t="str">
        <f>IFERROR(VLOOKUP("UD",'Informacion '!P:Q,2,FALSE),"")</f>
        <v>Unidad</v>
      </c>
      <c r="D3956" s="25">
        <v>10</v>
      </c>
      <c r="E3956" s="28">
        <v>1600</v>
      </c>
      <c r="F3956" s="27">
        <f t="shared" ca="1" si="119"/>
        <v>16000</v>
      </c>
    </row>
    <row r="3957" spans="1:6" ht="14.25" customHeight="1" x14ac:dyDescent="0.25">
      <c r="A3957" s="25" t="s">
        <v>1190</v>
      </c>
      <c r="B3957" s="26" t="str">
        <f ca="1">IFERROR(INDEX(UNSPSCDes,MATCH(INDIRECT(ADDRESS(ROW(),COLUMN()-1,4)),UNSPSCCode,0)),IF(INDIRECT(ADDRESS(ROW(),COLUMN()-1,4))="27121602","Cilindros hidráulicos",""))</f>
        <v>Cilindros hidráulicos</v>
      </c>
      <c r="C3957" s="58" t="str">
        <f>IFERROR(VLOOKUP("UD",'Informacion '!P:Q,2,FALSE),"")</f>
        <v>Unidad</v>
      </c>
      <c r="D3957" s="25">
        <v>15</v>
      </c>
      <c r="E3957" s="28">
        <v>1200</v>
      </c>
      <c r="F3957" s="27">
        <f t="shared" ca="1" si="119"/>
        <v>18000</v>
      </c>
    </row>
    <row r="3958" spans="1:6" ht="14.25" customHeight="1" x14ac:dyDescent="0.25">
      <c r="A3958" s="25" t="s">
        <v>1138</v>
      </c>
      <c r="B3958" s="26" t="str">
        <f ca="1">IFERROR(INDEX(UNSPSCDes,MATCH(INDIRECT(ADDRESS(ROW(),COLUMN()-1,4)),UNSPSCCode,0)),IF(INDIRECT(ADDRESS(ROW(),COLUMN()-1,4))="31162402","Cerraduras",""))</f>
        <v>Cerraduras</v>
      </c>
      <c r="C3958" s="58" t="str">
        <f>IFERROR(VLOOKUP("UD",'Informacion '!P:Q,2,FALSE),"")</f>
        <v>Unidad</v>
      </c>
      <c r="D3958" s="25">
        <v>40</v>
      </c>
      <c r="E3958" s="28">
        <v>2100</v>
      </c>
      <c r="F3958" s="27">
        <f t="shared" ca="1" si="119"/>
        <v>84000</v>
      </c>
    </row>
    <row r="3959" spans="1:6" ht="14.25" customHeight="1" x14ac:dyDescent="0.25">
      <c r="A3959" s="25" t="s">
        <v>1138</v>
      </c>
      <c r="B3959" s="26" t="str">
        <f ca="1">IFERROR(INDEX(UNSPSCDes,MATCH(INDIRECT(ADDRESS(ROW(),COLUMN()-1,4)),UNSPSCCode,0)),IF(INDIRECT(ADDRESS(ROW(),COLUMN()-1,4))="31162402","Cerraduras",""))</f>
        <v>Cerraduras</v>
      </c>
      <c r="C3959" s="58" t="str">
        <f>IFERROR(VLOOKUP("UD",'Informacion '!P:Q,2,FALSE),"")</f>
        <v>Unidad</v>
      </c>
      <c r="D3959" s="25">
        <v>40</v>
      </c>
      <c r="E3959" s="28">
        <v>2400</v>
      </c>
      <c r="F3959" s="27">
        <f t="shared" ca="1" si="119"/>
        <v>96000</v>
      </c>
    </row>
    <row r="3960" spans="1:6" ht="14.25" customHeight="1" x14ac:dyDescent="0.25">
      <c r="A3960" s="25" t="s">
        <v>425</v>
      </c>
      <c r="B3960" s="26" t="str">
        <f ca="1">IFERROR(INDEX(UNSPSCDes,MATCH(INDIRECT(ADDRESS(ROW(),COLUMN()-1,4)),UNSPSCCode,0)),IF(INDIRECT(ADDRESS(ROW(),COLUMN()-1,4))="47131502","Pañitos o toallas para limpiar",""))</f>
        <v>Pañitos o toallas para limpiar</v>
      </c>
      <c r="C3960" s="58" t="str">
        <f>IFERROR(VLOOKUP("UD",'Informacion '!P:Q,2,FALSE),"")</f>
        <v>Unidad</v>
      </c>
      <c r="D3960" s="25">
        <v>15</v>
      </c>
      <c r="E3960" s="28">
        <v>550</v>
      </c>
      <c r="F3960" s="27">
        <f t="shared" ca="1" si="119"/>
        <v>8250</v>
      </c>
    </row>
    <row r="3961" spans="1:6" ht="14.25" customHeight="1" x14ac:dyDescent="0.25">
      <c r="A3961" s="25" t="s">
        <v>422</v>
      </c>
      <c r="B3961" s="26" t="str">
        <f ca="1">IFERROR(INDEX(UNSPSCDes,MATCH(INDIRECT(ADDRESS(ROW(),COLUMN()-1,4)),UNSPSCCode,0)),IF(INDIRECT(ADDRESS(ROW(),COLUMN()-1,4))="24121802","Latas de pintura o barniz",""))</f>
        <v>Latas de pintura o barniz</v>
      </c>
      <c r="C3961" s="58" t="str">
        <f>IFERROR(VLOOKUP("UD",'Informacion '!P:Q,2,FALSE),"")</f>
        <v>Unidad</v>
      </c>
      <c r="D3961" s="25">
        <v>15</v>
      </c>
      <c r="E3961" s="28">
        <v>700</v>
      </c>
      <c r="F3961" s="27">
        <f t="shared" ca="1" si="119"/>
        <v>10500</v>
      </c>
    </row>
    <row r="3962" spans="1:6" ht="14.25" customHeight="1" x14ac:dyDescent="0.25">
      <c r="A3962" s="25" t="s">
        <v>57</v>
      </c>
      <c r="B3962" s="26" t="str">
        <f ca="1">IFERROR(INDEX(UNSPSCDes,MATCH(INDIRECT(ADDRESS(ROW(),COLUMN()-1,4)),UNSPSCCode,0)),IF(INDIRECT(ADDRESS(ROW(),COLUMN()-1,4))="31162201","Remaches ciegos",""))</f>
        <v>Remaches ciegos</v>
      </c>
      <c r="C3962" s="58" t="str">
        <f>IFERROR(VLOOKUP("UD",'Informacion '!P:Q,2,FALSE),"")</f>
        <v>Unidad</v>
      </c>
      <c r="D3962" s="25">
        <v>300</v>
      </c>
      <c r="E3962" s="28">
        <v>0.5</v>
      </c>
      <c r="F3962" s="27">
        <f t="shared" ref="F3962:F3979" ca="1" si="120">INDIRECT(ADDRESS(ROW(),COLUMN()-2,4))*INDIRECT(ADDRESS(ROW(),COLUMN()-1,4))</f>
        <v>150</v>
      </c>
    </row>
    <row r="3963" spans="1:6" ht="14.25" customHeight="1" x14ac:dyDescent="0.25">
      <c r="A3963" s="25" t="s">
        <v>57</v>
      </c>
      <c r="B3963" s="26" t="str">
        <f ca="1">IFERROR(INDEX(UNSPSCDes,MATCH(INDIRECT(ADDRESS(ROW(),COLUMN()-1,4)),UNSPSCCode,0)),IF(INDIRECT(ADDRESS(ROW(),COLUMN()-1,4))="31162201","Remaches ciegos",""))</f>
        <v>Remaches ciegos</v>
      </c>
      <c r="C3963" s="58" t="str">
        <f>IFERROR(VLOOKUP("UD",'Informacion '!P:Q,2,FALSE),"")</f>
        <v>Unidad</v>
      </c>
      <c r="D3963" s="25">
        <v>300</v>
      </c>
      <c r="E3963" s="28">
        <v>0.5</v>
      </c>
      <c r="F3963" s="27">
        <f t="shared" ca="1" si="120"/>
        <v>150</v>
      </c>
    </row>
    <row r="3964" spans="1:6" ht="14.25" customHeight="1" x14ac:dyDescent="0.25">
      <c r="A3964" s="25" t="s">
        <v>108</v>
      </c>
      <c r="B3964" s="26" t="str">
        <f ca="1">IFERROR(INDEX(UNSPSCDes,MATCH(INDIRECT(ADDRESS(ROW(),COLUMN()-1,4)),UNSPSCCode,0)),IF(INDIRECT(ADDRESS(ROW(),COLUMN()-1,4))="47121808","Equipo de limpieza de drenajes o tubos",""))</f>
        <v>Equipo de limpieza de drenajes o tubos</v>
      </c>
      <c r="C3964" s="58" t="str">
        <f>IFERROR(VLOOKUP("UD",'Informacion '!P:Q,2,FALSE),"")</f>
        <v>Unidad</v>
      </c>
      <c r="D3964" s="25">
        <v>10</v>
      </c>
      <c r="E3964" s="28">
        <v>10000</v>
      </c>
      <c r="F3964" s="27">
        <f t="shared" ca="1" si="120"/>
        <v>100000</v>
      </c>
    </row>
    <row r="3965" spans="1:6" ht="14.25" customHeight="1" x14ac:dyDescent="0.25">
      <c r="A3965" s="25" t="s">
        <v>806</v>
      </c>
      <c r="B3965" s="26" t="str">
        <f ca="1">IFERROR(INDEX(UNSPSCDes,MATCH(INDIRECT(ADDRESS(ROW(),COLUMN()-1,4)),UNSPSCCode,0)),IF(INDIRECT(ADDRESS(ROW(),COLUMN()-1,4))="30171514","Cerradores de puertas",""))</f>
        <v>Cerradores de puertas</v>
      </c>
      <c r="C3965" s="58" t="str">
        <f>IFERROR(VLOOKUP("UD",'Informacion '!P:Q,2,FALSE),"")</f>
        <v>Unidad</v>
      </c>
      <c r="D3965" s="25">
        <v>30</v>
      </c>
      <c r="E3965" s="28">
        <v>3200</v>
      </c>
      <c r="F3965" s="27">
        <f t="shared" ca="1" si="120"/>
        <v>96000</v>
      </c>
    </row>
    <row r="3966" spans="1:6" ht="14.25" customHeight="1" x14ac:dyDescent="0.25">
      <c r="A3966" s="25" t="s">
        <v>806</v>
      </c>
      <c r="B3966" s="26" t="str">
        <f ca="1">IFERROR(INDEX(UNSPSCDes,MATCH(INDIRECT(ADDRESS(ROW(),COLUMN()-1,4)),UNSPSCCode,0)),IF(INDIRECT(ADDRESS(ROW(),COLUMN()-1,4))="30171514","Cerradores de puertas",""))</f>
        <v>Cerradores de puertas</v>
      </c>
      <c r="C3966" s="58" t="str">
        <f>IFERROR(VLOOKUP("UD",'Informacion '!P:Q,2,FALSE),"")</f>
        <v>Unidad</v>
      </c>
      <c r="D3966" s="25">
        <v>30</v>
      </c>
      <c r="E3966" s="28">
        <v>3200</v>
      </c>
      <c r="F3966" s="27">
        <f t="shared" ca="1" si="120"/>
        <v>96000</v>
      </c>
    </row>
    <row r="3967" spans="1:6" ht="14.25" customHeight="1" x14ac:dyDescent="0.25">
      <c r="A3967" s="25" t="s">
        <v>525</v>
      </c>
      <c r="B3967" s="26" t="str">
        <f ca="1">IFERROR(INDEX(UNSPSCDes,MATCH(INDIRECT(ADDRESS(ROW(),COLUMN()-1,4)),UNSPSCCode,0)),IF(INDIRECT(ADDRESS(ROW(),COLUMN()-1,4))="31162804","Topes de puerta",""))</f>
        <v>Topes de puerta</v>
      </c>
      <c r="C3967" s="58" t="str">
        <f>IFERROR(VLOOKUP("UD",'Informacion '!P:Q,2,FALSE),"")</f>
        <v>Unidad</v>
      </c>
      <c r="D3967" s="25">
        <v>30</v>
      </c>
      <c r="E3967" s="28">
        <v>350</v>
      </c>
      <c r="F3967" s="27">
        <f t="shared" ca="1" si="120"/>
        <v>10500</v>
      </c>
    </row>
    <row r="3968" spans="1:6" ht="14.25" customHeight="1" x14ac:dyDescent="0.25">
      <c r="A3968" s="25" t="s">
        <v>2</v>
      </c>
      <c r="B3968" s="26" t="str">
        <f ca="1">IFERROR(INDEX(UNSPSCDes,MATCH(INDIRECT(ADDRESS(ROW(),COLUMN()-1,4)),UNSPSCCode,0)),IF(INDIRECT(ADDRESS(ROW(),COLUMN()-1,4))="15121524","Aceites de templado",""))</f>
        <v>Aceites de templado</v>
      </c>
      <c r="C3968" s="58" t="str">
        <f>IFERROR(VLOOKUP("UD",'Informacion '!P:Q,2,FALSE),"")</f>
        <v>Unidad</v>
      </c>
      <c r="D3968" s="25">
        <v>10</v>
      </c>
      <c r="E3968" s="28">
        <v>240</v>
      </c>
      <c r="F3968" s="27">
        <f t="shared" ca="1" si="120"/>
        <v>2400</v>
      </c>
    </row>
    <row r="3969" spans="1:10" ht="14.25" customHeight="1" x14ac:dyDescent="0.25">
      <c r="A3969" s="25" t="s">
        <v>537</v>
      </c>
      <c r="B3969" s="26" t="str">
        <f ca="1">IFERROR(INDEX(UNSPSCDes,MATCH(INDIRECT(ADDRESS(ROW(),COLUMN()-1,4)),UNSPSCCode,0)),IF(INDIRECT(ADDRESS(ROW(),COLUMN()-1,4))="47131707","Secadores de manos institucionales",""))</f>
        <v>Secadores de manos institucionales</v>
      </c>
      <c r="C3969" s="58" t="str">
        <f>IFERROR(VLOOKUP("UD",'Informacion '!P:Q,2,FALSE),"")</f>
        <v>Unidad</v>
      </c>
      <c r="D3969" s="25">
        <v>25</v>
      </c>
      <c r="E3969" s="28">
        <v>18000</v>
      </c>
      <c r="F3969" s="27">
        <f t="shared" ca="1" si="120"/>
        <v>450000</v>
      </c>
    </row>
    <row r="3970" spans="1:10" ht="14.25" customHeight="1" x14ac:dyDescent="0.25">
      <c r="A3970" s="25" t="s">
        <v>422</v>
      </c>
      <c r="B3970" s="26" t="str">
        <f ca="1">IFERROR(INDEX(UNSPSCDes,MATCH(INDIRECT(ADDRESS(ROW(),COLUMN()-1,4)),UNSPSCCode,0)),IF(INDIRECT(ADDRESS(ROW(),COLUMN()-1,4))="24121802","Latas de pintura o barniz",""))</f>
        <v>Latas de pintura o barniz</v>
      </c>
      <c r="C3970" s="58" t="str">
        <f>IFERROR(VLOOKUP("UD",'Informacion '!P:Q,2,FALSE),"")</f>
        <v>Unidad</v>
      </c>
      <c r="D3970" s="25">
        <v>10</v>
      </c>
      <c r="E3970" s="28">
        <v>740</v>
      </c>
      <c r="F3970" s="27">
        <f t="shared" ca="1" si="120"/>
        <v>7400</v>
      </c>
    </row>
    <row r="3971" spans="1:10" ht="14.25" customHeight="1" x14ac:dyDescent="0.25">
      <c r="A3971" s="25" t="s">
        <v>422</v>
      </c>
      <c r="B3971" s="26" t="str">
        <f ca="1">IFERROR(INDEX(UNSPSCDes,MATCH(INDIRECT(ADDRESS(ROW(),COLUMN()-1,4)),UNSPSCCode,0)),IF(INDIRECT(ADDRESS(ROW(),COLUMN()-1,4))="24121802","Latas de pintura o barniz",""))</f>
        <v>Latas de pintura o barniz</v>
      </c>
      <c r="C3971" s="58" t="str">
        <f>IFERROR(VLOOKUP("UD",'Informacion '!P:Q,2,FALSE),"")</f>
        <v>Unidad</v>
      </c>
      <c r="D3971" s="25">
        <v>10</v>
      </c>
      <c r="E3971" s="28">
        <v>740</v>
      </c>
      <c r="F3971" s="27">
        <f t="shared" ca="1" si="120"/>
        <v>7400</v>
      </c>
    </row>
    <row r="3972" spans="1:10" ht="14.25" customHeight="1" x14ac:dyDescent="0.25">
      <c r="A3972" s="25" t="s">
        <v>422</v>
      </c>
      <c r="B3972" s="26" t="str">
        <f ca="1">IFERROR(INDEX(UNSPSCDes,MATCH(INDIRECT(ADDRESS(ROW(),COLUMN()-1,4)),UNSPSCCode,0)),IF(INDIRECT(ADDRESS(ROW(),COLUMN()-1,4))="24121802","Latas de pintura o barniz",""))</f>
        <v>Latas de pintura o barniz</v>
      </c>
      <c r="C3972" s="58" t="str">
        <f>IFERROR(VLOOKUP("UD",'Informacion '!P:Q,2,FALSE),"")</f>
        <v>Unidad</v>
      </c>
      <c r="D3972" s="25">
        <v>10</v>
      </c>
      <c r="E3972" s="28">
        <v>740</v>
      </c>
      <c r="F3972" s="27">
        <f t="shared" ca="1" si="120"/>
        <v>7400</v>
      </c>
    </row>
    <row r="3973" spans="1:10" ht="14.25" customHeight="1" x14ac:dyDescent="0.25">
      <c r="A3973" s="25" t="s">
        <v>274</v>
      </c>
      <c r="B3973" s="26" t="str">
        <f ca="1">IFERROR(INDEX(UNSPSCDes,MATCH(INDIRECT(ADDRESS(ROW(),COLUMN()-1,4)),UNSPSCCode,0)),IF(INDIRECT(ADDRESS(ROW(),COLUMN()-1,4))="23131507","Tela para lijar",""))</f>
        <v>Tela para lijar</v>
      </c>
      <c r="C3973" s="58" t="str">
        <f>IFERROR(VLOOKUP("UD",'Informacion '!P:Q,2,FALSE),"")</f>
        <v>Unidad</v>
      </c>
      <c r="D3973" s="25">
        <v>100</v>
      </c>
      <c r="E3973" s="28">
        <v>90</v>
      </c>
      <c r="F3973" s="27">
        <f t="shared" ca="1" si="120"/>
        <v>9000</v>
      </c>
    </row>
    <row r="3974" spans="1:10" ht="14.25" customHeight="1" x14ac:dyDescent="0.25">
      <c r="A3974" s="25" t="s">
        <v>274</v>
      </c>
      <c r="B3974" s="26" t="str">
        <f ca="1">IFERROR(INDEX(UNSPSCDes,MATCH(INDIRECT(ADDRESS(ROW(),COLUMN()-1,4)),UNSPSCCode,0)),IF(INDIRECT(ADDRESS(ROW(),COLUMN()-1,4))="23131507","Tela para lijar",""))</f>
        <v>Tela para lijar</v>
      </c>
      <c r="C3974" s="58" t="str">
        <f>IFERROR(VLOOKUP("UD",'Informacion '!P:Q,2,FALSE),"")</f>
        <v>Unidad</v>
      </c>
      <c r="D3974" s="25">
        <v>100</v>
      </c>
      <c r="E3974" s="28">
        <v>93</v>
      </c>
      <c r="F3974" s="27">
        <f t="shared" ca="1" si="120"/>
        <v>9300</v>
      </c>
    </row>
    <row r="3975" spans="1:10" ht="14.25" customHeight="1" x14ac:dyDescent="0.25">
      <c r="A3975" s="25" t="s">
        <v>274</v>
      </c>
      <c r="B3975" s="26" t="str">
        <f ca="1">IFERROR(INDEX(UNSPSCDes,MATCH(INDIRECT(ADDRESS(ROW(),COLUMN()-1,4)),UNSPSCCode,0)),IF(INDIRECT(ADDRESS(ROW(),COLUMN()-1,4))="23131507","Tela para lijar",""))</f>
        <v>Tela para lijar</v>
      </c>
      <c r="C3975" s="58" t="str">
        <f>IFERROR(VLOOKUP("UD",'Informacion '!P:Q,2,FALSE),"")</f>
        <v>Unidad</v>
      </c>
      <c r="D3975" s="25">
        <v>100</v>
      </c>
      <c r="E3975" s="28">
        <v>25</v>
      </c>
      <c r="F3975" s="27">
        <f t="shared" ca="1" si="120"/>
        <v>2500</v>
      </c>
    </row>
    <row r="3976" spans="1:10" ht="14.25" customHeight="1" x14ac:dyDescent="0.25">
      <c r="A3976" s="25" t="s">
        <v>274</v>
      </c>
      <c r="B3976" s="26" t="str">
        <f ca="1">IFERROR(INDEX(UNSPSCDes,MATCH(INDIRECT(ADDRESS(ROW(),COLUMN()-1,4)),UNSPSCCode,0)),IF(INDIRECT(ADDRESS(ROW(),COLUMN()-1,4))="23131507","Tela para lijar",""))</f>
        <v>Tela para lijar</v>
      </c>
      <c r="C3976" s="58" t="str">
        <f>IFERROR(VLOOKUP("UD",'Informacion '!P:Q,2,FALSE),"")</f>
        <v>Unidad</v>
      </c>
      <c r="D3976" s="25">
        <v>100</v>
      </c>
      <c r="E3976" s="28">
        <v>80</v>
      </c>
      <c r="F3976" s="27">
        <f t="shared" ca="1" si="120"/>
        <v>8000</v>
      </c>
    </row>
    <row r="3977" spans="1:10" ht="14.25" customHeight="1" x14ac:dyDescent="0.25">
      <c r="A3977" s="25" t="s">
        <v>959</v>
      </c>
      <c r="B3977" s="26" t="str">
        <f ca="1">IFERROR(INDEX(UNSPSCDes,MATCH(INDIRECT(ADDRESS(ROW(),COLUMN()-1,4)),UNSPSCCode,0)),IF(INDIRECT(ADDRESS(ROW(),COLUMN()-1,4))="40141610","Válvulas de flotación",""))</f>
        <v>Válvulas de flotación</v>
      </c>
      <c r="C3977" s="58" t="str">
        <f>IFERROR(VLOOKUP("UD",'Informacion '!P:Q,2,FALSE),"")</f>
        <v>Unidad</v>
      </c>
      <c r="D3977" s="25">
        <v>3</v>
      </c>
      <c r="E3977" s="28">
        <v>331</v>
      </c>
      <c r="F3977" s="27">
        <f t="shared" ca="1" si="120"/>
        <v>993</v>
      </c>
    </row>
    <row r="3978" spans="1:10" ht="14.25" customHeight="1" x14ac:dyDescent="0.25">
      <c r="A3978" s="25" t="s">
        <v>574</v>
      </c>
      <c r="B3978" s="26" t="str">
        <f ca="1">IFERROR(INDEX(UNSPSCDes,MATCH(INDIRECT(ADDRESS(ROW(),COLUMN()-1,4)),UNSPSCCode,0)),IF(INDIRECT(ADDRESS(ROW(),COLUMN()-1,4))="21101801","Rociadores",""))</f>
        <v>Rociadores</v>
      </c>
      <c r="C3978" s="58" t="str">
        <f>IFERROR(VLOOKUP("UD",'Informacion '!P:Q,2,FALSE),"")</f>
        <v>Unidad</v>
      </c>
      <c r="D3978" s="25">
        <v>4</v>
      </c>
      <c r="E3978" s="28">
        <v>12600</v>
      </c>
      <c r="F3978" s="27">
        <f t="shared" ca="1" si="120"/>
        <v>50400</v>
      </c>
    </row>
    <row r="3979" spans="1:10" ht="14.25" customHeight="1" x14ac:dyDescent="0.25">
      <c r="A3979" s="25" t="s">
        <v>830</v>
      </c>
      <c r="B3979" s="26" t="str">
        <f ca="1">IFERROR(INDEX(UNSPSCDes,MATCH(INDIRECT(ADDRESS(ROW(),COLUMN()-1,4)),UNSPSCCode,0)),IF(INDIRECT(ADDRESS(ROW(),COLUMN()-1,4))="27113204","Kits de electricista",""))</f>
        <v>Kits de electricista</v>
      </c>
      <c r="C3979" s="58" t="str">
        <f>IFERROR(VLOOKUP("UD",'Informacion '!P:Q,2,FALSE),"")</f>
        <v>Unidad</v>
      </c>
      <c r="D3979" s="25">
        <v>1</v>
      </c>
      <c r="E3979" s="28">
        <v>2396.1999999999998</v>
      </c>
      <c r="F3979" s="27">
        <f t="shared" ca="1" si="120"/>
        <v>2396.1999999999998</v>
      </c>
    </row>
    <row r="3980" spans="1:10" ht="14.25" customHeight="1" x14ac:dyDescent="0.25">
      <c r="E3980" s="30" t="s">
        <v>816</v>
      </c>
      <c r="F3980" s="31">
        <f ca="1">SUM(Table214[MONTO TOTAL ESTIMADO])</f>
        <v>1807092.58</v>
      </c>
      <c r="H3980" s="21" t="str">
        <f>C3891</f>
        <v>Bienes</v>
      </c>
      <c r="I3980" s="21" t="str">
        <f>E3891</f>
        <v>No</v>
      </c>
      <c r="J3980" s="21" t="str">
        <f>D3891</f>
        <v>Compras Menores</v>
      </c>
    </row>
    <row r="3982" spans="1:10" ht="33.950000000000003" customHeight="1" x14ac:dyDescent="0.25">
      <c r="A3982" s="22" t="s">
        <v>1051</v>
      </c>
      <c r="B3982" s="22" t="s">
        <v>11</v>
      </c>
      <c r="C3982" s="22" t="s">
        <v>751</v>
      </c>
      <c r="D3982" s="22" t="s">
        <v>930</v>
      </c>
      <c r="E3982" s="22" t="s">
        <v>699</v>
      </c>
      <c r="F3982" s="22" t="s">
        <v>710</v>
      </c>
    </row>
    <row r="3983" spans="1:10" ht="14.25" customHeight="1" x14ac:dyDescent="0.25">
      <c r="A3983" s="23" t="s">
        <v>1006</v>
      </c>
      <c r="B3983" s="23" t="s">
        <v>1006</v>
      </c>
      <c r="C3983" s="23" t="s">
        <v>1155</v>
      </c>
      <c r="D3983" s="23" t="s">
        <v>1128</v>
      </c>
      <c r="E3983" s="23" t="s">
        <v>1156</v>
      </c>
      <c r="F3983" s="23" t="s">
        <v>436</v>
      </c>
    </row>
    <row r="3984" spans="1:10" ht="14.25" customHeight="1" x14ac:dyDescent="0.25">
      <c r="A3984" s="68" t="s">
        <v>965</v>
      </c>
      <c r="B3984" s="24" t="s">
        <v>543</v>
      </c>
      <c r="C3984" s="54">
        <v>46204</v>
      </c>
      <c r="D3984" s="68" t="s">
        <v>598</v>
      </c>
      <c r="E3984" s="56" t="s">
        <v>858</v>
      </c>
      <c r="F3984" s="57" t="s">
        <v>184</v>
      </c>
    </row>
    <row r="3985" spans="1:10" ht="14.25" customHeight="1" x14ac:dyDescent="0.25">
      <c r="A3985" s="69"/>
      <c r="B3985" s="24" t="s">
        <v>112</v>
      </c>
      <c r="C3985" s="55">
        <f>IF(C3984="","",IF(AND(MONTH(C3984)&gt;=1,MONTH(C3984)&lt;=3),1,IF(AND(MONTH(C3984)&gt;=4,MONTH(C3984)&lt;=6),2,IF(AND(MONTH(C3984)&gt;=7,MONTH(C3984)&lt;=9),3,4))))</f>
        <v>3</v>
      </c>
      <c r="D3985" s="69"/>
      <c r="E3985" s="56" t="s">
        <v>143</v>
      </c>
      <c r="F3985" s="57"/>
    </row>
    <row r="3986" spans="1:10" ht="14.25" customHeight="1" x14ac:dyDescent="0.25">
      <c r="A3986" s="69"/>
      <c r="B3986" s="24" t="s">
        <v>844</v>
      </c>
      <c r="C3986" s="54">
        <v>46234</v>
      </c>
      <c r="D3986" s="69"/>
      <c r="E3986" s="56" t="s">
        <v>183</v>
      </c>
      <c r="F3986" s="57"/>
    </row>
    <row r="3987" spans="1:10" ht="14.25" customHeight="1" x14ac:dyDescent="0.25">
      <c r="A3987" s="69"/>
      <c r="B3987" s="24" t="s">
        <v>112</v>
      </c>
      <c r="C3987" s="55">
        <f>IF(C3986="","",IF(AND(MONTH(C3986)&gt;=1,MONTH(C3986)&lt;=3),1,IF(AND(MONTH(C3986)&gt;=4,MONTH(C3986)&lt;=6),2,IF(AND(MONTH(C3986)&gt;=7,MONTH(C3986)&lt;=9),3,4))))</f>
        <v>3</v>
      </c>
      <c r="D3987" s="69"/>
      <c r="E3987" s="56" t="s">
        <v>865</v>
      </c>
      <c r="F3987" s="57"/>
    </row>
    <row r="3989" spans="1:10" ht="14.25" customHeight="1" x14ac:dyDescent="0.25">
      <c r="A3989" s="29" t="s">
        <v>1017</v>
      </c>
      <c r="B3989" s="29" t="s">
        <v>1042</v>
      </c>
      <c r="C3989" s="29" t="s">
        <v>1011</v>
      </c>
      <c r="D3989" s="29" t="s">
        <v>985</v>
      </c>
      <c r="E3989" s="29" t="s">
        <v>449</v>
      </c>
      <c r="F3989" s="29" t="s">
        <v>989</v>
      </c>
    </row>
    <row r="3990" spans="1:10" ht="14.25" customHeight="1" x14ac:dyDescent="0.25">
      <c r="A3990" s="25" t="s">
        <v>186</v>
      </c>
      <c r="B3990" s="26" t="str">
        <f ca="1">IFERROR(INDEX(UNSPSCDes,MATCH(INDIRECT(ADDRESS(ROW(),COLUMN()-1,4)),UNSPSCCode,0)),IF(INDIRECT(ADDRESS(ROW(),COLUMN()-1,4))="82121505","Impresión promocional o publicitaria",""))</f>
        <v>Impresión promocional o publicitaria</v>
      </c>
      <c r="C3990" s="58" t="str">
        <f>IFERROR(VLOOKUP("UD",'Informacion '!P:Q,2,FALSE),"")</f>
        <v>Unidad</v>
      </c>
      <c r="D3990" s="25">
        <v>6</v>
      </c>
      <c r="E3990" s="28">
        <v>15000</v>
      </c>
      <c r="F3990" s="27">
        <f ca="1">INDIRECT(ADDRESS(ROW(),COLUMN()-2,4))*INDIRECT(ADDRESS(ROW(),COLUMN()-1,4))</f>
        <v>90000</v>
      </c>
    </row>
    <row r="3991" spans="1:10" ht="14.25" customHeight="1" x14ac:dyDescent="0.25">
      <c r="A3991" s="25" t="s">
        <v>186</v>
      </c>
      <c r="B3991" s="26" t="str">
        <f ca="1">IFERROR(INDEX(UNSPSCDes,MATCH(INDIRECT(ADDRESS(ROW(),COLUMN()-1,4)),UNSPSCCode,0)),IF(INDIRECT(ADDRESS(ROW(),COLUMN()-1,4))="82121505","Impresión promocional o publicitaria",""))</f>
        <v>Impresión promocional o publicitaria</v>
      </c>
      <c r="C3991" s="58" t="str">
        <f>IFERROR(VLOOKUP("UD",'Informacion '!P:Q,2,FALSE),"")</f>
        <v>Unidad</v>
      </c>
      <c r="D3991" s="25">
        <v>6</v>
      </c>
      <c r="E3991" s="28">
        <v>10000</v>
      </c>
      <c r="F3991" s="27">
        <f ca="1">INDIRECT(ADDRESS(ROW(),COLUMN()-2,4))*INDIRECT(ADDRESS(ROW(),COLUMN()-1,4))</f>
        <v>60000</v>
      </c>
    </row>
    <row r="3992" spans="1:10" ht="14.25" customHeight="1" x14ac:dyDescent="0.25">
      <c r="A3992" s="25" t="s">
        <v>186</v>
      </c>
      <c r="B3992" s="26" t="str">
        <f ca="1">IFERROR(INDEX(UNSPSCDes,MATCH(INDIRECT(ADDRESS(ROW(),COLUMN()-1,4)),UNSPSCCode,0)),IF(INDIRECT(ADDRESS(ROW(),COLUMN()-1,4))="82121505","Impresión promocional o publicitaria",""))</f>
        <v>Impresión promocional o publicitaria</v>
      </c>
      <c r="C3992" s="58" t="str">
        <f>IFERROR(VLOOKUP("UD",'Informacion '!P:Q,2,FALSE),"")</f>
        <v>Unidad</v>
      </c>
      <c r="D3992" s="25">
        <v>2</v>
      </c>
      <c r="E3992" s="28">
        <v>100000</v>
      </c>
      <c r="F3992" s="27">
        <f ca="1">INDIRECT(ADDRESS(ROW(),COLUMN()-2,4))*INDIRECT(ADDRESS(ROW(),COLUMN()-1,4))</f>
        <v>200000</v>
      </c>
    </row>
    <row r="3993" spans="1:10" ht="14.25" customHeight="1" x14ac:dyDescent="0.25">
      <c r="A3993" s="25" t="s">
        <v>186</v>
      </c>
      <c r="B3993" s="26" t="str">
        <f ca="1">IFERROR(INDEX(UNSPSCDes,MATCH(INDIRECT(ADDRESS(ROW(),COLUMN()-1,4)),UNSPSCCode,0)),IF(INDIRECT(ADDRESS(ROW(),COLUMN()-1,4))="82121505","Impresión promocional o publicitaria",""))</f>
        <v>Impresión promocional o publicitaria</v>
      </c>
      <c r="C3993" s="58" t="str">
        <f>IFERROR(VLOOKUP("UD",'Informacion '!P:Q,2,FALSE),"")</f>
        <v>Unidad</v>
      </c>
      <c r="D3993" s="25">
        <v>6</v>
      </c>
      <c r="E3993" s="28">
        <v>15000</v>
      </c>
      <c r="F3993" s="27">
        <f ca="1">INDIRECT(ADDRESS(ROW(),COLUMN()-2,4))*INDIRECT(ADDRESS(ROW(),COLUMN()-1,4))</f>
        <v>90000</v>
      </c>
    </row>
    <row r="3994" spans="1:10" ht="14.25" customHeight="1" x14ac:dyDescent="0.25">
      <c r="E3994" s="30" t="s">
        <v>816</v>
      </c>
      <c r="F3994" s="31">
        <f ca="1">SUM(Table215[MONTO TOTAL ESTIMADO])</f>
        <v>440000</v>
      </c>
      <c r="H3994" s="21" t="str">
        <f>C3983</f>
        <v>Bienes</v>
      </c>
      <c r="I3994" s="21" t="str">
        <f>E3983</f>
        <v>No</v>
      </c>
      <c r="J3994" s="21" t="str">
        <f>D3983</f>
        <v>Compras Menores</v>
      </c>
    </row>
    <row r="3996" spans="1:10" ht="33.950000000000003" customHeight="1" x14ac:dyDescent="0.25">
      <c r="A3996" s="22" t="s">
        <v>1051</v>
      </c>
      <c r="B3996" s="22" t="s">
        <v>11</v>
      </c>
      <c r="C3996" s="22" t="s">
        <v>751</v>
      </c>
      <c r="D3996" s="22" t="s">
        <v>930</v>
      </c>
      <c r="E3996" s="22" t="s">
        <v>699</v>
      </c>
      <c r="F3996" s="22" t="s">
        <v>710</v>
      </c>
    </row>
    <row r="3997" spans="1:10" ht="14.25" customHeight="1" x14ac:dyDescent="0.25">
      <c r="A3997" s="23" t="s">
        <v>1024</v>
      </c>
      <c r="B3997" s="23" t="s">
        <v>1024</v>
      </c>
      <c r="C3997" s="23" t="s">
        <v>1155</v>
      </c>
      <c r="D3997" s="23" t="s">
        <v>1128</v>
      </c>
      <c r="E3997" s="23" t="s">
        <v>1156</v>
      </c>
      <c r="F3997" s="23" t="s">
        <v>436</v>
      </c>
    </row>
    <row r="3998" spans="1:10" ht="14.25" customHeight="1" x14ac:dyDescent="0.25">
      <c r="A3998" s="68" t="s">
        <v>965</v>
      </c>
      <c r="B3998" s="24" t="s">
        <v>543</v>
      </c>
      <c r="C3998" s="54">
        <v>46321</v>
      </c>
      <c r="D3998" s="68" t="s">
        <v>598</v>
      </c>
      <c r="E3998" s="56" t="s">
        <v>858</v>
      </c>
      <c r="F3998" s="57" t="s">
        <v>184</v>
      </c>
    </row>
    <row r="3999" spans="1:10" ht="14.25" customHeight="1" x14ac:dyDescent="0.25">
      <c r="A3999" s="69"/>
      <c r="B3999" s="24" t="s">
        <v>112</v>
      </c>
      <c r="C3999" s="55">
        <f>IF(C3998="","",IF(AND(MONTH(C3998)&gt;=1,MONTH(C3998)&lt;=3),1,IF(AND(MONTH(C3998)&gt;=4,MONTH(C3998)&lt;=6),2,IF(AND(MONTH(C3998)&gt;=7,MONTH(C3998)&lt;=9),3,4))))</f>
        <v>4</v>
      </c>
      <c r="D3999" s="69"/>
      <c r="E3999" s="56" t="s">
        <v>143</v>
      </c>
      <c r="F3999" s="57"/>
    </row>
    <row r="4000" spans="1:10" ht="14.25" customHeight="1" x14ac:dyDescent="0.25">
      <c r="A4000" s="69"/>
      <c r="B4000" s="24" t="s">
        <v>844</v>
      </c>
      <c r="C4000" s="54">
        <v>46337</v>
      </c>
      <c r="D4000" s="69"/>
      <c r="E4000" s="56" t="s">
        <v>183</v>
      </c>
      <c r="F4000" s="57"/>
    </row>
    <row r="4001" spans="1:10" ht="14.25" customHeight="1" x14ac:dyDescent="0.25">
      <c r="A4001" s="69"/>
      <c r="B4001" s="24" t="s">
        <v>112</v>
      </c>
      <c r="C4001" s="55">
        <f>IF(C4000="","",IF(AND(MONTH(C4000)&gt;=1,MONTH(C4000)&lt;=3),1,IF(AND(MONTH(C4000)&gt;=4,MONTH(C4000)&lt;=6),2,IF(AND(MONTH(C4000)&gt;=7,MONTH(C4000)&lt;=9),3,4))))</f>
        <v>4</v>
      </c>
      <c r="D4001" s="69"/>
      <c r="E4001" s="56" t="s">
        <v>865</v>
      </c>
      <c r="F4001" s="57"/>
    </row>
    <row r="4003" spans="1:10" ht="14.25" customHeight="1" x14ac:dyDescent="0.25">
      <c r="A4003" s="29" t="s">
        <v>1017</v>
      </c>
      <c r="B4003" s="29" t="s">
        <v>1042</v>
      </c>
      <c r="C4003" s="29" t="s">
        <v>1011</v>
      </c>
      <c r="D4003" s="29" t="s">
        <v>985</v>
      </c>
      <c r="E4003" s="29" t="s">
        <v>449</v>
      </c>
      <c r="F4003" s="29" t="s">
        <v>989</v>
      </c>
    </row>
    <row r="4004" spans="1:10" ht="14.25" customHeight="1" x14ac:dyDescent="0.25">
      <c r="A4004" s="25" t="s">
        <v>849</v>
      </c>
      <c r="B4004" s="26" t="str">
        <f ca="1">IFERROR(INDEX(UNSPSCDes,MATCH(INDIRECT(ADDRESS(ROW(),COLUMN()-1,4)),UNSPSCCode,0)),IF(INDIRECT(ADDRESS(ROW(),COLUMN()-1,4))="24121503","Cajas para empacar",""))</f>
        <v>Cajas para empacar</v>
      </c>
      <c r="C4004" s="58" t="str">
        <f>IFERROR(VLOOKUP("UD",'Informacion '!P:Q,2,FALSE),"")</f>
        <v>Unidad</v>
      </c>
      <c r="D4004" s="25">
        <v>1500</v>
      </c>
      <c r="E4004" s="28">
        <v>188.8</v>
      </c>
      <c r="F4004" s="27">
        <f ca="1">INDIRECT(ADDRESS(ROW(),COLUMN()-2,4))*INDIRECT(ADDRESS(ROW(),COLUMN()-1,4))</f>
        <v>283200</v>
      </c>
    </row>
    <row r="4005" spans="1:10" ht="14.25" customHeight="1" x14ac:dyDescent="0.25">
      <c r="E4005" s="30" t="s">
        <v>816</v>
      </c>
      <c r="F4005" s="31">
        <f ca="1">SUM(Table216[MONTO TOTAL ESTIMADO])</f>
        <v>283200</v>
      </c>
      <c r="H4005" s="21" t="str">
        <f>C3997</f>
        <v>Bienes</v>
      </c>
      <c r="I4005" s="21" t="str">
        <f>E3997</f>
        <v>No</v>
      </c>
      <c r="J4005" s="21" t="str">
        <f>D3997</f>
        <v>Compras Menores</v>
      </c>
    </row>
    <row r="4007" spans="1:10" ht="33.950000000000003" customHeight="1" x14ac:dyDescent="0.25">
      <c r="A4007" s="22" t="s">
        <v>1051</v>
      </c>
      <c r="B4007" s="22" t="s">
        <v>11</v>
      </c>
      <c r="C4007" s="22" t="s">
        <v>751</v>
      </c>
      <c r="D4007" s="22" t="s">
        <v>930</v>
      </c>
      <c r="E4007" s="22" t="s">
        <v>699</v>
      </c>
      <c r="F4007" s="22" t="s">
        <v>710</v>
      </c>
    </row>
    <row r="4008" spans="1:10" ht="14.25" customHeight="1" x14ac:dyDescent="0.25">
      <c r="A4008" s="23" t="s">
        <v>130</v>
      </c>
      <c r="B4008" s="23" t="s">
        <v>130</v>
      </c>
      <c r="C4008" s="23" t="s">
        <v>1155</v>
      </c>
      <c r="D4008" s="23" t="s">
        <v>1128</v>
      </c>
      <c r="E4008" s="23" t="s">
        <v>1156</v>
      </c>
      <c r="F4008" s="23" t="s">
        <v>436</v>
      </c>
    </row>
    <row r="4009" spans="1:10" ht="14.25" customHeight="1" x14ac:dyDescent="0.25">
      <c r="A4009" s="68" t="s">
        <v>965</v>
      </c>
      <c r="B4009" s="24" t="s">
        <v>543</v>
      </c>
      <c r="C4009" s="54">
        <v>46146</v>
      </c>
      <c r="D4009" s="68" t="s">
        <v>598</v>
      </c>
      <c r="E4009" s="56" t="s">
        <v>858</v>
      </c>
      <c r="F4009" s="57" t="s">
        <v>184</v>
      </c>
    </row>
    <row r="4010" spans="1:10" ht="14.25" customHeight="1" x14ac:dyDescent="0.25">
      <c r="A4010" s="69"/>
      <c r="B4010" s="24" t="s">
        <v>112</v>
      </c>
      <c r="C4010" s="55">
        <f>IF(C4009="","",IF(AND(MONTH(C4009)&gt;=1,MONTH(C4009)&lt;=3),1,IF(AND(MONTH(C4009)&gt;=4,MONTH(C4009)&lt;=6),2,IF(AND(MONTH(C4009)&gt;=7,MONTH(C4009)&lt;=9),3,4))))</f>
        <v>2</v>
      </c>
      <c r="D4010" s="69"/>
      <c r="E4010" s="56" t="s">
        <v>143</v>
      </c>
      <c r="F4010" s="57"/>
    </row>
    <row r="4011" spans="1:10" ht="14.25" customHeight="1" x14ac:dyDescent="0.25">
      <c r="A4011" s="69"/>
      <c r="B4011" s="24" t="s">
        <v>844</v>
      </c>
      <c r="C4011" s="54">
        <v>46172</v>
      </c>
      <c r="D4011" s="69"/>
      <c r="E4011" s="56" t="s">
        <v>183</v>
      </c>
      <c r="F4011" s="57"/>
    </row>
    <row r="4012" spans="1:10" ht="14.25" customHeight="1" x14ac:dyDescent="0.25">
      <c r="A4012" s="69"/>
      <c r="B4012" s="24" t="s">
        <v>112</v>
      </c>
      <c r="C4012" s="55">
        <f>IF(C4011="","",IF(AND(MONTH(C4011)&gt;=1,MONTH(C4011)&lt;=3),1,IF(AND(MONTH(C4011)&gt;=4,MONTH(C4011)&lt;=6),2,IF(AND(MONTH(C4011)&gt;=7,MONTH(C4011)&lt;=9),3,4))))</f>
        <v>2</v>
      </c>
      <c r="D4012" s="69"/>
      <c r="E4012" s="56" t="s">
        <v>865</v>
      </c>
      <c r="F4012" s="57"/>
    </row>
    <row r="4014" spans="1:10" ht="14.25" customHeight="1" x14ac:dyDescent="0.25">
      <c r="A4014" s="29" t="s">
        <v>1017</v>
      </c>
      <c r="B4014" s="29" t="s">
        <v>1042</v>
      </c>
      <c r="C4014" s="29" t="s">
        <v>1011</v>
      </c>
      <c r="D4014" s="29" t="s">
        <v>985</v>
      </c>
      <c r="E4014" s="29" t="s">
        <v>449</v>
      </c>
      <c r="F4014" s="29" t="s">
        <v>989</v>
      </c>
    </row>
    <row r="4015" spans="1:10" ht="14.25" customHeight="1" x14ac:dyDescent="0.25">
      <c r="A4015" s="25" t="s">
        <v>149</v>
      </c>
      <c r="B4015" s="26" t="str">
        <f ca="1">IFERROR(INDEX(UNSPSCDes,MATCH(INDIRECT(ADDRESS(ROW(),COLUMN()-1,4)),UNSPSCCode,0)),IF(INDIRECT(ADDRESS(ROW(),COLUMN()-1,4))="42182201","Termómetros electrónicos para uso médico",""))</f>
        <v>Termómetros electrónicos para uso médico</v>
      </c>
      <c r="C4015" s="58" t="str">
        <f>IFERROR(VLOOKUP("UD",'Informacion '!P:Q,2,FALSE),"")</f>
        <v>Unidad</v>
      </c>
      <c r="D4015" s="25">
        <v>4</v>
      </c>
      <c r="E4015" s="28">
        <v>400</v>
      </c>
      <c r="F4015" s="27">
        <f t="shared" ref="F4015:F4028" ca="1" si="121">INDIRECT(ADDRESS(ROW(),COLUMN()-2,4))*INDIRECT(ADDRESS(ROW(),COLUMN()-1,4))</f>
        <v>1600</v>
      </c>
    </row>
    <row r="4016" spans="1:10" ht="14.25" customHeight="1" x14ac:dyDescent="0.25">
      <c r="A4016" s="25" t="s">
        <v>363</v>
      </c>
      <c r="B4016" s="26" t="str">
        <f ca="1">IFERROR(INDEX(UNSPSCDes,MATCH(INDIRECT(ADDRESS(ROW(),COLUMN()-1,4)),UNSPSCCode,0)),IF(INDIRECT(ADDRESS(ROW(),COLUMN()-1,4))="41115830","Analizadores de glucosa",""))</f>
        <v>Analizadores de glucosa</v>
      </c>
      <c r="C4016" s="58" t="str">
        <f>IFERROR(VLOOKUP("CAJ",'Informacion '!P:Q,2,FALSE),"")</f>
        <v>Caja</v>
      </c>
      <c r="D4016" s="25">
        <v>4</v>
      </c>
      <c r="E4016" s="28">
        <v>1200</v>
      </c>
      <c r="F4016" s="27">
        <f t="shared" ca="1" si="121"/>
        <v>4800</v>
      </c>
    </row>
    <row r="4017" spans="1:10" ht="14.25" customHeight="1" x14ac:dyDescent="0.25">
      <c r="A4017" s="25" t="s">
        <v>363</v>
      </c>
      <c r="B4017" s="26" t="str">
        <f ca="1">IFERROR(INDEX(UNSPSCDes,MATCH(INDIRECT(ADDRESS(ROW(),COLUMN()-1,4)),UNSPSCCode,0)),IF(INDIRECT(ADDRESS(ROW(),COLUMN()-1,4))="41115830","Analizadores de glucosa",""))</f>
        <v>Analizadores de glucosa</v>
      </c>
      <c r="C4017" s="58" t="str">
        <f>IFERROR(VLOOKUP("CAJ",'Informacion '!P:Q,2,FALSE),"")</f>
        <v>Caja</v>
      </c>
      <c r="D4017" s="25">
        <v>4</v>
      </c>
      <c r="E4017" s="28">
        <v>900</v>
      </c>
      <c r="F4017" s="27">
        <f t="shared" ca="1" si="121"/>
        <v>3600</v>
      </c>
    </row>
    <row r="4018" spans="1:10" ht="14.25" customHeight="1" x14ac:dyDescent="0.25">
      <c r="A4018" s="25" t="s">
        <v>455</v>
      </c>
      <c r="B4018" s="26" t="str">
        <f ca="1">IFERROR(INDEX(UNSPSCDes,MATCH(INDIRECT(ADDRESS(ROW(),COLUMN()-1,4)),UNSPSCCode,0)),IF(INDIRECT(ADDRESS(ROW(),COLUMN()-1,4))="42181801","Unidades para oxímetros de pulso",""))</f>
        <v>Unidades para oxímetros de pulso</v>
      </c>
      <c r="C4018" s="58" t="str">
        <f>IFERROR(VLOOKUP("UD",'Informacion '!P:Q,2,FALSE),"")</f>
        <v>Unidad</v>
      </c>
      <c r="D4018" s="25">
        <v>2</v>
      </c>
      <c r="E4018" s="28">
        <v>2500</v>
      </c>
      <c r="F4018" s="27">
        <f t="shared" ca="1" si="121"/>
        <v>5000</v>
      </c>
    </row>
    <row r="4019" spans="1:10" ht="14.25" customHeight="1" x14ac:dyDescent="0.25">
      <c r="A4019" s="25" t="s">
        <v>994</v>
      </c>
      <c r="B4019" s="26" t="str">
        <f ca="1">IFERROR(INDEX(UNSPSCDes,MATCH(INDIRECT(ADDRESS(ROW(),COLUMN()-1,4)),UNSPSCCode,0)),IF(INDIRECT(ADDRESS(ROW(),COLUMN()-1,4))="42291614","Tijeras para uso quirúrgico",""))</f>
        <v>Tijeras para uso quirúrgico</v>
      </c>
      <c r="C4019" s="58" t="str">
        <f>IFERROR(VLOOKUP("UD",'Informacion '!P:Q,2,FALSE),"")</f>
        <v>Unidad</v>
      </c>
      <c r="D4019" s="25">
        <v>2</v>
      </c>
      <c r="E4019" s="28">
        <v>1200</v>
      </c>
      <c r="F4019" s="27">
        <f t="shared" ca="1" si="121"/>
        <v>2400</v>
      </c>
    </row>
    <row r="4020" spans="1:10" ht="14.25" customHeight="1" x14ac:dyDescent="0.25">
      <c r="A4020" s="25" t="s">
        <v>1178</v>
      </c>
      <c r="B4020" s="26" t="str">
        <f ca="1">IFERROR(INDEX(UNSPSCDes,MATCH(INDIRECT(ADDRESS(ROW(),COLUMN()-1,4)),UNSPSCCode,0)),IF(INDIRECT(ADDRESS(ROW(),COLUMN()-1,4))="42171607","Collares cervicales o de extracción de víctimas para servicios médicos de emergencia",""))</f>
        <v>Collares cervicales o de extracción de víctimas para servicios médicos de emergencia</v>
      </c>
      <c r="C4020" s="58" t="str">
        <f>IFERROR(VLOOKUP("UD",'Informacion '!P:Q,2,FALSE),"")</f>
        <v>Unidad</v>
      </c>
      <c r="D4020" s="25">
        <v>7</v>
      </c>
      <c r="E4020" s="28">
        <v>1100</v>
      </c>
      <c r="F4020" s="27">
        <f t="shared" ca="1" si="121"/>
        <v>7700</v>
      </c>
    </row>
    <row r="4021" spans="1:10" ht="14.25" customHeight="1" x14ac:dyDescent="0.25">
      <c r="A4021" s="25" t="s">
        <v>554</v>
      </c>
      <c r="B4021" s="26" t="str">
        <f ca="1">IFERROR(INDEX(UNSPSCDes,MATCH(INDIRECT(ADDRESS(ROW(),COLUMN()-1,4)),UNSPSCCode,0)),IF(INDIRECT(ADDRESS(ROW(),COLUMN()-1,4))="42192207","Camillas para pacientes o accesorios para camillas",""))</f>
        <v>Camillas para pacientes o accesorios para camillas</v>
      </c>
      <c r="C4021" s="58" t="str">
        <f>IFERROR(VLOOKUP("UD",'Informacion '!P:Q,2,FALSE),"")</f>
        <v>Unidad</v>
      </c>
      <c r="D4021" s="25">
        <v>7</v>
      </c>
      <c r="E4021" s="28">
        <v>25300</v>
      </c>
      <c r="F4021" s="27">
        <f t="shared" ca="1" si="121"/>
        <v>177100</v>
      </c>
    </row>
    <row r="4022" spans="1:10" ht="14.25" customHeight="1" x14ac:dyDescent="0.25">
      <c r="A4022" s="25" t="s">
        <v>1106</v>
      </c>
      <c r="B4022" s="26" t="str">
        <f ca="1">IFERROR(INDEX(UNSPSCDes,MATCH(INDIRECT(ADDRESS(ROW(),COLUMN()-1,4)),UNSPSCCode,0)),IF(INDIRECT(ADDRESS(ROW(),COLUMN()-1,4))="42171611","Literas o camillas o accesorios para respuesta de emergencia",""))</f>
        <v>Literas o camillas o accesorios para respuesta de emergencia</v>
      </c>
      <c r="C4022" s="58" t="str">
        <f>IFERROR(VLOOKUP("UD",'Informacion '!P:Q,2,FALSE),"")</f>
        <v>Unidad</v>
      </c>
      <c r="D4022" s="25">
        <v>2</v>
      </c>
      <c r="E4022" s="28">
        <v>4000</v>
      </c>
      <c r="F4022" s="27">
        <f t="shared" ca="1" si="121"/>
        <v>8000</v>
      </c>
    </row>
    <row r="4023" spans="1:10" ht="14.25" customHeight="1" x14ac:dyDescent="0.25">
      <c r="A4023" s="25" t="s">
        <v>1157</v>
      </c>
      <c r="B4023" s="26" t="str">
        <f ca="1">IFERROR(INDEX(UNSPSCDes,MATCH(INDIRECT(ADDRESS(ROW(),COLUMN()-1,4)),UNSPSCCode,0)),IF(INDIRECT(ADDRESS(ROW(),COLUMN()-1,4))="42301506","Estetoscopios de doble audífono",""))</f>
        <v>Estetoscopios de doble audífono</v>
      </c>
      <c r="C4023" s="58" t="str">
        <f>IFERROR(VLOOKUP("UD",'Informacion '!P:Q,2,FALSE),"")</f>
        <v>Unidad</v>
      </c>
      <c r="D4023" s="25">
        <v>7</v>
      </c>
      <c r="E4023" s="28">
        <v>3500</v>
      </c>
      <c r="F4023" s="27">
        <f t="shared" ca="1" si="121"/>
        <v>24500</v>
      </c>
    </row>
    <row r="4024" spans="1:10" ht="14.25" customHeight="1" x14ac:dyDescent="0.25">
      <c r="A4024" s="25" t="s">
        <v>363</v>
      </c>
      <c r="B4024" s="26" t="str">
        <f ca="1">IFERROR(INDEX(UNSPSCDes,MATCH(INDIRECT(ADDRESS(ROW(),COLUMN()-1,4)),UNSPSCCode,0)),IF(INDIRECT(ADDRESS(ROW(),COLUMN()-1,4))="41115830","Analizadores de glucosa",""))</f>
        <v>Analizadores de glucosa</v>
      </c>
      <c r="C4024" s="58" t="str">
        <f>IFERROR(VLOOKUP("UD",'Informacion '!P:Q,2,FALSE),"")</f>
        <v>Unidad</v>
      </c>
      <c r="D4024" s="25">
        <v>2</v>
      </c>
      <c r="E4024" s="28">
        <v>1200</v>
      </c>
      <c r="F4024" s="27">
        <f t="shared" ca="1" si="121"/>
        <v>2400</v>
      </c>
    </row>
    <row r="4025" spans="1:10" ht="14.25" customHeight="1" x14ac:dyDescent="0.25">
      <c r="A4025" s="25" t="s">
        <v>160</v>
      </c>
      <c r="B4025" s="26" t="str">
        <f ca="1">IFERROR(INDEX(UNSPSCDes,MATCH(INDIRECT(ADDRESS(ROW(),COLUMN()-1,4)),UNSPSCCode,0)),IF(INDIRECT(ADDRESS(ROW(),COLUMN()-1,4))="42182206","Termómetros de mercurio para uso médico",""))</f>
        <v>Termómetros de mercurio para uso médico</v>
      </c>
      <c r="C4025" s="58" t="str">
        <f>IFERROR(VLOOKUP("UD",'Informacion '!P:Q,2,FALSE),"")</f>
        <v>Unidad</v>
      </c>
      <c r="D4025" s="25">
        <v>2</v>
      </c>
      <c r="E4025" s="28">
        <v>215940</v>
      </c>
      <c r="F4025" s="27">
        <f t="shared" ca="1" si="121"/>
        <v>431880</v>
      </c>
    </row>
    <row r="4026" spans="1:10" ht="14.25" customHeight="1" x14ac:dyDescent="0.25">
      <c r="A4026" s="25" t="s">
        <v>363</v>
      </c>
      <c r="B4026" s="26" t="str">
        <f ca="1">IFERROR(INDEX(UNSPSCDes,MATCH(INDIRECT(ADDRESS(ROW(),COLUMN()-1,4)),UNSPSCCode,0)),IF(INDIRECT(ADDRESS(ROW(),COLUMN()-1,4))="41115830","Analizadores de glucosa",""))</f>
        <v>Analizadores de glucosa</v>
      </c>
      <c r="C4026" s="58" t="str">
        <f>IFERROR(VLOOKUP("CAJ",'Informacion '!P:Q,2,FALSE),"")</f>
        <v>Caja</v>
      </c>
      <c r="D4026" s="25">
        <v>4</v>
      </c>
      <c r="E4026" s="28">
        <v>1200</v>
      </c>
      <c r="F4026" s="27">
        <f t="shared" ca="1" si="121"/>
        <v>4800</v>
      </c>
    </row>
    <row r="4027" spans="1:10" ht="14.25" customHeight="1" x14ac:dyDescent="0.25">
      <c r="A4027" s="25" t="s">
        <v>363</v>
      </c>
      <c r="B4027" s="26" t="str">
        <f ca="1">IFERROR(INDEX(UNSPSCDes,MATCH(INDIRECT(ADDRESS(ROW(),COLUMN()-1,4)),UNSPSCCode,0)),IF(INDIRECT(ADDRESS(ROW(),COLUMN()-1,4))="41115830","Analizadores de glucosa",""))</f>
        <v>Analizadores de glucosa</v>
      </c>
      <c r="C4027" s="58" t="str">
        <f>IFERROR(VLOOKUP("CAJ",'Informacion '!P:Q,2,FALSE),"")</f>
        <v>Caja</v>
      </c>
      <c r="D4027" s="25">
        <v>4</v>
      </c>
      <c r="E4027" s="28">
        <v>900</v>
      </c>
      <c r="F4027" s="27">
        <f t="shared" ca="1" si="121"/>
        <v>3600</v>
      </c>
    </row>
    <row r="4028" spans="1:10" ht="14.25" customHeight="1" x14ac:dyDescent="0.25">
      <c r="A4028" s="25" t="s">
        <v>363</v>
      </c>
      <c r="B4028" s="26" t="str">
        <f ca="1">IFERROR(INDEX(UNSPSCDes,MATCH(INDIRECT(ADDRESS(ROW(),COLUMN()-1,4)),UNSPSCCode,0)),IF(INDIRECT(ADDRESS(ROW(),COLUMN()-1,4))="41115830","Analizadores de glucosa",""))</f>
        <v>Analizadores de glucosa</v>
      </c>
      <c r="C4028" s="58" t="str">
        <f>IFERROR(VLOOKUP("CAJ",'Informacion '!P:Q,2,FALSE),"")</f>
        <v>Caja</v>
      </c>
      <c r="D4028" s="25">
        <v>4</v>
      </c>
      <c r="E4028" s="28">
        <v>900</v>
      </c>
      <c r="F4028" s="27">
        <f t="shared" ca="1" si="121"/>
        <v>3600</v>
      </c>
    </row>
    <row r="4029" spans="1:10" ht="14.25" customHeight="1" x14ac:dyDescent="0.25">
      <c r="E4029" s="30" t="s">
        <v>816</v>
      </c>
      <c r="F4029" s="31">
        <f ca="1">SUM(Table217[MONTO TOTAL ESTIMADO])</f>
        <v>680980</v>
      </c>
      <c r="H4029" s="21" t="str">
        <f>C4008</f>
        <v>Bienes</v>
      </c>
      <c r="I4029" s="21" t="str">
        <f>E4008</f>
        <v>No</v>
      </c>
      <c r="J4029" s="21" t="str">
        <f>D4008</f>
        <v>Compras Menores</v>
      </c>
    </row>
    <row r="4031" spans="1:10" ht="33.950000000000003" customHeight="1" x14ac:dyDescent="0.25">
      <c r="A4031" s="22" t="s">
        <v>1051</v>
      </c>
      <c r="B4031" s="22" t="s">
        <v>11</v>
      </c>
      <c r="C4031" s="22" t="s">
        <v>751</v>
      </c>
      <c r="D4031" s="22" t="s">
        <v>930</v>
      </c>
      <c r="E4031" s="22" t="s">
        <v>699</v>
      </c>
      <c r="F4031" s="22" t="s">
        <v>710</v>
      </c>
    </row>
    <row r="4032" spans="1:10" ht="14.25" customHeight="1" x14ac:dyDescent="0.25">
      <c r="A4032" s="23" t="s">
        <v>797</v>
      </c>
      <c r="B4032" s="23" t="s">
        <v>797</v>
      </c>
      <c r="C4032" s="23" t="s">
        <v>438</v>
      </c>
      <c r="D4032" s="23" t="s">
        <v>1128</v>
      </c>
      <c r="E4032" s="23" t="s">
        <v>1156</v>
      </c>
      <c r="F4032" s="23" t="s">
        <v>436</v>
      </c>
    </row>
    <row r="4033" spans="1:10" ht="14.25" customHeight="1" x14ac:dyDescent="0.25">
      <c r="A4033" s="68" t="s">
        <v>965</v>
      </c>
      <c r="B4033" s="24" t="s">
        <v>543</v>
      </c>
      <c r="C4033" s="54">
        <v>46221</v>
      </c>
      <c r="D4033" s="68" t="s">
        <v>598</v>
      </c>
      <c r="E4033" s="56" t="s">
        <v>858</v>
      </c>
      <c r="F4033" s="57"/>
    </row>
    <row r="4034" spans="1:10" ht="14.25" customHeight="1" x14ac:dyDescent="0.25">
      <c r="A4034" s="69"/>
      <c r="B4034" s="24" t="s">
        <v>112</v>
      </c>
      <c r="C4034" s="55">
        <f>IF(C4033="","",IF(AND(MONTH(C4033)&gt;=1,MONTH(C4033)&lt;=3),1,IF(AND(MONTH(C4033)&gt;=4,MONTH(C4033)&lt;=6),2,IF(AND(MONTH(C4033)&gt;=7,MONTH(C4033)&lt;=9),3,4))))</f>
        <v>3</v>
      </c>
      <c r="D4034" s="69"/>
      <c r="E4034" s="56" t="s">
        <v>143</v>
      </c>
      <c r="F4034" s="57"/>
    </row>
    <row r="4035" spans="1:10" ht="14.25" customHeight="1" x14ac:dyDescent="0.25">
      <c r="A4035" s="69"/>
      <c r="B4035" s="24" t="s">
        <v>844</v>
      </c>
      <c r="C4035" s="54">
        <v>46265</v>
      </c>
      <c r="D4035" s="69"/>
      <c r="E4035" s="56" t="s">
        <v>183</v>
      </c>
      <c r="F4035" s="57"/>
    </row>
    <row r="4036" spans="1:10" ht="14.25" customHeight="1" x14ac:dyDescent="0.25">
      <c r="A4036" s="69"/>
      <c r="B4036" s="24" t="s">
        <v>112</v>
      </c>
      <c r="C4036" s="55">
        <f>IF(C4035="","",IF(AND(MONTH(C4035)&gt;=1,MONTH(C4035)&lt;=3),1,IF(AND(MONTH(C4035)&gt;=4,MONTH(C4035)&lt;=6),2,IF(AND(MONTH(C4035)&gt;=7,MONTH(C4035)&lt;=9),3,4))))</f>
        <v>3</v>
      </c>
      <c r="D4036" s="69"/>
      <c r="E4036" s="56" t="s">
        <v>865</v>
      </c>
      <c r="F4036" s="57"/>
    </row>
    <row r="4038" spans="1:10" ht="14.25" customHeight="1" x14ac:dyDescent="0.25">
      <c r="A4038" s="29" t="s">
        <v>1017</v>
      </c>
      <c r="B4038" s="29" t="s">
        <v>1042</v>
      </c>
      <c r="C4038" s="29" t="s">
        <v>1011</v>
      </c>
      <c r="D4038" s="29" t="s">
        <v>985</v>
      </c>
      <c r="E4038" s="29" t="s">
        <v>449</v>
      </c>
      <c r="F4038" s="29" t="s">
        <v>989</v>
      </c>
    </row>
    <row r="4039" spans="1:10" ht="14.25" customHeight="1" x14ac:dyDescent="0.25">
      <c r="A4039" s="25" t="s">
        <v>506</v>
      </c>
      <c r="B4039" s="26" t="str">
        <f ca="1">IFERROR(INDEX(UNSPSCDes,MATCH(INDIRECT(ADDRESS(ROW(),COLUMN()-1,4)),UNSPSCCode,0)),IF(INDIRECT(ADDRESS(ROW(),COLUMN()-1,4))="78180101","Servicios de reparar o pintar la carrocería de vehículos",""))</f>
        <v>Servicios de reparar o pintar la carrocería de vehículos</v>
      </c>
      <c r="C4039" s="58" t="str">
        <f>IFERROR(VLOOKUP("UD",'Informacion '!P:Q,2,FALSE),"")</f>
        <v>Unidad</v>
      </c>
      <c r="D4039" s="25">
        <v>1</v>
      </c>
      <c r="E4039" s="28">
        <v>1500000</v>
      </c>
      <c r="F4039" s="27">
        <f ca="1">INDIRECT(ADDRESS(ROW(),COLUMN()-2,4))*INDIRECT(ADDRESS(ROW(),COLUMN()-1,4))</f>
        <v>1500000</v>
      </c>
    </row>
    <row r="4040" spans="1:10" ht="14.25" customHeight="1" x14ac:dyDescent="0.25">
      <c r="E4040" s="30" t="s">
        <v>816</v>
      </c>
      <c r="F4040" s="31">
        <f ca="1">SUM(Table218[MONTO TOTAL ESTIMADO])</f>
        <v>1500000</v>
      </c>
      <c r="H4040" s="21" t="str">
        <f>C4032</f>
        <v>Servicios</v>
      </c>
      <c r="I4040" s="21" t="str">
        <f>E4032</f>
        <v>No</v>
      </c>
      <c r="J4040" s="21" t="str">
        <f>D4032</f>
        <v>Compras Menores</v>
      </c>
    </row>
    <row r="4042" spans="1:10" ht="33.950000000000003" customHeight="1" x14ac:dyDescent="0.25">
      <c r="A4042" s="22" t="s">
        <v>1051</v>
      </c>
      <c r="B4042" s="22" t="s">
        <v>11</v>
      </c>
      <c r="C4042" s="22" t="s">
        <v>751</v>
      </c>
      <c r="D4042" s="22" t="s">
        <v>930</v>
      </c>
      <c r="E4042" s="22" t="s">
        <v>699</v>
      </c>
      <c r="F4042" s="22" t="s">
        <v>710</v>
      </c>
    </row>
    <row r="4043" spans="1:10" ht="14.25" customHeight="1" x14ac:dyDescent="0.25">
      <c r="A4043" s="23" t="s">
        <v>838</v>
      </c>
      <c r="B4043" s="23" t="s">
        <v>838</v>
      </c>
      <c r="C4043" s="23" t="s">
        <v>1155</v>
      </c>
      <c r="D4043" s="23" t="s">
        <v>1128</v>
      </c>
      <c r="E4043" s="23" t="s">
        <v>561</v>
      </c>
      <c r="F4043" s="23" t="s">
        <v>436</v>
      </c>
    </row>
    <row r="4044" spans="1:10" ht="14.25" customHeight="1" x14ac:dyDescent="0.25">
      <c r="A4044" s="68" t="s">
        <v>965</v>
      </c>
      <c r="B4044" s="24" t="s">
        <v>543</v>
      </c>
      <c r="C4044" s="54">
        <v>46143</v>
      </c>
      <c r="D4044" s="68" t="s">
        <v>598</v>
      </c>
      <c r="E4044" s="56" t="s">
        <v>858</v>
      </c>
      <c r="F4044" s="57" t="s">
        <v>184</v>
      </c>
    </row>
    <row r="4045" spans="1:10" ht="14.25" customHeight="1" x14ac:dyDescent="0.25">
      <c r="A4045" s="69"/>
      <c r="B4045" s="24" t="s">
        <v>112</v>
      </c>
      <c r="C4045" s="55">
        <f>IF(C4044="","",IF(AND(MONTH(C4044)&gt;=1,MONTH(C4044)&lt;=3),1,IF(AND(MONTH(C4044)&gt;=4,MONTH(C4044)&lt;=6),2,IF(AND(MONTH(C4044)&gt;=7,MONTH(C4044)&lt;=9),3,4))))</f>
        <v>2</v>
      </c>
      <c r="D4045" s="69"/>
      <c r="E4045" s="56" t="s">
        <v>143</v>
      </c>
      <c r="F4045" s="57"/>
    </row>
    <row r="4046" spans="1:10" ht="14.25" customHeight="1" x14ac:dyDescent="0.25">
      <c r="A4046" s="69"/>
      <c r="B4046" s="24" t="s">
        <v>844</v>
      </c>
      <c r="C4046" s="54">
        <v>46173</v>
      </c>
      <c r="D4046" s="69"/>
      <c r="E4046" s="56" t="s">
        <v>183</v>
      </c>
      <c r="F4046" s="57"/>
    </row>
    <row r="4047" spans="1:10" ht="14.25" customHeight="1" x14ac:dyDescent="0.25">
      <c r="A4047" s="69"/>
      <c r="B4047" s="24" t="s">
        <v>112</v>
      </c>
      <c r="C4047" s="55">
        <f>IF(C4046="","",IF(AND(MONTH(C4046)&gt;=1,MONTH(C4046)&lt;=3),1,IF(AND(MONTH(C4046)&gt;=4,MONTH(C4046)&lt;=6),2,IF(AND(MONTH(C4046)&gt;=7,MONTH(C4046)&lt;=9),3,4))))</f>
        <v>2</v>
      </c>
      <c r="D4047" s="69"/>
      <c r="E4047" s="56" t="s">
        <v>865</v>
      </c>
      <c r="F4047" s="57"/>
    </row>
    <row r="4049" spans="1:6" ht="14.25" customHeight="1" x14ac:dyDescent="0.25">
      <c r="A4049" s="29" t="s">
        <v>1017</v>
      </c>
      <c r="B4049" s="29" t="s">
        <v>1042</v>
      </c>
      <c r="C4049" s="29" t="s">
        <v>1011</v>
      </c>
      <c r="D4049" s="29" t="s">
        <v>985</v>
      </c>
      <c r="E4049" s="29" t="s">
        <v>449</v>
      </c>
      <c r="F4049" s="29" t="s">
        <v>989</v>
      </c>
    </row>
    <row r="4050" spans="1:6" ht="14.25" customHeight="1" x14ac:dyDescent="0.25">
      <c r="A4050" s="25" t="s">
        <v>540</v>
      </c>
      <c r="B4050" s="26" t="str">
        <f ca="1">IFERROR(INDEX(UNSPSCDes,MATCH(INDIRECT(ADDRESS(ROW(),COLUMN()-1,4)),UNSPSCCode,0)),IF(INDIRECT(ADDRESS(ROW(),COLUMN()-1,4))="39121542","Relés de estado sólido",""))</f>
        <v>Relés de estado sólido</v>
      </c>
      <c r="C4050" s="58" t="str">
        <f>IFERROR(VLOOKUP("UD",'Informacion '!P:Q,2,FALSE),"")</f>
        <v>Unidad</v>
      </c>
      <c r="D4050" s="25">
        <v>50</v>
      </c>
      <c r="E4050" s="28">
        <v>300</v>
      </c>
      <c r="F4050" s="27">
        <f t="shared" ref="F4050:F4073" ca="1" si="122">INDIRECT(ADDRESS(ROW(),COLUMN()-2,4))*INDIRECT(ADDRESS(ROW(),COLUMN()-1,4))</f>
        <v>15000</v>
      </c>
    </row>
    <row r="4051" spans="1:6" ht="14.25" customHeight="1" x14ac:dyDescent="0.25">
      <c r="A4051" s="25" t="s">
        <v>700</v>
      </c>
      <c r="B4051" s="26" t="str">
        <f ca="1">IFERROR(INDEX(UNSPSCDes,MATCH(INDIRECT(ADDRESS(ROW(),COLUMN()-1,4)),UNSPSCCode,0)),IF(INDIRECT(ADDRESS(ROW(),COLUMN()-1,4))="40161505","Filtros de aire",""))</f>
        <v>Filtros de aire</v>
      </c>
      <c r="C4051" s="58" t="str">
        <f>IFERROR(VLOOKUP("UD",'Informacion '!P:Q,2,FALSE),"")</f>
        <v>Unidad</v>
      </c>
      <c r="D4051" s="25">
        <v>10</v>
      </c>
      <c r="E4051" s="28">
        <v>605</v>
      </c>
      <c r="F4051" s="27">
        <f t="shared" ca="1" si="122"/>
        <v>6050</v>
      </c>
    </row>
    <row r="4052" spans="1:6" ht="14.25" customHeight="1" x14ac:dyDescent="0.25">
      <c r="A4052" s="25" t="s">
        <v>194</v>
      </c>
      <c r="B4052" s="26" t="str">
        <f ca="1">IFERROR(INDEX(UNSPSCDes,MATCH(INDIRECT(ADDRESS(ROW(),COLUMN()-1,4)),UNSPSCCode,0)),IF(INDIRECT(ADDRESS(ROW(),COLUMN()-1,4))="15111509","Gas metilacetileno propadieno mapp",""))</f>
        <v>Gas metilacetileno propadieno mapp</v>
      </c>
      <c r="C4052" s="58" t="str">
        <f>IFERROR(VLOOKUP("UD",'Informacion '!P:Q,2,FALSE),"")</f>
        <v>Unidad</v>
      </c>
      <c r="D4052" s="25">
        <v>15</v>
      </c>
      <c r="E4052" s="28">
        <v>475</v>
      </c>
      <c r="F4052" s="27">
        <f t="shared" ca="1" si="122"/>
        <v>7125</v>
      </c>
    </row>
    <row r="4053" spans="1:6" ht="14.25" customHeight="1" x14ac:dyDescent="0.25">
      <c r="A4053" s="25" t="s">
        <v>1048</v>
      </c>
      <c r="B4053" s="26" t="str">
        <f ca="1">IFERROR(INDEX(UNSPSCDes,MATCH(INDIRECT(ADDRESS(ROW(),COLUMN()-1,4)),UNSPSCCode,0)),IF(INDIRECT(ADDRESS(ROW(),COLUMN()-1,4))="31371001","Paneles aislantes",""))</f>
        <v>Paneles aislantes</v>
      </c>
      <c r="C4053" s="58" t="str">
        <f>IFERROR(VLOOKUP("UD",'Informacion '!P:Q,2,FALSE),"")</f>
        <v>Unidad</v>
      </c>
      <c r="D4053" s="25">
        <v>5</v>
      </c>
      <c r="E4053" s="28">
        <v>45458</v>
      </c>
      <c r="F4053" s="27">
        <f t="shared" ca="1" si="122"/>
        <v>227290</v>
      </c>
    </row>
    <row r="4054" spans="1:6" ht="14.25" customHeight="1" x14ac:dyDescent="0.25">
      <c r="A4054" s="25" t="s">
        <v>180</v>
      </c>
      <c r="B4054" s="26" t="str">
        <f ca="1">IFERROR(INDEX(UNSPSCDes,MATCH(INDIRECT(ADDRESS(ROW(),COLUMN()-1,4)),UNSPSCCode,0)),IF(INDIRECT(ADDRESS(ROW(),COLUMN()-1,4))="39121549","Termostato",""))</f>
        <v>Termostato</v>
      </c>
      <c r="C4054" s="58" t="str">
        <f>IFERROR(VLOOKUP("UD",'Informacion '!P:Q,2,FALSE),"")</f>
        <v>Unidad</v>
      </c>
      <c r="D4054" s="25">
        <v>15</v>
      </c>
      <c r="E4054" s="28">
        <v>2500</v>
      </c>
      <c r="F4054" s="27">
        <f t="shared" ca="1" si="122"/>
        <v>37500</v>
      </c>
    </row>
    <row r="4055" spans="1:6" ht="14.25" customHeight="1" x14ac:dyDescent="0.25">
      <c r="A4055" s="25" t="s">
        <v>608</v>
      </c>
      <c r="B4055" s="26" t="str">
        <f ca="1">IFERROR(INDEX(UNSPSCDes,MATCH(INDIRECT(ADDRESS(ROW(),COLUMN()-1,4)),UNSPSCCode,0)),IF(INDIRECT(ADDRESS(ROW(),COLUMN()-1,4))="32121501","Capacitores fijos",""))</f>
        <v>Capacitores fijos</v>
      </c>
      <c r="C4055" s="58" t="str">
        <f>IFERROR(VLOOKUP("UD",'Informacion '!P:Q,2,FALSE),"")</f>
        <v>Unidad</v>
      </c>
      <c r="D4055" s="25">
        <v>30</v>
      </c>
      <c r="E4055" s="28">
        <v>849.6</v>
      </c>
      <c r="F4055" s="27">
        <f t="shared" ca="1" si="122"/>
        <v>25488</v>
      </c>
    </row>
    <row r="4056" spans="1:6" ht="14.25" customHeight="1" x14ac:dyDescent="0.25">
      <c r="A4056" s="25" t="s">
        <v>405</v>
      </c>
      <c r="B4056" s="26" t="str">
        <f ca="1">IFERROR(INDEX(UNSPSCDes,MATCH(INDIRECT(ADDRESS(ROW(),COLUMN()-1,4)),UNSPSCCode,0)),IF(INDIRECT(ADDRESS(ROW(),COLUMN()-1,4))="40101502","Extractores de aire",""))</f>
        <v>Extractores de aire</v>
      </c>
      <c r="C4056" s="58" t="str">
        <f>IFERROR(VLOOKUP("UD",'Informacion '!P:Q,2,FALSE),"")</f>
        <v>Unidad</v>
      </c>
      <c r="D4056" s="25">
        <v>10</v>
      </c>
      <c r="E4056" s="28">
        <v>6930.71</v>
      </c>
      <c r="F4056" s="27">
        <f t="shared" ca="1" si="122"/>
        <v>69307.100000000006</v>
      </c>
    </row>
    <row r="4057" spans="1:6" ht="14.25" customHeight="1" x14ac:dyDescent="0.25">
      <c r="A4057" s="25" t="s">
        <v>700</v>
      </c>
      <c r="B4057" s="26" t="str">
        <f ca="1">IFERROR(INDEX(UNSPSCDes,MATCH(INDIRECT(ADDRESS(ROW(),COLUMN()-1,4)),UNSPSCCode,0)),IF(INDIRECT(ADDRESS(ROW(),COLUMN()-1,4))="40161505","Filtros de aire",""))</f>
        <v>Filtros de aire</v>
      </c>
      <c r="C4057" s="58" t="str">
        <f>IFERROR(VLOOKUP("UD",'Informacion '!P:Q,2,FALSE),"")</f>
        <v>Unidad</v>
      </c>
      <c r="D4057" s="25">
        <v>8</v>
      </c>
      <c r="E4057" s="28">
        <v>1500</v>
      </c>
      <c r="F4057" s="27">
        <f t="shared" ca="1" si="122"/>
        <v>12000</v>
      </c>
    </row>
    <row r="4058" spans="1:6" ht="14.25" customHeight="1" x14ac:dyDescent="0.25">
      <c r="A4058" s="25" t="s">
        <v>157</v>
      </c>
      <c r="B4058" s="26" t="str">
        <f ca="1">IFERROR(INDEX(UNSPSCDes,MATCH(INDIRECT(ADDRESS(ROW(),COLUMN()-1,4)),UNSPSCCode,0)),IF(INDIRECT(ADDRESS(ROW(),COLUMN()-1,4))="24131607","Congeladores de golpe de frío",""))</f>
        <v>Congeladores de golpe de frío</v>
      </c>
      <c r="C4058" s="58" t="str">
        <f>IFERROR(VLOOKUP("GAL",'Informacion '!P:Q,2,FALSE),"")</f>
        <v>Galón</v>
      </c>
      <c r="D4058" s="25">
        <v>4</v>
      </c>
      <c r="E4058" s="28">
        <v>900</v>
      </c>
      <c r="F4058" s="27">
        <f t="shared" ca="1" si="122"/>
        <v>3600</v>
      </c>
    </row>
    <row r="4059" spans="1:6" ht="14.25" customHeight="1" x14ac:dyDescent="0.25">
      <c r="A4059" s="25" t="s">
        <v>96</v>
      </c>
      <c r="B4059" s="26" t="str">
        <f ca="1">IFERROR(INDEX(UNSPSCDes,MATCH(INDIRECT(ADDRESS(ROW(),COLUMN()-1,4)),UNSPSCCode,0)),IF(INDIRECT(ADDRESS(ROW(),COLUMN()-1,4))="39121523","Temporizadores",""))</f>
        <v>Temporizadores</v>
      </c>
      <c r="C4059" s="58" t="str">
        <f>IFERROR(VLOOKUP("UD",'Informacion '!P:Q,2,FALSE),"")</f>
        <v>Unidad</v>
      </c>
      <c r="D4059" s="25">
        <v>20</v>
      </c>
      <c r="E4059" s="28">
        <v>224</v>
      </c>
      <c r="F4059" s="27">
        <f t="shared" ca="1" si="122"/>
        <v>4480</v>
      </c>
    </row>
    <row r="4060" spans="1:6" ht="14.25" customHeight="1" x14ac:dyDescent="0.25">
      <c r="A4060" s="25" t="s">
        <v>402</v>
      </c>
      <c r="B4060" s="26" t="str">
        <f ca="1">IFERROR(INDEX(UNSPSCDes,MATCH(INDIRECT(ADDRESS(ROW(),COLUMN()-1,4)),UNSPSCCode,0)),IF(INDIRECT(ADDRESS(ROW(),COLUMN()-1,4))="12142105","Gas refrigerante ",""))</f>
        <v xml:space="preserve">Gas refrigerante </v>
      </c>
      <c r="C4060" s="58" t="str">
        <f>IFERROR(VLOOKUP("UD",'Informacion '!P:Q,2,FALSE),"")</f>
        <v>Unidad</v>
      </c>
      <c r="D4060" s="25">
        <v>15</v>
      </c>
      <c r="E4060" s="28">
        <v>8000</v>
      </c>
      <c r="F4060" s="27">
        <f t="shared" ca="1" si="122"/>
        <v>120000</v>
      </c>
    </row>
    <row r="4061" spans="1:6" ht="14.25" customHeight="1" x14ac:dyDescent="0.25">
      <c r="A4061" s="25" t="s">
        <v>402</v>
      </c>
      <c r="B4061" s="26" t="str">
        <f ca="1">IFERROR(INDEX(UNSPSCDes,MATCH(INDIRECT(ADDRESS(ROW(),COLUMN()-1,4)),UNSPSCCode,0)),IF(INDIRECT(ADDRESS(ROW(),COLUMN()-1,4))="12142105","Gas refrigerante ",""))</f>
        <v xml:space="preserve">Gas refrigerante </v>
      </c>
      <c r="C4061" s="58" t="str">
        <f>IFERROR(VLOOKUP("UD",'Informacion '!P:Q,2,FALSE),"")</f>
        <v>Unidad</v>
      </c>
      <c r="D4061" s="25">
        <v>15</v>
      </c>
      <c r="E4061" s="28">
        <v>12000</v>
      </c>
      <c r="F4061" s="27">
        <f t="shared" ca="1" si="122"/>
        <v>180000</v>
      </c>
    </row>
    <row r="4062" spans="1:6" ht="14.25" customHeight="1" x14ac:dyDescent="0.25">
      <c r="A4062" s="25" t="s">
        <v>1094</v>
      </c>
      <c r="B4062" s="26" t="str">
        <f ca="1">IFERROR(INDEX(UNSPSCDes,MATCH(INDIRECT(ADDRESS(ROW(),COLUMN()-1,4)),UNSPSCCode,0)),IF(INDIRECT(ADDRESS(ROW(),COLUMN()-1,4))="24111501","Bolsas de lona",""))</f>
        <v>Bolsas de lona</v>
      </c>
      <c r="C4062" s="58" t="str">
        <f>IFERROR(VLOOKUP("UD",'Informacion '!P:Q,2,FALSE),"")</f>
        <v>Unidad</v>
      </c>
      <c r="D4062" s="25">
        <v>2</v>
      </c>
      <c r="E4062" s="28">
        <v>750</v>
      </c>
      <c r="F4062" s="27">
        <f t="shared" ca="1" si="122"/>
        <v>1500</v>
      </c>
    </row>
    <row r="4063" spans="1:6" ht="14.25" customHeight="1" x14ac:dyDescent="0.25">
      <c r="A4063" s="25" t="s">
        <v>1173</v>
      </c>
      <c r="B4063" s="26" t="str">
        <f ca="1">IFERROR(INDEX(UNSPSCDes,MATCH(INDIRECT(ADDRESS(ROW(),COLUMN()-1,4)),UNSPSCCode,0)),IF(INDIRECT(ADDRESS(ROW(),COLUMN()-1,4))="30141502","Colchas aislantes",""))</f>
        <v>Colchas aislantes</v>
      </c>
      <c r="C4063" s="58" t="str">
        <f>IFERROR(VLOOKUP("UD",'Informacion '!P:Q,2,FALSE),"")</f>
        <v>Unidad</v>
      </c>
      <c r="D4063" s="25">
        <v>20</v>
      </c>
      <c r="E4063" s="28">
        <v>140</v>
      </c>
      <c r="F4063" s="27">
        <f t="shared" ca="1" si="122"/>
        <v>2800</v>
      </c>
    </row>
    <row r="4064" spans="1:6" ht="14.25" customHeight="1" x14ac:dyDescent="0.25">
      <c r="A4064" s="25" t="s">
        <v>1173</v>
      </c>
      <c r="B4064" s="26" t="str">
        <f ca="1">IFERROR(INDEX(UNSPSCDes,MATCH(INDIRECT(ADDRESS(ROW(),COLUMN()-1,4)),UNSPSCCode,0)),IF(INDIRECT(ADDRESS(ROW(),COLUMN()-1,4))="30141502","Colchas aislantes",""))</f>
        <v>Colchas aislantes</v>
      </c>
      <c r="C4064" s="58" t="str">
        <f>IFERROR(VLOOKUP("UD",'Informacion '!P:Q,2,FALSE),"")</f>
        <v>Unidad</v>
      </c>
      <c r="D4064" s="25">
        <v>50</v>
      </c>
      <c r="E4064" s="28">
        <v>170</v>
      </c>
      <c r="F4064" s="27">
        <f t="shared" ca="1" si="122"/>
        <v>8500</v>
      </c>
    </row>
    <row r="4065" spans="1:10" ht="14.25" customHeight="1" x14ac:dyDescent="0.25">
      <c r="A4065" s="25" t="s">
        <v>157</v>
      </c>
      <c r="B4065" s="26" t="str">
        <f ca="1">IFERROR(INDEX(UNSPSCDes,MATCH(INDIRECT(ADDRESS(ROW(),COLUMN()-1,4)),UNSPSCCode,0)),IF(INDIRECT(ADDRESS(ROW(),COLUMN()-1,4))="24131607","Congeladores de golpe de frío",""))</f>
        <v>Congeladores de golpe de frío</v>
      </c>
      <c r="C4065" s="58" t="str">
        <f>IFERROR(VLOOKUP("GAL",'Informacion '!P:Q,2,FALSE),"")</f>
        <v>Galón</v>
      </c>
      <c r="D4065" s="25">
        <v>4</v>
      </c>
      <c r="E4065" s="28">
        <v>900</v>
      </c>
      <c r="F4065" s="27">
        <f t="shared" ca="1" si="122"/>
        <v>3600</v>
      </c>
    </row>
    <row r="4066" spans="1:10" ht="14.25" customHeight="1" x14ac:dyDescent="0.25">
      <c r="A4066" s="25" t="s">
        <v>96</v>
      </c>
      <c r="B4066" s="26" t="str">
        <f ca="1">IFERROR(INDEX(UNSPSCDes,MATCH(INDIRECT(ADDRESS(ROW(),COLUMN()-1,4)),UNSPSCCode,0)),IF(INDIRECT(ADDRESS(ROW(),COLUMN()-1,4))="39121523","Temporizadores",""))</f>
        <v>Temporizadores</v>
      </c>
      <c r="C4066" s="58" t="str">
        <f>IFERROR(VLOOKUP("UD",'Informacion '!P:Q,2,FALSE),"")</f>
        <v>Unidad</v>
      </c>
      <c r="D4066" s="25">
        <v>20</v>
      </c>
      <c r="E4066" s="28">
        <v>224</v>
      </c>
      <c r="F4066" s="27">
        <f t="shared" ca="1" si="122"/>
        <v>4480</v>
      </c>
    </row>
    <row r="4067" spans="1:10" ht="14.25" customHeight="1" x14ac:dyDescent="0.25">
      <c r="A4067" s="25" t="s">
        <v>1133</v>
      </c>
      <c r="B4067" s="26" t="str">
        <f ca="1">IFERROR(INDEX(UNSPSCDes,MATCH(INDIRECT(ADDRESS(ROW(),COLUMN()-1,4)),UNSPSCCode,0)),IF(INDIRECT(ADDRESS(ROW(),COLUMN()-1,4))="31231302","Tubería de cobre",""))</f>
        <v>Tubería de cobre</v>
      </c>
      <c r="C4067" s="58" t="str">
        <f>IFERROR(VLOOKUP("UD",'Informacion '!P:Q,2,FALSE),"")</f>
        <v>Unidad</v>
      </c>
      <c r="D4067" s="25">
        <v>5</v>
      </c>
      <c r="E4067" s="28">
        <v>75</v>
      </c>
      <c r="F4067" s="27">
        <f t="shared" ca="1" si="122"/>
        <v>375</v>
      </c>
    </row>
    <row r="4068" spans="1:10" ht="14.25" customHeight="1" x14ac:dyDescent="0.25">
      <c r="A4068" s="25" t="s">
        <v>1094</v>
      </c>
      <c r="B4068" s="26" t="str">
        <f ca="1">IFERROR(INDEX(UNSPSCDes,MATCH(INDIRECT(ADDRESS(ROW(),COLUMN()-1,4)),UNSPSCCode,0)),IF(INDIRECT(ADDRESS(ROW(),COLUMN()-1,4))="24111501","Bolsas de lona",""))</f>
        <v>Bolsas de lona</v>
      </c>
      <c r="C4068" s="58" t="str">
        <f>IFERROR(VLOOKUP("UD",'Informacion '!P:Q,2,FALSE),"")</f>
        <v>Unidad</v>
      </c>
      <c r="D4068" s="25">
        <v>2</v>
      </c>
      <c r="E4068" s="28">
        <v>750</v>
      </c>
      <c r="F4068" s="27">
        <f t="shared" ca="1" si="122"/>
        <v>1500</v>
      </c>
    </row>
    <row r="4069" spans="1:10" ht="14.25" customHeight="1" x14ac:dyDescent="0.25">
      <c r="A4069" s="25" t="s">
        <v>1133</v>
      </c>
      <c r="B4069" s="26" t="str">
        <f ca="1">IFERROR(INDEX(UNSPSCDes,MATCH(INDIRECT(ADDRESS(ROW(),COLUMN()-1,4)),UNSPSCCode,0)),IF(INDIRECT(ADDRESS(ROW(),COLUMN()-1,4))="31231302","Tubería de cobre",""))</f>
        <v>Tubería de cobre</v>
      </c>
      <c r="C4069" s="58" t="str">
        <f>IFERROR(VLOOKUP("UD",'Informacion '!P:Q,2,FALSE),"")</f>
        <v>Unidad</v>
      </c>
      <c r="D4069" s="25">
        <v>5</v>
      </c>
      <c r="E4069" s="28">
        <v>250</v>
      </c>
      <c r="F4069" s="27">
        <f t="shared" ca="1" si="122"/>
        <v>1250</v>
      </c>
    </row>
    <row r="4070" spans="1:10" ht="14.25" customHeight="1" x14ac:dyDescent="0.25">
      <c r="A4070" s="25" t="s">
        <v>1133</v>
      </c>
      <c r="B4070" s="26" t="str">
        <f ca="1">IFERROR(INDEX(UNSPSCDes,MATCH(INDIRECT(ADDRESS(ROW(),COLUMN()-1,4)),UNSPSCCode,0)),IF(INDIRECT(ADDRESS(ROW(),COLUMN()-1,4))="31231302","Tubería de cobre",""))</f>
        <v>Tubería de cobre</v>
      </c>
      <c r="C4070" s="58" t="str">
        <f>IFERROR(VLOOKUP("UD",'Informacion '!P:Q,2,FALSE),"")</f>
        <v>Unidad</v>
      </c>
      <c r="D4070" s="25">
        <v>3</v>
      </c>
      <c r="E4070" s="28">
        <v>200</v>
      </c>
      <c r="F4070" s="27">
        <f t="shared" ca="1" si="122"/>
        <v>600</v>
      </c>
    </row>
    <row r="4071" spans="1:10" ht="14.25" customHeight="1" x14ac:dyDescent="0.25">
      <c r="A4071" s="25" t="s">
        <v>1133</v>
      </c>
      <c r="B4071" s="26" t="str">
        <f ca="1">IFERROR(INDEX(UNSPSCDes,MATCH(INDIRECT(ADDRESS(ROW(),COLUMN()-1,4)),UNSPSCCode,0)),IF(INDIRECT(ADDRESS(ROW(),COLUMN()-1,4))="31231302","Tubería de cobre",""))</f>
        <v>Tubería de cobre</v>
      </c>
      <c r="C4071" s="58" t="str">
        <f>IFERROR(VLOOKUP("UD",'Informacion '!P:Q,2,FALSE),"")</f>
        <v>Unidad</v>
      </c>
      <c r="D4071" s="25">
        <v>3</v>
      </c>
      <c r="E4071" s="28">
        <v>175</v>
      </c>
      <c r="F4071" s="27">
        <f t="shared" ca="1" si="122"/>
        <v>525</v>
      </c>
    </row>
    <row r="4072" spans="1:10" ht="14.25" customHeight="1" x14ac:dyDescent="0.25">
      <c r="A4072" s="25" t="s">
        <v>1173</v>
      </c>
      <c r="B4072" s="26" t="str">
        <f ca="1">IFERROR(INDEX(UNSPSCDes,MATCH(INDIRECT(ADDRESS(ROW(),COLUMN()-1,4)),UNSPSCCode,0)),IF(INDIRECT(ADDRESS(ROW(),COLUMN()-1,4))="30141502","Colchas aislantes",""))</f>
        <v>Colchas aislantes</v>
      </c>
      <c r="C4072" s="58" t="str">
        <f>IFERROR(VLOOKUP("UD",'Informacion '!P:Q,2,FALSE),"")</f>
        <v>Unidad</v>
      </c>
      <c r="D4072" s="25">
        <v>20</v>
      </c>
      <c r="E4072" s="28">
        <v>140</v>
      </c>
      <c r="F4072" s="27">
        <f t="shared" ca="1" si="122"/>
        <v>2800</v>
      </c>
    </row>
    <row r="4073" spans="1:10" ht="14.25" customHeight="1" x14ac:dyDescent="0.25">
      <c r="A4073" s="25" t="s">
        <v>1173</v>
      </c>
      <c r="B4073" s="26" t="str">
        <f ca="1">IFERROR(INDEX(UNSPSCDes,MATCH(INDIRECT(ADDRESS(ROW(),COLUMN()-1,4)),UNSPSCCode,0)),IF(INDIRECT(ADDRESS(ROW(),COLUMN()-1,4))="30141502","Colchas aislantes",""))</f>
        <v>Colchas aislantes</v>
      </c>
      <c r="C4073" s="58" t="str">
        <f>IFERROR(VLOOKUP("UD",'Informacion '!P:Q,2,FALSE),"")</f>
        <v>Unidad</v>
      </c>
      <c r="D4073" s="25">
        <v>50</v>
      </c>
      <c r="E4073" s="28">
        <v>170</v>
      </c>
      <c r="F4073" s="27">
        <f t="shared" ca="1" si="122"/>
        <v>8500</v>
      </c>
    </row>
    <row r="4074" spans="1:10" ht="14.25" customHeight="1" x14ac:dyDescent="0.25">
      <c r="E4074" s="30" t="s">
        <v>816</v>
      </c>
      <c r="F4074" s="31">
        <f ca="1">SUM(Table219[MONTO TOTAL ESTIMADO])</f>
        <v>744270.1</v>
      </c>
      <c r="H4074" s="21" t="str">
        <f>C4043</f>
        <v>Bienes</v>
      </c>
      <c r="I4074" s="21" t="str">
        <f>E4043</f>
        <v>Sí</v>
      </c>
      <c r="J4074" s="21" t="str">
        <f>D4043</f>
        <v>Compras Menores</v>
      </c>
    </row>
    <row r="4076" spans="1:10" ht="33.950000000000003" customHeight="1" x14ac:dyDescent="0.25">
      <c r="A4076" s="22" t="s">
        <v>1051</v>
      </c>
      <c r="B4076" s="22" t="s">
        <v>11</v>
      </c>
      <c r="C4076" s="22" t="s">
        <v>751</v>
      </c>
      <c r="D4076" s="22" t="s">
        <v>930</v>
      </c>
      <c r="E4076" s="22" t="s">
        <v>699</v>
      </c>
      <c r="F4076" s="22" t="s">
        <v>710</v>
      </c>
    </row>
    <row r="4077" spans="1:10" ht="14.25" customHeight="1" x14ac:dyDescent="0.25">
      <c r="A4077" s="23" t="s">
        <v>1216</v>
      </c>
      <c r="B4077" s="23" t="s">
        <v>1216</v>
      </c>
      <c r="C4077" s="23" t="s">
        <v>1155</v>
      </c>
      <c r="D4077" s="23" t="s">
        <v>1128</v>
      </c>
      <c r="E4077" s="23" t="s">
        <v>1156</v>
      </c>
      <c r="F4077" s="23" t="s">
        <v>436</v>
      </c>
    </row>
    <row r="4078" spans="1:10" ht="14.25" customHeight="1" x14ac:dyDescent="0.25">
      <c r="A4078" s="68" t="s">
        <v>965</v>
      </c>
      <c r="B4078" s="24" t="s">
        <v>543</v>
      </c>
      <c r="C4078" s="54">
        <v>46235</v>
      </c>
      <c r="D4078" s="68" t="s">
        <v>598</v>
      </c>
      <c r="E4078" s="56" t="s">
        <v>858</v>
      </c>
      <c r="F4078" s="57" t="s">
        <v>184</v>
      </c>
    </row>
    <row r="4079" spans="1:10" ht="14.25" customHeight="1" x14ac:dyDescent="0.25">
      <c r="A4079" s="69"/>
      <c r="B4079" s="24" t="s">
        <v>112</v>
      </c>
      <c r="C4079" s="55">
        <f>IF(C4078="","",IF(AND(MONTH(C4078)&gt;=1,MONTH(C4078)&lt;=3),1,IF(AND(MONTH(C4078)&gt;=4,MONTH(C4078)&lt;=6),2,IF(AND(MONTH(C4078)&gt;=7,MONTH(C4078)&lt;=9),3,4))))</f>
        <v>3</v>
      </c>
      <c r="D4079" s="69"/>
      <c r="E4079" s="56" t="s">
        <v>143</v>
      </c>
      <c r="F4079" s="57"/>
    </row>
    <row r="4080" spans="1:10" ht="14.25" customHeight="1" x14ac:dyDescent="0.25">
      <c r="A4080" s="69"/>
      <c r="B4080" s="24" t="s">
        <v>844</v>
      </c>
      <c r="C4080" s="54">
        <v>46265</v>
      </c>
      <c r="D4080" s="69"/>
      <c r="E4080" s="56" t="s">
        <v>183</v>
      </c>
      <c r="F4080" s="57"/>
    </row>
    <row r="4081" spans="1:6" ht="14.25" customHeight="1" x14ac:dyDescent="0.25">
      <c r="A4081" s="69"/>
      <c r="B4081" s="24" t="s">
        <v>112</v>
      </c>
      <c r="C4081" s="55">
        <f>IF(C4080="","",IF(AND(MONTH(C4080)&gt;=1,MONTH(C4080)&lt;=3),1,IF(AND(MONTH(C4080)&gt;=4,MONTH(C4080)&lt;=6),2,IF(AND(MONTH(C4080)&gt;=7,MONTH(C4080)&lt;=9),3,4))))</f>
        <v>3</v>
      </c>
      <c r="D4081" s="69"/>
      <c r="E4081" s="56" t="s">
        <v>865</v>
      </c>
      <c r="F4081" s="57"/>
    </row>
    <row r="4083" spans="1:6" ht="14.25" customHeight="1" x14ac:dyDescent="0.25">
      <c r="A4083" s="29" t="s">
        <v>1017</v>
      </c>
      <c r="B4083" s="29" t="s">
        <v>1042</v>
      </c>
      <c r="C4083" s="29" t="s">
        <v>1011</v>
      </c>
      <c r="D4083" s="29" t="s">
        <v>985</v>
      </c>
      <c r="E4083" s="29" t="s">
        <v>449</v>
      </c>
      <c r="F4083" s="29" t="s">
        <v>989</v>
      </c>
    </row>
    <row r="4084" spans="1:6" ht="14.25" customHeight="1" x14ac:dyDescent="0.25">
      <c r="A4084" s="25" t="s">
        <v>1044</v>
      </c>
      <c r="B4084" s="26" t="str">
        <f ca="1">IFERROR(INDEX(UNSPSCDes,MATCH(INDIRECT(ADDRESS(ROW(),COLUMN()-1,4)),UNSPSCCode,0)),IF(INDIRECT(ADDRESS(ROW(),COLUMN()-1,4))="31211904","Brochas",""))</f>
        <v>Brochas</v>
      </c>
      <c r="C4084" s="58" t="str">
        <f>IFERROR(VLOOKUP("UD",'Informacion '!P:Q,2,FALSE),"")</f>
        <v>Unidad</v>
      </c>
      <c r="D4084" s="25">
        <v>30</v>
      </c>
      <c r="E4084" s="28">
        <v>191.48</v>
      </c>
      <c r="F4084" s="27">
        <f t="shared" ref="F4084:F4127" ca="1" si="123">INDIRECT(ADDRESS(ROW(),COLUMN()-2,4))*INDIRECT(ADDRESS(ROW(),COLUMN()-1,4))</f>
        <v>5744.4</v>
      </c>
    </row>
    <row r="4085" spans="1:6" ht="14.25" customHeight="1" x14ac:dyDescent="0.25">
      <c r="A4085" s="25" t="s">
        <v>60</v>
      </c>
      <c r="B4085" s="26" t="str">
        <f ca="1">IFERROR(INDEX(UNSPSCDes,MATCH(INDIRECT(ADDRESS(ROW(),COLUMN()-1,4)),UNSPSCCode,0)),IF(INDIRECT(ADDRESS(ROW(),COLUMN()-1,4))="31211508","Pinturas acrílicas",""))</f>
        <v>Pinturas acrílicas</v>
      </c>
      <c r="C4085" s="58" t="str">
        <f>IFERROR(VLOOKUP("GAL",'Informacion '!P:Q,2,FALSE),"")</f>
        <v>Galón</v>
      </c>
      <c r="D4085" s="25">
        <v>30</v>
      </c>
      <c r="E4085" s="28">
        <v>2500</v>
      </c>
      <c r="F4085" s="27">
        <f t="shared" ca="1" si="123"/>
        <v>75000</v>
      </c>
    </row>
    <row r="4086" spans="1:6" ht="14.25" customHeight="1" x14ac:dyDescent="0.25">
      <c r="A4086" s="25" t="s">
        <v>819</v>
      </c>
      <c r="B4086" s="26" t="str">
        <f ca="1">IFERROR(INDEX(UNSPSCDes,MATCH(INDIRECT(ADDRESS(ROW(),COLUMN()-1,4)),UNSPSCCode,0)),IF(INDIRECT(ADDRESS(ROW(),COLUMN()-1,4))="31211504","Pinturas de revestimiento",""))</f>
        <v>Pinturas de revestimiento</v>
      </c>
      <c r="C4086" s="58" t="str">
        <f>IFERROR(VLOOKUP("GAL",'Informacion '!P:Q,2,FALSE),"")</f>
        <v>Galón</v>
      </c>
      <c r="D4086" s="25">
        <v>10</v>
      </c>
      <c r="E4086" s="28">
        <v>3500</v>
      </c>
      <c r="F4086" s="27">
        <f t="shared" ca="1" si="123"/>
        <v>35000</v>
      </c>
    </row>
    <row r="4087" spans="1:6" ht="14.25" customHeight="1" x14ac:dyDescent="0.25">
      <c r="A4087" s="25" t="s">
        <v>124</v>
      </c>
      <c r="B4087" s="26" t="str">
        <f ca="1">IFERROR(INDEX(UNSPSCDes,MATCH(INDIRECT(ADDRESS(ROW(),COLUMN()-1,4)),UNSPSCCode,0)),IF(INDIRECT(ADDRESS(ROW(),COLUMN()-1,4))="31211501","Pinturas de esmalte",""))</f>
        <v>Pinturas de esmalte</v>
      </c>
      <c r="C4087" s="58" t="str">
        <f>IFERROR(VLOOKUP("GAL",'Informacion '!P:Q,2,FALSE),"")</f>
        <v>Galón</v>
      </c>
      <c r="D4087" s="25">
        <v>10</v>
      </c>
      <c r="E4087" s="28">
        <v>1065</v>
      </c>
      <c r="F4087" s="27">
        <f t="shared" ca="1" si="123"/>
        <v>10650</v>
      </c>
    </row>
    <row r="4088" spans="1:6" ht="14.25" customHeight="1" x14ac:dyDescent="0.25">
      <c r="A4088" s="25" t="s">
        <v>819</v>
      </c>
      <c r="B4088" s="26" t="str">
        <f ca="1">IFERROR(INDEX(UNSPSCDes,MATCH(INDIRECT(ADDRESS(ROW(),COLUMN()-1,4)),UNSPSCCode,0)),IF(INDIRECT(ADDRESS(ROW(),COLUMN()-1,4))="31211504","Pinturas de revestimiento",""))</f>
        <v>Pinturas de revestimiento</v>
      </c>
      <c r="C4088" s="58" t="str">
        <f>IFERROR(VLOOKUP("UD",'Informacion '!P:Q,2,FALSE),"")</f>
        <v>Unidad</v>
      </c>
      <c r="D4088" s="25">
        <v>20</v>
      </c>
      <c r="E4088" s="28">
        <v>8000</v>
      </c>
      <c r="F4088" s="27">
        <f t="shared" ca="1" si="123"/>
        <v>160000</v>
      </c>
    </row>
    <row r="4089" spans="1:6" ht="14.25" customHeight="1" x14ac:dyDescent="0.25">
      <c r="A4089" s="25" t="s">
        <v>1139</v>
      </c>
      <c r="B4089" s="26" t="str">
        <f ca="1">IFERROR(INDEX(UNSPSCDes,MATCH(INDIRECT(ADDRESS(ROW(),COLUMN()-1,4)),UNSPSCCode,0)),IF(INDIRECT(ADDRESS(ROW(),COLUMN()-1,4))="31211908","Pistolas de pintar",""))</f>
        <v>Pistolas de pintar</v>
      </c>
      <c r="C4089" s="58" t="str">
        <f>IFERROR(VLOOKUP("UD",'Informacion '!P:Q,2,FALSE),"")</f>
        <v>Unidad</v>
      </c>
      <c r="D4089" s="25">
        <v>10</v>
      </c>
      <c r="E4089" s="28">
        <v>580</v>
      </c>
      <c r="F4089" s="27">
        <f t="shared" ca="1" si="123"/>
        <v>5800</v>
      </c>
    </row>
    <row r="4090" spans="1:6" ht="14.25" customHeight="1" x14ac:dyDescent="0.25">
      <c r="A4090" s="25" t="s">
        <v>1044</v>
      </c>
      <c r="B4090" s="26" t="str">
        <f ca="1">IFERROR(INDEX(UNSPSCDes,MATCH(INDIRECT(ADDRESS(ROW(),COLUMN()-1,4)),UNSPSCCode,0)),IF(INDIRECT(ADDRESS(ROW(),COLUMN()-1,4))="31211904","Brochas",""))</f>
        <v>Brochas</v>
      </c>
      <c r="C4090" s="58" t="str">
        <f>IFERROR(VLOOKUP("UD",'Informacion '!P:Q,2,FALSE),"")</f>
        <v>Unidad</v>
      </c>
      <c r="D4090" s="25">
        <v>30</v>
      </c>
      <c r="E4090" s="28">
        <v>191.48</v>
      </c>
      <c r="F4090" s="27">
        <f t="shared" ca="1" si="123"/>
        <v>5744.4</v>
      </c>
    </row>
    <row r="4091" spans="1:6" ht="14.25" customHeight="1" x14ac:dyDescent="0.25">
      <c r="A4091" s="25" t="s">
        <v>674</v>
      </c>
      <c r="B4091" s="26" t="str">
        <f ca="1">IFERROR(INDEX(UNSPSCDes,MATCH(INDIRECT(ADDRESS(ROW(),COLUMN()-1,4)),UNSPSCCode,0)),IF(INDIRECT(ADDRESS(ROW(),COLUMN()-1,4))="31211906","Rodillos de pintar",""))</f>
        <v>Rodillos de pintar</v>
      </c>
      <c r="C4091" s="58" t="str">
        <f>IFERROR(VLOOKUP("UD",'Informacion '!P:Q,2,FALSE),"")</f>
        <v>Unidad</v>
      </c>
      <c r="D4091" s="25">
        <v>30</v>
      </c>
      <c r="E4091" s="28">
        <v>150</v>
      </c>
      <c r="F4091" s="27">
        <f t="shared" ca="1" si="123"/>
        <v>4500</v>
      </c>
    </row>
    <row r="4092" spans="1:6" ht="14.25" customHeight="1" x14ac:dyDescent="0.25">
      <c r="A4092" s="25" t="s">
        <v>496</v>
      </c>
      <c r="B4092" s="26" t="str">
        <f ca="1">IFERROR(INDEX(UNSPSCDes,MATCH(INDIRECT(ADDRESS(ROW(),COLUMN()-1,4)),UNSPSCCode,0)),IF(INDIRECT(ADDRESS(ROW(),COLUMN()-1,4))="31211505","Pinturas de aceite",""))</f>
        <v>Pinturas de aceite</v>
      </c>
      <c r="C4092" s="58" t="str">
        <f>IFERROR(VLOOKUP("UD",'Informacion '!P:Q,2,FALSE),"")</f>
        <v>Unidad</v>
      </c>
      <c r="D4092" s="25">
        <v>30</v>
      </c>
      <c r="E4092" s="28">
        <v>3000</v>
      </c>
      <c r="F4092" s="27">
        <f t="shared" ca="1" si="123"/>
        <v>90000</v>
      </c>
    </row>
    <row r="4093" spans="1:6" ht="14.25" customHeight="1" x14ac:dyDescent="0.25">
      <c r="A4093" s="25" t="s">
        <v>1159</v>
      </c>
      <c r="B4093" s="26" t="str">
        <f ca="1">IFERROR(INDEX(UNSPSCDes,MATCH(INDIRECT(ADDRESS(ROW(),COLUMN()-1,4)),UNSPSCCode,0)),IF(INDIRECT(ADDRESS(ROW(),COLUMN()-1,4))="31211905","Mezcladores de pintura",""))</f>
        <v>Mezcladores de pintura</v>
      </c>
      <c r="C4093" s="58" t="str">
        <f>IFERROR(VLOOKUP("UD",'Informacion '!P:Q,2,FALSE),"")</f>
        <v>Unidad</v>
      </c>
      <c r="D4093" s="25">
        <v>6</v>
      </c>
      <c r="E4093" s="28">
        <v>850</v>
      </c>
      <c r="F4093" s="27">
        <f t="shared" ca="1" si="123"/>
        <v>5100</v>
      </c>
    </row>
    <row r="4094" spans="1:6" ht="14.25" customHeight="1" x14ac:dyDescent="0.25">
      <c r="A4094" s="25" t="s">
        <v>1159</v>
      </c>
      <c r="B4094" s="26" t="str">
        <f ca="1">IFERROR(INDEX(UNSPSCDes,MATCH(INDIRECT(ADDRESS(ROW(),COLUMN()-1,4)),UNSPSCCode,0)),IF(INDIRECT(ADDRESS(ROW(),COLUMN()-1,4))="31211905","Mezcladores de pintura",""))</f>
        <v>Mezcladores de pintura</v>
      </c>
      <c r="C4094" s="58" t="str">
        <f>IFERROR(VLOOKUP("UD",'Informacion '!P:Q,2,FALSE),"")</f>
        <v>Unidad</v>
      </c>
      <c r="D4094" s="25">
        <v>6</v>
      </c>
      <c r="E4094" s="28">
        <v>650</v>
      </c>
      <c r="F4094" s="27">
        <f t="shared" ca="1" si="123"/>
        <v>3900</v>
      </c>
    </row>
    <row r="4095" spans="1:6" ht="14.25" customHeight="1" x14ac:dyDescent="0.25">
      <c r="A4095" s="25" t="s">
        <v>496</v>
      </c>
      <c r="B4095" s="26" t="str">
        <f ca="1">IFERROR(INDEX(UNSPSCDes,MATCH(INDIRECT(ADDRESS(ROW(),COLUMN()-1,4)),UNSPSCCode,0)),IF(INDIRECT(ADDRESS(ROW(),COLUMN()-1,4))="31211505","Pinturas de aceite",""))</f>
        <v>Pinturas de aceite</v>
      </c>
      <c r="C4095" s="58" t="str">
        <f>IFERROR(VLOOKUP("GAL",'Informacion '!P:Q,2,FALSE),"")</f>
        <v>Galón</v>
      </c>
      <c r="D4095" s="25">
        <v>10</v>
      </c>
      <c r="E4095" s="28">
        <v>4200</v>
      </c>
      <c r="F4095" s="27">
        <f t="shared" ca="1" si="123"/>
        <v>42000</v>
      </c>
    </row>
    <row r="4096" spans="1:6" ht="14.25" customHeight="1" x14ac:dyDescent="0.25">
      <c r="A4096" s="25" t="s">
        <v>1159</v>
      </c>
      <c r="B4096" s="26" t="str">
        <f ca="1">IFERROR(INDEX(UNSPSCDes,MATCH(INDIRECT(ADDRESS(ROW(),COLUMN()-1,4)),UNSPSCCode,0)),IF(INDIRECT(ADDRESS(ROW(),COLUMN()-1,4))="31211905","Mezcladores de pintura",""))</f>
        <v>Mezcladores de pintura</v>
      </c>
      <c r="C4096" s="58" t="str">
        <f>IFERROR(VLOOKUP("UD",'Informacion '!P:Q,2,FALSE),"")</f>
        <v>Unidad</v>
      </c>
      <c r="D4096" s="25">
        <v>5</v>
      </c>
      <c r="E4096" s="28">
        <v>300</v>
      </c>
      <c r="F4096" s="27">
        <f t="shared" ca="1" si="123"/>
        <v>1500</v>
      </c>
    </row>
    <row r="4097" spans="1:6" ht="14.25" customHeight="1" x14ac:dyDescent="0.25">
      <c r="A4097" s="25" t="s">
        <v>281</v>
      </c>
      <c r="B4097" s="26" t="str">
        <f ca="1">IFERROR(INDEX(UNSPSCDes,MATCH(INDIRECT(ADDRESS(ROW(),COLUMN()-1,4)),UNSPSCCode,0)),IF(INDIRECT(ADDRESS(ROW(),COLUMN()-1,4))="72102004","Impermeabilización",""))</f>
        <v>Impermeabilización</v>
      </c>
      <c r="C4097" s="58" t="str">
        <f>IFERROR(VLOOKUP("UD",'Informacion '!P:Q,2,FALSE),"")</f>
        <v>Unidad</v>
      </c>
      <c r="D4097" s="25">
        <v>10</v>
      </c>
      <c r="E4097" s="28">
        <v>2400</v>
      </c>
      <c r="F4097" s="27">
        <f t="shared" ca="1" si="123"/>
        <v>24000</v>
      </c>
    </row>
    <row r="4098" spans="1:6" ht="14.25" customHeight="1" x14ac:dyDescent="0.25">
      <c r="A4098" s="25" t="s">
        <v>1159</v>
      </c>
      <c r="B4098" s="26" t="str">
        <f ca="1">IFERROR(INDEX(UNSPSCDes,MATCH(INDIRECT(ADDRESS(ROW(),COLUMN()-1,4)),UNSPSCCode,0)),IF(INDIRECT(ADDRESS(ROW(),COLUMN()-1,4))="31211905","Mezcladores de pintura",""))</f>
        <v>Mezcladores de pintura</v>
      </c>
      <c r="C4098" s="58" t="str">
        <f>IFERROR(VLOOKUP("UD",'Informacion '!P:Q,2,FALSE),"")</f>
        <v>Unidad</v>
      </c>
      <c r="D4098" s="25">
        <v>10</v>
      </c>
      <c r="E4098" s="28">
        <v>40</v>
      </c>
      <c r="F4098" s="27">
        <f t="shared" ca="1" si="123"/>
        <v>400</v>
      </c>
    </row>
    <row r="4099" spans="1:6" ht="14.25" customHeight="1" x14ac:dyDescent="0.25">
      <c r="A4099" s="25" t="s">
        <v>1159</v>
      </c>
      <c r="B4099" s="26" t="str">
        <f ca="1">IFERROR(INDEX(UNSPSCDes,MATCH(INDIRECT(ADDRESS(ROW(),COLUMN()-1,4)),UNSPSCCode,0)),IF(INDIRECT(ADDRESS(ROW(),COLUMN()-1,4))="31211905","Mezcladores de pintura",""))</f>
        <v>Mezcladores de pintura</v>
      </c>
      <c r="C4099" s="58" t="str">
        <f>IFERROR(VLOOKUP("UD",'Informacion '!P:Q,2,FALSE),"")</f>
        <v>Unidad</v>
      </c>
      <c r="D4099" s="25">
        <v>10</v>
      </c>
      <c r="E4099" s="28">
        <v>150</v>
      </c>
      <c r="F4099" s="27">
        <f t="shared" ca="1" si="123"/>
        <v>1500</v>
      </c>
    </row>
    <row r="4100" spans="1:6" ht="14.25" customHeight="1" x14ac:dyDescent="0.25">
      <c r="A4100" s="25" t="s">
        <v>1159</v>
      </c>
      <c r="B4100" s="26" t="str">
        <f ca="1">IFERROR(INDEX(UNSPSCDes,MATCH(INDIRECT(ADDRESS(ROW(),COLUMN()-1,4)),UNSPSCCode,0)),IF(INDIRECT(ADDRESS(ROW(),COLUMN()-1,4))="31211905","Mezcladores de pintura",""))</f>
        <v>Mezcladores de pintura</v>
      </c>
      <c r="C4100" s="58" t="str">
        <f>IFERROR(VLOOKUP("UD",'Informacion '!P:Q,2,FALSE),"")</f>
        <v>Unidad</v>
      </c>
      <c r="D4100" s="25">
        <v>10</v>
      </c>
      <c r="E4100" s="28">
        <v>130</v>
      </c>
      <c r="F4100" s="27">
        <f t="shared" ca="1" si="123"/>
        <v>1300</v>
      </c>
    </row>
    <row r="4101" spans="1:6" ht="14.25" customHeight="1" x14ac:dyDescent="0.25">
      <c r="A4101" s="25" t="s">
        <v>496</v>
      </c>
      <c r="B4101" s="26" t="str">
        <f ca="1">IFERROR(INDEX(UNSPSCDes,MATCH(INDIRECT(ADDRESS(ROW(),COLUMN()-1,4)),UNSPSCCode,0)),IF(INDIRECT(ADDRESS(ROW(),COLUMN()-1,4))="31211505","Pinturas de aceite",""))</f>
        <v>Pinturas de aceite</v>
      </c>
      <c r="C4101" s="58" t="str">
        <f>IFERROR(VLOOKUP("UD",'Informacion '!P:Q,2,FALSE),"")</f>
        <v>Unidad</v>
      </c>
      <c r="D4101" s="25">
        <v>5</v>
      </c>
      <c r="E4101" s="28">
        <v>590</v>
      </c>
      <c r="F4101" s="27">
        <f t="shared" ca="1" si="123"/>
        <v>2950</v>
      </c>
    </row>
    <row r="4102" spans="1:6" ht="14.25" customHeight="1" x14ac:dyDescent="0.25">
      <c r="A4102" s="25" t="s">
        <v>496</v>
      </c>
      <c r="B4102" s="26" t="str">
        <f ca="1">IFERROR(INDEX(UNSPSCDes,MATCH(INDIRECT(ADDRESS(ROW(),COLUMN()-1,4)),UNSPSCCode,0)),IF(INDIRECT(ADDRESS(ROW(),COLUMN()-1,4))="31211505","Pinturas de aceite",""))</f>
        <v>Pinturas de aceite</v>
      </c>
      <c r="C4102" s="58" t="str">
        <f>IFERROR(VLOOKUP("UD",'Informacion '!P:Q,2,FALSE),"")</f>
        <v>Unidad</v>
      </c>
      <c r="D4102" s="25">
        <v>5</v>
      </c>
      <c r="E4102" s="28">
        <v>590</v>
      </c>
      <c r="F4102" s="27">
        <f t="shared" ca="1" si="123"/>
        <v>2950</v>
      </c>
    </row>
    <row r="4103" spans="1:6" ht="14.25" customHeight="1" x14ac:dyDescent="0.25">
      <c r="A4103" s="25" t="s">
        <v>741</v>
      </c>
      <c r="B4103" s="26" t="str">
        <f ca="1">IFERROR(INDEX(UNSPSCDes,MATCH(INDIRECT(ADDRESS(ROW(),COLUMN()-1,4)),UNSPSCCode,0)),IF(INDIRECT(ADDRESS(ROW(),COLUMN()-1,4))="31211704","Sellantes",""))</f>
        <v>Sellantes</v>
      </c>
      <c r="C4103" s="58" t="str">
        <f>IFERROR(VLOOKUP("GAL",'Informacion '!P:Q,2,FALSE),"")</f>
        <v>Galón</v>
      </c>
      <c r="D4103" s="25">
        <v>10</v>
      </c>
      <c r="E4103" s="28">
        <v>3350</v>
      </c>
      <c r="F4103" s="27">
        <f t="shared" ca="1" si="123"/>
        <v>33500</v>
      </c>
    </row>
    <row r="4104" spans="1:6" ht="14.25" customHeight="1" x14ac:dyDescent="0.25">
      <c r="A4104" s="25" t="s">
        <v>1099</v>
      </c>
      <c r="B4104" s="26" t="str">
        <f ca="1">IFERROR(INDEX(UNSPSCDes,MATCH(INDIRECT(ADDRESS(ROW(),COLUMN()-1,4)),UNSPSCCode,0)),IF(INDIRECT(ADDRESS(ROW(),COLUMN()-1,4))="11121503","Laca",""))</f>
        <v>Laca</v>
      </c>
      <c r="C4104" s="58" t="str">
        <f>IFERROR(VLOOKUP("GAL",'Informacion '!P:Q,2,FALSE),"")</f>
        <v>Galón</v>
      </c>
      <c r="D4104" s="25">
        <v>10</v>
      </c>
      <c r="E4104" s="28">
        <v>1600</v>
      </c>
      <c r="F4104" s="27">
        <f t="shared" ca="1" si="123"/>
        <v>16000</v>
      </c>
    </row>
    <row r="4105" spans="1:6" ht="14.25" customHeight="1" x14ac:dyDescent="0.25">
      <c r="A4105" s="25" t="s">
        <v>1185</v>
      </c>
      <c r="B4105" s="26" t="str">
        <f ca="1">IFERROR(INDEX(UNSPSCDes,MATCH(INDIRECT(ADDRESS(ROW(),COLUMN()-1,4)),UNSPSCCode,0)),IF(INDIRECT(ADDRESS(ROW(),COLUMN()-1,4))="31211803","Diluyentes para pinturas y barnices",""))</f>
        <v>Diluyentes para pinturas y barnices</v>
      </c>
      <c r="C4105" s="58" t="str">
        <f>IFERROR(VLOOKUP("GAL",'Informacion '!P:Q,2,FALSE),"")</f>
        <v>Galón</v>
      </c>
      <c r="D4105" s="25">
        <v>20</v>
      </c>
      <c r="E4105" s="28">
        <v>1400</v>
      </c>
      <c r="F4105" s="27">
        <f t="shared" ca="1" si="123"/>
        <v>28000</v>
      </c>
    </row>
    <row r="4106" spans="1:6" ht="14.25" customHeight="1" x14ac:dyDescent="0.25">
      <c r="A4106" s="25" t="s">
        <v>1159</v>
      </c>
      <c r="B4106" s="26" t="str">
        <f ca="1">IFERROR(INDEX(UNSPSCDes,MATCH(INDIRECT(ADDRESS(ROW(),COLUMN()-1,4)),UNSPSCCode,0)),IF(INDIRECT(ADDRESS(ROW(),COLUMN()-1,4))="31211905","Mezcladores de pintura",""))</f>
        <v>Mezcladores de pintura</v>
      </c>
      <c r="C4106" s="58" t="str">
        <f>IFERROR(VLOOKUP("UD",'Informacion '!P:Q,2,FALSE),"")</f>
        <v>Unidad</v>
      </c>
      <c r="D4106" s="25">
        <v>6</v>
      </c>
      <c r="E4106" s="28">
        <v>1940</v>
      </c>
      <c r="F4106" s="27">
        <f t="shared" ca="1" si="123"/>
        <v>11640</v>
      </c>
    </row>
    <row r="4107" spans="1:6" ht="14.25" customHeight="1" x14ac:dyDescent="0.25">
      <c r="A4107" s="25" t="s">
        <v>819</v>
      </c>
      <c r="B4107" s="26" t="str">
        <f ca="1">IFERROR(INDEX(UNSPSCDes,MATCH(INDIRECT(ADDRESS(ROW(),COLUMN()-1,4)),UNSPSCCode,0)),IF(INDIRECT(ADDRESS(ROW(),COLUMN()-1,4))="31211504","Pinturas de revestimiento",""))</f>
        <v>Pinturas de revestimiento</v>
      </c>
      <c r="C4107" s="58" t="str">
        <f>IFERROR(VLOOKUP("UD",'Informacion '!P:Q,2,FALSE),"")</f>
        <v>Unidad</v>
      </c>
      <c r="D4107" s="25">
        <v>10</v>
      </c>
      <c r="E4107" s="28">
        <v>12500</v>
      </c>
      <c r="F4107" s="27">
        <f t="shared" ca="1" si="123"/>
        <v>125000</v>
      </c>
    </row>
    <row r="4108" spans="1:6" ht="14.25" customHeight="1" x14ac:dyDescent="0.25">
      <c r="A4108" s="25" t="s">
        <v>1159</v>
      </c>
      <c r="B4108" s="26" t="str">
        <f ca="1">IFERROR(INDEX(UNSPSCDes,MATCH(INDIRECT(ADDRESS(ROW(),COLUMN()-1,4)),UNSPSCCode,0)),IF(INDIRECT(ADDRESS(ROW(),COLUMN()-1,4))="31211905","Mezcladores de pintura",""))</f>
        <v>Mezcladores de pintura</v>
      </c>
      <c r="C4108" s="58" t="str">
        <f>IFERROR(VLOOKUP("UD",'Informacion '!P:Q,2,FALSE),"")</f>
        <v>Unidad</v>
      </c>
      <c r="D4108" s="25">
        <v>6</v>
      </c>
      <c r="E4108" s="28">
        <v>1940</v>
      </c>
      <c r="F4108" s="27">
        <f t="shared" ca="1" si="123"/>
        <v>11640</v>
      </c>
    </row>
    <row r="4109" spans="1:6" ht="14.25" customHeight="1" x14ac:dyDescent="0.25">
      <c r="A4109" s="25" t="s">
        <v>1044</v>
      </c>
      <c r="B4109" s="26" t="str">
        <f ca="1">IFERROR(INDEX(UNSPSCDes,MATCH(INDIRECT(ADDRESS(ROW(),COLUMN()-1,4)),UNSPSCCode,0)),IF(INDIRECT(ADDRESS(ROW(),COLUMN()-1,4))="31211904","Brochas",""))</f>
        <v>Brochas</v>
      </c>
      <c r="C4109" s="58" t="str">
        <f>IFERROR(VLOOKUP("UD",'Informacion '!P:Q,2,FALSE),"")</f>
        <v>Unidad</v>
      </c>
      <c r="D4109" s="25">
        <v>30</v>
      </c>
      <c r="E4109" s="28">
        <v>191.48</v>
      </c>
      <c r="F4109" s="27">
        <f t="shared" ca="1" si="123"/>
        <v>5744.4</v>
      </c>
    </row>
    <row r="4110" spans="1:6" ht="14.25" customHeight="1" x14ac:dyDescent="0.25">
      <c r="A4110" s="25" t="s">
        <v>674</v>
      </c>
      <c r="B4110" s="26" t="str">
        <f ca="1">IFERROR(INDEX(UNSPSCDes,MATCH(INDIRECT(ADDRESS(ROW(),COLUMN()-1,4)),UNSPSCCode,0)),IF(INDIRECT(ADDRESS(ROW(),COLUMN()-1,4))="31211906","Rodillos de pintar",""))</f>
        <v>Rodillos de pintar</v>
      </c>
      <c r="C4110" s="58" t="str">
        <f>IFERROR(VLOOKUP("UD",'Informacion '!P:Q,2,FALSE),"")</f>
        <v>Unidad</v>
      </c>
      <c r="D4110" s="25">
        <v>30</v>
      </c>
      <c r="E4110" s="28">
        <v>150</v>
      </c>
      <c r="F4110" s="27">
        <f t="shared" ca="1" si="123"/>
        <v>4500</v>
      </c>
    </row>
    <row r="4111" spans="1:6" ht="14.25" customHeight="1" x14ac:dyDescent="0.25">
      <c r="A4111" s="25" t="s">
        <v>496</v>
      </c>
      <c r="B4111" s="26" t="str">
        <f ca="1">IFERROR(INDEX(UNSPSCDes,MATCH(INDIRECT(ADDRESS(ROW(),COLUMN()-1,4)),UNSPSCCode,0)),IF(INDIRECT(ADDRESS(ROW(),COLUMN()-1,4))="31211505","Pinturas de aceite",""))</f>
        <v>Pinturas de aceite</v>
      </c>
      <c r="C4111" s="58" t="str">
        <f>IFERROR(VLOOKUP("UD",'Informacion '!P:Q,2,FALSE),"")</f>
        <v>Unidad</v>
      </c>
      <c r="D4111" s="25">
        <v>30</v>
      </c>
      <c r="E4111" s="28">
        <v>3000</v>
      </c>
      <c r="F4111" s="27">
        <f t="shared" ca="1" si="123"/>
        <v>90000</v>
      </c>
    </row>
    <row r="4112" spans="1:6" ht="14.25" customHeight="1" x14ac:dyDescent="0.25">
      <c r="A4112" s="25" t="s">
        <v>1159</v>
      </c>
      <c r="B4112" s="26" t="str">
        <f ca="1">IFERROR(INDEX(UNSPSCDes,MATCH(INDIRECT(ADDRESS(ROW(),COLUMN()-1,4)),UNSPSCCode,0)),IF(INDIRECT(ADDRESS(ROW(),COLUMN()-1,4))="31211905","Mezcladores de pintura",""))</f>
        <v>Mezcladores de pintura</v>
      </c>
      <c r="C4112" s="58" t="str">
        <f>IFERROR(VLOOKUP("UD",'Informacion '!P:Q,2,FALSE),"")</f>
        <v>Unidad</v>
      </c>
      <c r="D4112" s="25">
        <v>6</v>
      </c>
      <c r="E4112" s="28">
        <v>850</v>
      </c>
      <c r="F4112" s="27">
        <f t="shared" ca="1" si="123"/>
        <v>5100</v>
      </c>
    </row>
    <row r="4113" spans="1:10" ht="14.25" customHeight="1" x14ac:dyDescent="0.25">
      <c r="A4113" s="25" t="s">
        <v>1159</v>
      </c>
      <c r="B4113" s="26" t="str">
        <f ca="1">IFERROR(INDEX(UNSPSCDes,MATCH(INDIRECT(ADDRESS(ROW(),COLUMN()-1,4)),UNSPSCCode,0)),IF(INDIRECT(ADDRESS(ROW(),COLUMN()-1,4))="31211905","Mezcladores de pintura",""))</f>
        <v>Mezcladores de pintura</v>
      </c>
      <c r="C4113" s="58" t="str">
        <f>IFERROR(VLOOKUP("UD",'Informacion '!P:Q,2,FALSE),"")</f>
        <v>Unidad</v>
      </c>
      <c r="D4113" s="25">
        <v>6</v>
      </c>
      <c r="E4113" s="28">
        <v>650</v>
      </c>
      <c r="F4113" s="27">
        <f t="shared" ca="1" si="123"/>
        <v>3900</v>
      </c>
    </row>
    <row r="4114" spans="1:10" ht="14.25" customHeight="1" x14ac:dyDescent="0.25">
      <c r="A4114" s="25" t="s">
        <v>496</v>
      </c>
      <c r="B4114" s="26" t="str">
        <f ca="1">IFERROR(INDEX(UNSPSCDes,MATCH(INDIRECT(ADDRESS(ROW(),COLUMN()-1,4)),UNSPSCCode,0)),IF(INDIRECT(ADDRESS(ROW(),COLUMN()-1,4))="31211505","Pinturas de aceite",""))</f>
        <v>Pinturas de aceite</v>
      </c>
      <c r="C4114" s="58" t="str">
        <f>IFERROR(VLOOKUP("GAL",'Informacion '!P:Q,2,FALSE),"")</f>
        <v>Galón</v>
      </c>
      <c r="D4114" s="25">
        <v>10</v>
      </c>
      <c r="E4114" s="28">
        <v>4200</v>
      </c>
      <c r="F4114" s="27">
        <f t="shared" ca="1" si="123"/>
        <v>42000</v>
      </c>
    </row>
    <row r="4115" spans="1:10" ht="14.25" customHeight="1" x14ac:dyDescent="0.25">
      <c r="A4115" s="25" t="s">
        <v>1159</v>
      </c>
      <c r="B4115" s="26" t="str">
        <f ca="1">IFERROR(INDEX(UNSPSCDes,MATCH(INDIRECT(ADDRESS(ROW(),COLUMN()-1,4)),UNSPSCCode,0)),IF(INDIRECT(ADDRESS(ROW(),COLUMN()-1,4))="31211905","Mezcladores de pintura",""))</f>
        <v>Mezcladores de pintura</v>
      </c>
      <c r="C4115" s="58" t="str">
        <f>IFERROR(VLOOKUP("UD",'Informacion '!P:Q,2,FALSE),"")</f>
        <v>Unidad</v>
      </c>
      <c r="D4115" s="25">
        <v>5</v>
      </c>
      <c r="E4115" s="28">
        <v>300</v>
      </c>
      <c r="F4115" s="27">
        <f t="shared" ca="1" si="123"/>
        <v>1500</v>
      </c>
    </row>
    <row r="4116" spans="1:10" ht="14.25" customHeight="1" x14ac:dyDescent="0.25">
      <c r="A4116" s="25" t="s">
        <v>281</v>
      </c>
      <c r="B4116" s="26" t="str">
        <f ca="1">IFERROR(INDEX(UNSPSCDes,MATCH(INDIRECT(ADDRESS(ROW(),COLUMN()-1,4)),UNSPSCCode,0)),IF(INDIRECT(ADDRESS(ROW(),COLUMN()-1,4))="72102004","Impermeabilización",""))</f>
        <v>Impermeabilización</v>
      </c>
      <c r="C4116" s="58" t="str">
        <f>IFERROR(VLOOKUP("UD",'Informacion '!P:Q,2,FALSE),"")</f>
        <v>Unidad</v>
      </c>
      <c r="D4116" s="25">
        <v>10</v>
      </c>
      <c r="E4116" s="28">
        <v>2400</v>
      </c>
      <c r="F4116" s="27">
        <f t="shared" ca="1" si="123"/>
        <v>24000</v>
      </c>
    </row>
    <row r="4117" spans="1:10" ht="14.25" customHeight="1" x14ac:dyDescent="0.25">
      <c r="A4117" s="25" t="s">
        <v>1159</v>
      </c>
      <c r="B4117" s="26" t="str">
        <f ca="1">IFERROR(INDEX(UNSPSCDes,MATCH(INDIRECT(ADDRESS(ROW(),COLUMN()-1,4)),UNSPSCCode,0)),IF(INDIRECT(ADDRESS(ROW(),COLUMN()-1,4))="31211905","Mezcladores de pintura",""))</f>
        <v>Mezcladores de pintura</v>
      </c>
      <c r="C4117" s="58" t="str">
        <f>IFERROR(VLOOKUP("UD",'Informacion '!P:Q,2,FALSE),"")</f>
        <v>Unidad</v>
      </c>
      <c r="D4117" s="25">
        <v>10</v>
      </c>
      <c r="E4117" s="28">
        <v>40</v>
      </c>
      <c r="F4117" s="27">
        <f t="shared" ca="1" si="123"/>
        <v>400</v>
      </c>
    </row>
    <row r="4118" spans="1:10" ht="14.25" customHeight="1" x14ac:dyDescent="0.25">
      <c r="A4118" s="25" t="s">
        <v>1159</v>
      </c>
      <c r="B4118" s="26" t="str">
        <f ca="1">IFERROR(INDEX(UNSPSCDes,MATCH(INDIRECT(ADDRESS(ROW(),COLUMN()-1,4)),UNSPSCCode,0)),IF(INDIRECT(ADDRESS(ROW(),COLUMN()-1,4))="31211905","Mezcladores de pintura",""))</f>
        <v>Mezcladores de pintura</v>
      </c>
      <c r="C4118" s="58" t="str">
        <f>IFERROR(VLOOKUP("UD",'Informacion '!P:Q,2,FALSE),"")</f>
        <v>Unidad</v>
      </c>
      <c r="D4118" s="25">
        <v>10</v>
      </c>
      <c r="E4118" s="28">
        <v>150</v>
      </c>
      <c r="F4118" s="27">
        <f t="shared" ca="1" si="123"/>
        <v>1500</v>
      </c>
    </row>
    <row r="4119" spans="1:10" ht="14.25" customHeight="1" x14ac:dyDescent="0.25">
      <c r="A4119" s="25" t="s">
        <v>1159</v>
      </c>
      <c r="B4119" s="26" t="str">
        <f ca="1">IFERROR(INDEX(UNSPSCDes,MATCH(INDIRECT(ADDRESS(ROW(),COLUMN()-1,4)),UNSPSCCode,0)),IF(INDIRECT(ADDRESS(ROW(),COLUMN()-1,4))="31211905","Mezcladores de pintura",""))</f>
        <v>Mezcladores de pintura</v>
      </c>
      <c r="C4119" s="58" t="str">
        <f>IFERROR(VLOOKUP("UD",'Informacion '!P:Q,2,FALSE),"")</f>
        <v>Unidad</v>
      </c>
      <c r="D4119" s="25">
        <v>10</v>
      </c>
      <c r="E4119" s="28">
        <v>130</v>
      </c>
      <c r="F4119" s="27">
        <f t="shared" ca="1" si="123"/>
        <v>1300</v>
      </c>
    </row>
    <row r="4120" spans="1:10" ht="14.25" customHeight="1" x14ac:dyDescent="0.25">
      <c r="A4120" s="25" t="s">
        <v>496</v>
      </c>
      <c r="B4120" s="26" t="str">
        <f ca="1">IFERROR(INDEX(UNSPSCDes,MATCH(INDIRECT(ADDRESS(ROW(),COLUMN()-1,4)),UNSPSCCode,0)),IF(INDIRECT(ADDRESS(ROW(),COLUMN()-1,4))="31211505","Pinturas de aceite",""))</f>
        <v>Pinturas de aceite</v>
      </c>
      <c r="C4120" s="58" t="str">
        <f>IFERROR(VLOOKUP("UD",'Informacion '!P:Q,2,FALSE),"")</f>
        <v>Unidad</v>
      </c>
      <c r="D4120" s="25">
        <v>5</v>
      </c>
      <c r="E4120" s="28">
        <v>590</v>
      </c>
      <c r="F4120" s="27">
        <f t="shared" ca="1" si="123"/>
        <v>2950</v>
      </c>
    </row>
    <row r="4121" spans="1:10" ht="14.25" customHeight="1" x14ac:dyDescent="0.25">
      <c r="A4121" s="25" t="s">
        <v>496</v>
      </c>
      <c r="B4121" s="26" t="str">
        <f ca="1">IFERROR(INDEX(UNSPSCDes,MATCH(INDIRECT(ADDRESS(ROW(),COLUMN()-1,4)),UNSPSCCode,0)),IF(INDIRECT(ADDRESS(ROW(),COLUMN()-1,4))="31211505","Pinturas de aceite",""))</f>
        <v>Pinturas de aceite</v>
      </c>
      <c r="C4121" s="58" t="str">
        <f>IFERROR(VLOOKUP("UD",'Informacion '!P:Q,2,FALSE),"")</f>
        <v>Unidad</v>
      </c>
      <c r="D4121" s="25">
        <v>5</v>
      </c>
      <c r="E4121" s="28">
        <v>590</v>
      </c>
      <c r="F4121" s="27">
        <f t="shared" ca="1" si="123"/>
        <v>2950</v>
      </c>
    </row>
    <row r="4122" spans="1:10" ht="14.25" customHeight="1" x14ac:dyDescent="0.25">
      <c r="A4122" s="25" t="s">
        <v>741</v>
      </c>
      <c r="B4122" s="26" t="str">
        <f ca="1">IFERROR(INDEX(UNSPSCDes,MATCH(INDIRECT(ADDRESS(ROW(),COLUMN()-1,4)),UNSPSCCode,0)),IF(INDIRECT(ADDRESS(ROW(),COLUMN()-1,4))="31211704","Sellantes",""))</f>
        <v>Sellantes</v>
      </c>
      <c r="C4122" s="58" t="str">
        <f>IFERROR(VLOOKUP("GAL",'Informacion '!P:Q,2,FALSE),"")</f>
        <v>Galón</v>
      </c>
      <c r="D4122" s="25">
        <v>10</v>
      </c>
      <c r="E4122" s="28">
        <v>3350</v>
      </c>
      <c r="F4122" s="27">
        <f t="shared" ca="1" si="123"/>
        <v>33500</v>
      </c>
    </row>
    <row r="4123" spans="1:10" ht="14.25" customHeight="1" x14ac:dyDescent="0.25">
      <c r="A4123" s="25" t="s">
        <v>1099</v>
      </c>
      <c r="B4123" s="26" t="str">
        <f ca="1">IFERROR(INDEX(UNSPSCDes,MATCH(INDIRECT(ADDRESS(ROW(),COLUMN()-1,4)),UNSPSCCode,0)),IF(INDIRECT(ADDRESS(ROW(),COLUMN()-1,4))="11121503","Laca",""))</f>
        <v>Laca</v>
      </c>
      <c r="C4123" s="58" t="str">
        <f>IFERROR(VLOOKUP("GAL",'Informacion '!P:Q,2,FALSE),"")</f>
        <v>Galón</v>
      </c>
      <c r="D4123" s="25">
        <v>10</v>
      </c>
      <c r="E4123" s="28">
        <v>1600</v>
      </c>
      <c r="F4123" s="27">
        <f t="shared" ca="1" si="123"/>
        <v>16000</v>
      </c>
    </row>
    <row r="4124" spans="1:10" ht="14.25" customHeight="1" x14ac:dyDescent="0.25">
      <c r="A4124" s="25" t="s">
        <v>1185</v>
      </c>
      <c r="B4124" s="26" t="str">
        <f ca="1">IFERROR(INDEX(UNSPSCDes,MATCH(INDIRECT(ADDRESS(ROW(),COLUMN()-1,4)),UNSPSCCode,0)),IF(INDIRECT(ADDRESS(ROW(),COLUMN()-1,4))="31211803","Diluyentes para pinturas y barnices",""))</f>
        <v>Diluyentes para pinturas y barnices</v>
      </c>
      <c r="C4124" s="58" t="str">
        <f>IFERROR(VLOOKUP("GAL",'Informacion '!P:Q,2,FALSE),"")</f>
        <v>Galón</v>
      </c>
      <c r="D4124" s="25">
        <v>20</v>
      </c>
      <c r="E4124" s="28">
        <v>1400</v>
      </c>
      <c r="F4124" s="27">
        <f t="shared" ca="1" si="123"/>
        <v>28000</v>
      </c>
    </row>
    <row r="4125" spans="1:10" ht="14.25" customHeight="1" x14ac:dyDescent="0.25">
      <c r="A4125" s="25" t="s">
        <v>1159</v>
      </c>
      <c r="B4125" s="26" t="str">
        <f ca="1">IFERROR(INDEX(UNSPSCDes,MATCH(INDIRECT(ADDRESS(ROW(),COLUMN()-1,4)),UNSPSCCode,0)),IF(INDIRECT(ADDRESS(ROW(),COLUMN()-1,4))="31211905","Mezcladores de pintura",""))</f>
        <v>Mezcladores de pintura</v>
      </c>
      <c r="C4125" s="58" t="str">
        <f>IFERROR(VLOOKUP("UD",'Informacion '!P:Q,2,FALSE),"")</f>
        <v>Unidad</v>
      </c>
      <c r="D4125" s="25">
        <v>6</v>
      </c>
      <c r="E4125" s="28">
        <v>1940</v>
      </c>
      <c r="F4125" s="27">
        <f t="shared" ca="1" si="123"/>
        <v>11640</v>
      </c>
    </row>
    <row r="4126" spans="1:10" ht="14.25" customHeight="1" x14ac:dyDescent="0.25">
      <c r="A4126" s="25" t="s">
        <v>819</v>
      </c>
      <c r="B4126" s="26" t="str">
        <f ca="1">IFERROR(INDEX(UNSPSCDes,MATCH(INDIRECT(ADDRESS(ROW(),COLUMN()-1,4)),UNSPSCCode,0)),IF(INDIRECT(ADDRESS(ROW(),COLUMN()-1,4))="31211504","Pinturas de revestimiento",""))</f>
        <v>Pinturas de revestimiento</v>
      </c>
      <c r="C4126" s="58" t="str">
        <f>IFERROR(VLOOKUP("UD",'Informacion '!P:Q,2,FALSE),"")</f>
        <v>Unidad</v>
      </c>
      <c r="D4126" s="25">
        <v>10</v>
      </c>
      <c r="E4126" s="28">
        <v>12500</v>
      </c>
      <c r="F4126" s="27">
        <f t="shared" ca="1" si="123"/>
        <v>125000</v>
      </c>
    </row>
    <row r="4127" spans="1:10" ht="14.25" customHeight="1" x14ac:dyDescent="0.25">
      <c r="A4127" s="25" t="s">
        <v>1159</v>
      </c>
      <c r="B4127" s="26" t="str">
        <f ca="1">IFERROR(INDEX(UNSPSCDes,MATCH(INDIRECT(ADDRESS(ROW(),COLUMN()-1,4)),UNSPSCCode,0)),IF(INDIRECT(ADDRESS(ROW(),COLUMN()-1,4))="31211905","Mezcladores de pintura",""))</f>
        <v>Mezcladores de pintura</v>
      </c>
      <c r="C4127" s="58" t="str">
        <f>IFERROR(VLOOKUP("UD",'Informacion '!P:Q,2,FALSE),"")</f>
        <v>Unidad</v>
      </c>
      <c r="D4127" s="25">
        <v>6</v>
      </c>
      <c r="E4127" s="28">
        <v>1940</v>
      </c>
      <c r="F4127" s="27">
        <f t="shared" ca="1" si="123"/>
        <v>11640</v>
      </c>
    </row>
    <row r="4128" spans="1:10" ht="14.25" customHeight="1" x14ac:dyDescent="0.25">
      <c r="E4128" s="30" t="s">
        <v>816</v>
      </c>
      <c r="F4128" s="31">
        <f ca="1">SUM(Table220[MONTO TOTAL ESTIMADO])</f>
        <v>1115443.2000000002</v>
      </c>
      <c r="H4128" s="21" t="str">
        <f>C4077</f>
        <v>Bienes</v>
      </c>
      <c r="I4128" s="21" t="str">
        <f>E4077</f>
        <v>No</v>
      </c>
      <c r="J4128" s="21" t="str">
        <f>D4077</f>
        <v>Compras Menores</v>
      </c>
    </row>
    <row r="4130" spans="1:10" ht="33.950000000000003" customHeight="1" x14ac:dyDescent="0.25">
      <c r="A4130" s="22" t="s">
        <v>1051</v>
      </c>
      <c r="B4130" s="22" t="s">
        <v>11</v>
      </c>
      <c r="C4130" s="22" t="s">
        <v>751</v>
      </c>
      <c r="D4130" s="22" t="s">
        <v>930</v>
      </c>
      <c r="E4130" s="22" t="s">
        <v>699</v>
      </c>
      <c r="F4130" s="22" t="s">
        <v>710</v>
      </c>
    </row>
    <row r="4131" spans="1:10" ht="14.25" customHeight="1" x14ac:dyDescent="0.25">
      <c r="A4131" s="23" t="s">
        <v>575</v>
      </c>
      <c r="B4131" s="23" t="s">
        <v>575</v>
      </c>
      <c r="C4131" s="23" t="s">
        <v>1155</v>
      </c>
      <c r="D4131" s="23" t="s">
        <v>1128</v>
      </c>
      <c r="E4131" s="23" t="s">
        <v>561</v>
      </c>
      <c r="F4131" s="23" t="s">
        <v>436</v>
      </c>
    </row>
    <row r="4132" spans="1:10" ht="14.25" customHeight="1" x14ac:dyDescent="0.25">
      <c r="A4132" s="68" t="s">
        <v>965</v>
      </c>
      <c r="B4132" s="24" t="s">
        <v>543</v>
      </c>
      <c r="C4132" s="54">
        <v>46142</v>
      </c>
      <c r="D4132" s="68" t="s">
        <v>598</v>
      </c>
      <c r="E4132" s="56" t="s">
        <v>858</v>
      </c>
      <c r="F4132" s="57" t="s">
        <v>184</v>
      </c>
    </row>
    <row r="4133" spans="1:10" ht="14.25" customHeight="1" x14ac:dyDescent="0.25">
      <c r="A4133" s="69"/>
      <c r="B4133" s="24" t="s">
        <v>112</v>
      </c>
      <c r="C4133" s="55">
        <f>IF(C4132="","",IF(AND(MONTH(C4132)&gt;=1,MONTH(C4132)&lt;=3),1,IF(AND(MONTH(C4132)&gt;=4,MONTH(C4132)&lt;=6),2,IF(AND(MONTH(C4132)&gt;=7,MONTH(C4132)&lt;=9),3,4))))</f>
        <v>2</v>
      </c>
      <c r="D4133" s="69"/>
      <c r="E4133" s="56" t="s">
        <v>143</v>
      </c>
      <c r="F4133" s="57"/>
    </row>
    <row r="4134" spans="1:10" ht="14.25" customHeight="1" x14ac:dyDescent="0.25">
      <c r="A4134" s="69"/>
      <c r="B4134" s="24" t="s">
        <v>844</v>
      </c>
      <c r="C4134" s="54">
        <v>46150</v>
      </c>
      <c r="D4134" s="69"/>
      <c r="E4134" s="56" t="s">
        <v>183</v>
      </c>
      <c r="F4134" s="57"/>
    </row>
    <row r="4135" spans="1:10" ht="14.25" customHeight="1" x14ac:dyDescent="0.25">
      <c r="A4135" s="69"/>
      <c r="B4135" s="24" t="s">
        <v>112</v>
      </c>
      <c r="C4135" s="55">
        <f>IF(C4134="","",IF(AND(MONTH(C4134)&gt;=1,MONTH(C4134)&lt;=3),1,IF(AND(MONTH(C4134)&gt;=4,MONTH(C4134)&lt;=6),2,IF(AND(MONTH(C4134)&gt;=7,MONTH(C4134)&lt;=9),3,4))))</f>
        <v>2</v>
      </c>
      <c r="D4135" s="69"/>
      <c r="E4135" s="56" t="s">
        <v>865</v>
      </c>
      <c r="F4135" s="57"/>
    </row>
    <row r="4137" spans="1:10" ht="14.25" customHeight="1" x14ac:dyDescent="0.25">
      <c r="A4137" s="29" t="s">
        <v>1017</v>
      </c>
      <c r="B4137" s="29" t="s">
        <v>1042</v>
      </c>
      <c r="C4137" s="29" t="s">
        <v>1011</v>
      </c>
      <c r="D4137" s="29" t="s">
        <v>985</v>
      </c>
      <c r="E4137" s="29" t="s">
        <v>449</v>
      </c>
      <c r="F4137" s="29" t="s">
        <v>989</v>
      </c>
    </row>
    <row r="4138" spans="1:10" ht="14.25" customHeight="1" x14ac:dyDescent="0.25">
      <c r="A4138" s="25" t="s">
        <v>447</v>
      </c>
      <c r="B4138" s="26" t="str">
        <f ca="1">IFERROR(INDEX(UNSPSCDes,MATCH(INDIRECT(ADDRESS(ROW(),COLUMN()-1,4)),UNSPSCCode,0)),IF(INDIRECT(ADDRESS(ROW(),COLUMN()-1,4))="25171502","limpiaparabrisas para automóviles",""))</f>
        <v>limpiaparabrisas para automóviles</v>
      </c>
      <c r="C4138" s="58" t="str">
        <f>IFERROR(VLOOKUP("UD",'Informacion '!P:Q,2,FALSE),"")</f>
        <v>Unidad</v>
      </c>
      <c r="D4138" s="25">
        <v>50</v>
      </c>
      <c r="E4138" s="28">
        <v>1500</v>
      </c>
      <c r="F4138" s="27">
        <f ca="1">INDIRECT(ADDRESS(ROW(),COLUMN()-2,4))*INDIRECT(ADDRESS(ROW(),COLUMN()-1,4))</f>
        <v>75000</v>
      </c>
    </row>
    <row r="4139" spans="1:10" ht="14.25" customHeight="1" x14ac:dyDescent="0.25">
      <c r="A4139" s="25" t="s">
        <v>447</v>
      </c>
      <c r="B4139" s="26" t="str">
        <f ca="1">IFERROR(INDEX(UNSPSCDes,MATCH(INDIRECT(ADDRESS(ROW(),COLUMN()-1,4)),UNSPSCCode,0)),IF(INDIRECT(ADDRESS(ROW(),COLUMN()-1,4))="25171502","limpiaparabrisas para automóviles",""))</f>
        <v>limpiaparabrisas para automóviles</v>
      </c>
      <c r="C4139" s="58" t="str">
        <f>IFERROR(VLOOKUP("UD",'Informacion '!P:Q,2,FALSE),"")</f>
        <v>Unidad</v>
      </c>
      <c r="D4139" s="25">
        <v>50</v>
      </c>
      <c r="E4139" s="28">
        <v>1500</v>
      </c>
      <c r="F4139" s="27">
        <f ca="1">INDIRECT(ADDRESS(ROW(),COLUMN()-2,4))*INDIRECT(ADDRESS(ROW(),COLUMN()-1,4))</f>
        <v>75000</v>
      </c>
    </row>
    <row r="4140" spans="1:10" ht="14.25" customHeight="1" x14ac:dyDescent="0.25">
      <c r="A4140" s="25" t="s">
        <v>447</v>
      </c>
      <c r="B4140" s="26" t="str">
        <f ca="1">IFERROR(INDEX(UNSPSCDes,MATCH(INDIRECT(ADDRESS(ROW(),COLUMN()-1,4)),UNSPSCCode,0)),IF(INDIRECT(ADDRESS(ROW(),COLUMN()-1,4))="25171502","limpiaparabrisas para automóviles",""))</f>
        <v>limpiaparabrisas para automóviles</v>
      </c>
      <c r="C4140" s="58" t="str">
        <f>IFERROR(VLOOKUP("UD",'Informacion '!P:Q,2,FALSE),"")</f>
        <v>Unidad</v>
      </c>
      <c r="D4140" s="25">
        <v>50</v>
      </c>
      <c r="E4140" s="28">
        <v>1500</v>
      </c>
      <c r="F4140" s="27">
        <f ca="1">INDIRECT(ADDRESS(ROW(),COLUMN()-2,4))*INDIRECT(ADDRESS(ROW(),COLUMN()-1,4))</f>
        <v>75000</v>
      </c>
    </row>
    <row r="4141" spans="1:10" ht="14.25" customHeight="1" x14ac:dyDescent="0.25">
      <c r="A4141" s="25" t="s">
        <v>447</v>
      </c>
      <c r="B4141" s="26" t="str">
        <f ca="1">IFERROR(INDEX(UNSPSCDes,MATCH(INDIRECT(ADDRESS(ROW(),COLUMN()-1,4)),UNSPSCCode,0)),IF(INDIRECT(ADDRESS(ROW(),COLUMN()-1,4))="25171502","limpiaparabrisas para automóviles",""))</f>
        <v>limpiaparabrisas para automóviles</v>
      </c>
      <c r="C4141" s="58" t="str">
        <f>IFERROR(VLOOKUP("UD",'Informacion '!P:Q,2,FALSE),"")</f>
        <v>Unidad</v>
      </c>
      <c r="D4141" s="25">
        <v>50</v>
      </c>
      <c r="E4141" s="28">
        <v>1500</v>
      </c>
      <c r="F4141" s="27">
        <f ca="1">INDIRECT(ADDRESS(ROW(),COLUMN()-2,4))*INDIRECT(ADDRESS(ROW(),COLUMN()-1,4))</f>
        <v>75000</v>
      </c>
    </row>
    <row r="4142" spans="1:10" ht="14.25" customHeight="1" x14ac:dyDescent="0.25">
      <c r="A4142" s="25" t="s">
        <v>447</v>
      </c>
      <c r="B4142" s="26" t="str">
        <f ca="1">IFERROR(INDEX(UNSPSCDes,MATCH(INDIRECT(ADDRESS(ROW(),COLUMN()-1,4)),UNSPSCCode,0)),IF(INDIRECT(ADDRESS(ROW(),COLUMN()-1,4))="25171502","limpiaparabrisas para automóviles",""))</f>
        <v>limpiaparabrisas para automóviles</v>
      </c>
      <c r="C4142" s="58" t="str">
        <f>IFERROR(VLOOKUP("UD",'Informacion '!P:Q,2,FALSE),"")</f>
        <v>Unidad</v>
      </c>
      <c r="D4142" s="25">
        <v>50</v>
      </c>
      <c r="E4142" s="28">
        <v>1500</v>
      </c>
      <c r="F4142" s="27">
        <f ca="1">INDIRECT(ADDRESS(ROW(),COLUMN()-2,4))*INDIRECT(ADDRESS(ROW(),COLUMN()-1,4))</f>
        <v>75000</v>
      </c>
    </row>
    <row r="4143" spans="1:10" ht="14.25" customHeight="1" x14ac:dyDescent="0.25">
      <c r="E4143" s="30" t="s">
        <v>816</v>
      </c>
      <c r="F4143" s="31">
        <f ca="1">SUM(Table221[MONTO TOTAL ESTIMADO])</f>
        <v>375000</v>
      </c>
      <c r="H4143" s="21" t="str">
        <f>C4131</f>
        <v>Bienes</v>
      </c>
      <c r="I4143" s="21" t="str">
        <f>E4131</f>
        <v>Sí</v>
      </c>
      <c r="J4143" s="21" t="str">
        <f>D4131</f>
        <v>Compras Menores</v>
      </c>
    </row>
    <row r="4145" spans="1:10" ht="33.950000000000003" customHeight="1" x14ac:dyDescent="0.25">
      <c r="A4145" s="22" t="s">
        <v>1051</v>
      </c>
      <c r="B4145" s="22" t="s">
        <v>11</v>
      </c>
      <c r="C4145" s="22" t="s">
        <v>751</v>
      </c>
      <c r="D4145" s="22" t="s">
        <v>930</v>
      </c>
      <c r="E4145" s="22" t="s">
        <v>699</v>
      </c>
      <c r="F4145" s="22" t="s">
        <v>710</v>
      </c>
    </row>
    <row r="4146" spans="1:10" ht="14.25" customHeight="1" x14ac:dyDescent="0.25">
      <c r="A4146" s="23" t="s">
        <v>122</v>
      </c>
      <c r="B4146" s="23" t="s">
        <v>122</v>
      </c>
      <c r="C4146" s="23" t="s">
        <v>438</v>
      </c>
      <c r="D4146" s="23" t="s">
        <v>654</v>
      </c>
      <c r="E4146" s="23" t="s">
        <v>1156</v>
      </c>
      <c r="F4146" s="23" t="s">
        <v>436</v>
      </c>
    </row>
    <row r="4147" spans="1:10" ht="14.25" customHeight="1" x14ac:dyDescent="0.25">
      <c r="A4147" s="68" t="s">
        <v>965</v>
      </c>
      <c r="B4147" s="24" t="s">
        <v>543</v>
      </c>
      <c r="C4147" s="54">
        <v>46068</v>
      </c>
      <c r="D4147" s="68" t="s">
        <v>598</v>
      </c>
      <c r="E4147" s="56" t="s">
        <v>858</v>
      </c>
      <c r="F4147" s="57" t="s">
        <v>184</v>
      </c>
    </row>
    <row r="4148" spans="1:10" ht="14.25" customHeight="1" x14ac:dyDescent="0.25">
      <c r="A4148" s="69"/>
      <c r="B4148" s="24" t="s">
        <v>112</v>
      </c>
      <c r="C4148" s="55">
        <f>IF(C4147="","",IF(AND(MONTH(C4147)&gt;=1,MONTH(C4147)&lt;=3),1,IF(AND(MONTH(C4147)&gt;=4,MONTH(C4147)&lt;=6),2,IF(AND(MONTH(C4147)&gt;=7,MONTH(C4147)&lt;=9),3,4))))</f>
        <v>1</v>
      </c>
      <c r="D4148" s="69"/>
      <c r="E4148" s="56" t="s">
        <v>143</v>
      </c>
      <c r="F4148" s="57"/>
    </row>
    <row r="4149" spans="1:10" ht="14.25" customHeight="1" x14ac:dyDescent="0.25">
      <c r="A4149" s="69"/>
      <c r="B4149" s="24" t="s">
        <v>844</v>
      </c>
      <c r="C4149" s="54">
        <v>46081</v>
      </c>
      <c r="D4149" s="69"/>
      <c r="E4149" s="56" t="s">
        <v>183</v>
      </c>
      <c r="F4149" s="57"/>
    </row>
    <row r="4150" spans="1:10" ht="14.25" customHeight="1" x14ac:dyDescent="0.25">
      <c r="A4150" s="69"/>
      <c r="B4150" s="24" t="s">
        <v>112</v>
      </c>
      <c r="C4150" s="55">
        <f>IF(C4149="","",IF(AND(MONTH(C4149)&gt;=1,MONTH(C4149)&lt;=3),1,IF(AND(MONTH(C4149)&gt;=4,MONTH(C4149)&lt;=6),2,IF(AND(MONTH(C4149)&gt;=7,MONTH(C4149)&lt;=9),3,4))))</f>
        <v>1</v>
      </c>
      <c r="D4150" s="69"/>
      <c r="E4150" s="56" t="s">
        <v>865</v>
      </c>
      <c r="F4150" s="57"/>
    </row>
    <row r="4152" spans="1:10" ht="14.25" customHeight="1" x14ac:dyDescent="0.25">
      <c r="A4152" s="29" t="s">
        <v>1017</v>
      </c>
      <c r="B4152" s="29" t="s">
        <v>1042</v>
      </c>
      <c r="C4152" s="29" t="s">
        <v>1011</v>
      </c>
      <c r="D4152" s="29" t="s">
        <v>985</v>
      </c>
      <c r="E4152" s="29" t="s">
        <v>449</v>
      </c>
      <c r="F4152" s="29" t="s">
        <v>989</v>
      </c>
    </row>
    <row r="4153" spans="1:10" ht="14.25" customHeight="1" x14ac:dyDescent="0.25">
      <c r="A4153" s="25" t="s">
        <v>583</v>
      </c>
      <c r="B4153" s="26" t="str">
        <f ca="1">IFERROR(INDEX(UNSPSCDes,MATCH(INDIRECT(ADDRESS(ROW(),COLUMN()-1,4)),UNSPSCCode,0)),IF(INDIRECT(ADDRESS(ROW(),COLUMN()-1,4))="76111501","Servicios de limpieza de edificios",""))</f>
        <v>Servicios de limpieza de edificios</v>
      </c>
      <c r="C4153" s="58" t="str">
        <f>IFERROR(VLOOKUP("UD",'Informacion '!P:Q,2,FALSE),"")</f>
        <v>Unidad</v>
      </c>
      <c r="D4153" s="25">
        <v>2</v>
      </c>
      <c r="E4153" s="28">
        <v>800</v>
      </c>
      <c r="F4153" s="27">
        <f ca="1">INDIRECT(ADDRESS(ROW(),COLUMN()-2,4))*INDIRECT(ADDRESS(ROW(),COLUMN()-1,4))</f>
        <v>1600</v>
      </c>
    </row>
    <row r="4154" spans="1:10" ht="14.25" customHeight="1" x14ac:dyDescent="0.25">
      <c r="E4154" s="30" t="s">
        <v>816</v>
      </c>
      <c r="F4154" s="31">
        <f ca="1">SUM(Table222[MONTO TOTAL ESTIMADO])</f>
        <v>1600</v>
      </c>
      <c r="H4154" s="21" t="str">
        <f>C4146</f>
        <v>Servicios</v>
      </c>
      <c r="I4154" s="21" t="str">
        <f>E4146</f>
        <v>No</v>
      </c>
      <c r="J4154" s="21" t="str">
        <f>D4146</f>
        <v>Compras por debajo del Umbral</v>
      </c>
    </row>
    <row r="4156" spans="1:10" ht="33.950000000000003" customHeight="1" x14ac:dyDescent="0.25">
      <c r="A4156" s="22" t="s">
        <v>1051</v>
      </c>
      <c r="B4156" s="22" t="s">
        <v>11</v>
      </c>
      <c r="C4156" s="22" t="s">
        <v>751</v>
      </c>
      <c r="D4156" s="22" t="s">
        <v>930</v>
      </c>
      <c r="E4156" s="22" t="s">
        <v>699</v>
      </c>
      <c r="F4156" s="22" t="s">
        <v>710</v>
      </c>
    </row>
    <row r="4157" spans="1:10" ht="14.25" customHeight="1" x14ac:dyDescent="0.25">
      <c r="A4157" s="23" t="s">
        <v>200</v>
      </c>
      <c r="B4157" s="23" t="s">
        <v>200</v>
      </c>
      <c r="C4157" s="23" t="s">
        <v>1155</v>
      </c>
      <c r="D4157" s="23" t="s">
        <v>146</v>
      </c>
      <c r="E4157" s="23" t="s">
        <v>561</v>
      </c>
      <c r="F4157" s="23" t="s">
        <v>436</v>
      </c>
    </row>
    <row r="4158" spans="1:10" ht="14.25" customHeight="1" x14ac:dyDescent="0.25">
      <c r="A4158" s="68" t="s">
        <v>965</v>
      </c>
      <c r="B4158" s="24" t="s">
        <v>543</v>
      </c>
      <c r="C4158" s="54">
        <v>46143</v>
      </c>
      <c r="D4158" s="68" t="s">
        <v>598</v>
      </c>
      <c r="E4158" s="56" t="s">
        <v>858</v>
      </c>
      <c r="F4158" s="57" t="s">
        <v>184</v>
      </c>
    </row>
    <row r="4159" spans="1:10" ht="14.25" customHeight="1" x14ac:dyDescent="0.25">
      <c r="A4159" s="69"/>
      <c r="B4159" s="24" t="s">
        <v>112</v>
      </c>
      <c r="C4159" s="55">
        <f>IF(C4158="","",IF(AND(MONTH(C4158)&gt;=1,MONTH(C4158)&lt;=3),1,IF(AND(MONTH(C4158)&gt;=4,MONTH(C4158)&lt;=6),2,IF(AND(MONTH(C4158)&gt;=7,MONTH(C4158)&lt;=9),3,4))))</f>
        <v>2</v>
      </c>
      <c r="D4159" s="69"/>
      <c r="E4159" s="56" t="s">
        <v>143</v>
      </c>
      <c r="F4159" s="57"/>
    </row>
    <row r="4160" spans="1:10" ht="14.25" customHeight="1" x14ac:dyDescent="0.25">
      <c r="A4160" s="69"/>
      <c r="B4160" s="24" t="s">
        <v>844</v>
      </c>
      <c r="C4160" s="54">
        <v>46156</v>
      </c>
      <c r="D4160" s="69"/>
      <c r="E4160" s="56" t="s">
        <v>183</v>
      </c>
      <c r="F4160" s="57"/>
    </row>
    <row r="4161" spans="1:6" ht="14.25" customHeight="1" x14ac:dyDescent="0.25">
      <c r="A4161" s="69"/>
      <c r="B4161" s="24" t="s">
        <v>112</v>
      </c>
      <c r="C4161" s="55">
        <f>IF(C4160="","",IF(AND(MONTH(C4160)&gt;=1,MONTH(C4160)&lt;=3),1,IF(AND(MONTH(C4160)&gt;=4,MONTH(C4160)&lt;=6),2,IF(AND(MONTH(C4160)&gt;=7,MONTH(C4160)&lt;=9),3,4))))</f>
        <v>2</v>
      </c>
      <c r="D4161" s="69"/>
      <c r="E4161" s="56" t="s">
        <v>865</v>
      </c>
      <c r="F4161" s="57"/>
    </row>
    <row r="4163" spans="1:6" ht="14.25" customHeight="1" x14ac:dyDescent="0.25">
      <c r="A4163" s="29" t="s">
        <v>1017</v>
      </c>
      <c r="B4163" s="29" t="s">
        <v>1042</v>
      </c>
      <c r="C4163" s="29" t="s">
        <v>1011</v>
      </c>
      <c r="D4163" s="29" t="s">
        <v>985</v>
      </c>
      <c r="E4163" s="29" t="s">
        <v>449</v>
      </c>
      <c r="F4163" s="29" t="s">
        <v>989</v>
      </c>
    </row>
    <row r="4164" spans="1:6" ht="14.25" customHeight="1" x14ac:dyDescent="0.25">
      <c r="A4164" s="25" t="s">
        <v>651</v>
      </c>
      <c r="B4164" s="26" t="str">
        <f ca="1">IFERROR(INDEX(UNSPSCDes,MATCH(INDIRECT(ADDRESS(ROW(),COLUMN()-1,4)),UNSPSCCode,0)),IF(INDIRECT(ADDRESS(ROW(),COLUMN()-1,4))="43211711","Escáneres",""))</f>
        <v>Escáneres</v>
      </c>
      <c r="C4164" s="58" t="str">
        <f>IFERROR(VLOOKUP("UD",'Informacion '!P:Q,2,FALSE),"")</f>
        <v>Unidad</v>
      </c>
      <c r="D4164" s="25">
        <v>1</v>
      </c>
      <c r="E4164" s="28">
        <v>4000000</v>
      </c>
      <c r="F4164" s="27">
        <f t="shared" ref="F4164:F4207" ca="1" si="124">INDIRECT(ADDRESS(ROW(),COLUMN()-2,4))*INDIRECT(ADDRESS(ROW(),COLUMN()-1,4))</f>
        <v>4000000</v>
      </c>
    </row>
    <row r="4165" spans="1:6" ht="14.25" customHeight="1" x14ac:dyDescent="0.25">
      <c r="A4165" s="25" t="s">
        <v>708</v>
      </c>
      <c r="B4165" s="26" t="str">
        <f ca="1">IFERROR(INDEX(UNSPSCDes,MATCH(INDIRECT(ADDRESS(ROW(),COLUMN()-1,4)),UNSPSCCode,0)),IF(INDIRECT(ADDRESS(ROW(),COLUMN()-1,4))="43211507","Computadores de escritorio",""))</f>
        <v>Computadores de escritorio</v>
      </c>
      <c r="C4165" s="58" t="str">
        <f>IFERROR(VLOOKUP("UD",'Informacion '!P:Q,2,FALSE),"")</f>
        <v>Unidad</v>
      </c>
      <c r="D4165" s="25">
        <v>10</v>
      </c>
      <c r="E4165" s="28">
        <v>185000</v>
      </c>
      <c r="F4165" s="27">
        <f t="shared" ca="1" si="124"/>
        <v>1850000</v>
      </c>
    </row>
    <row r="4166" spans="1:6" ht="14.25" customHeight="1" x14ac:dyDescent="0.25">
      <c r="A4166" s="25" t="s">
        <v>1165</v>
      </c>
      <c r="B4166" s="26" t="str">
        <f ca="1">IFERROR(INDEX(UNSPSCDes,MATCH(INDIRECT(ADDRESS(ROW(),COLUMN()-1,4)),UNSPSCCode,0)),IF(INDIRECT(ADDRESS(ROW(),COLUMN()-1,4))="43211503","Computadores notebook",""))</f>
        <v>Computadores notebook</v>
      </c>
      <c r="C4166" s="58" t="str">
        <f>IFERROR(VLOOKUP("UD",'Informacion '!P:Q,2,FALSE),"")</f>
        <v>Unidad</v>
      </c>
      <c r="D4166" s="25">
        <v>10</v>
      </c>
      <c r="E4166" s="28">
        <v>185000</v>
      </c>
      <c r="F4166" s="27">
        <f t="shared" ca="1" si="124"/>
        <v>1850000</v>
      </c>
    </row>
    <row r="4167" spans="1:6" ht="14.25" customHeight="1" x14ac:dyDescent="0.25">
      <c r="A4167" s="25" t="s">
        <v>1165</v>
      </c>
      <c r="B4167" s="26" t="str">
        <f ca="1">IFERROR(INDEX(UNSPSCDes,MATCH(INDIRECT(ADDRESS(ROW(),COLUMN()-1,4)),UNSPSCCode,0)),IF(INDIRECT(ADDRESS(ROW(),COLUMN()-1,4))="43211503","Computadores notebook",""))</f>
        <v>Computadores notebook</v>
      </c>
      <c r="C4167" s="58" t="str">
        <f>IFERROR(VLOOKUP("UD",'Informacion '!P:Q,2,FALSE),"")</f>
        <v>Unidad</v>
      </c>
      <c r="D4167" s="25">
        <v>5</v>
      </c>
      <c r="E4167" s="28">
        <v>80000</v>
      </c>
      <c r="F4167" s="27">
        <f t="shared" ca="1" si="124"/>
        <v>400000</v>
      </c>
    </row>
    <row r="4168" spans="1:6" ht="14.25" customHeight="1" x14ac:dyDescent="0.25">
      <c r="A4168" s="25" t="s">
        <v>1165</v>
      </c>
      <c r="B4168" s="26" t="str">
        <f ca="1">IFERROR(INDEX(UNSPSCDes,MATCH(INDIRECT(ADDRESS(ROW(),COLUMN()-1,4)),UNSPSCCode,0)),IF(INDIRECT(ADDRESS(ROW(),COLUMN()-1,4))="43211503","Computadores notebook",""))</f>
        <v>Computadores notebook</v>
      </c>
      <c r="C4168" s="58" t="str">
        <f>IFERROR(VLOOKUP("UD",'Informacion '!P:Q,2,FALSE),"")</f>
        <v>Unidad</v>
      </c>
      <c r="D4168" s="25">
        <v>5</v>
      </c>
      <c r="E4168" s="28">
        <v>80000</v>
      </c>
      <c r="F4168" s="27">
        <f t="shared" ca="1" si="124"/>
        <v>400000</v>
      </c>
    </row>
    <row r="4169" spans="1:6" ht="14.25" customHeight="1" x14ac:dyDescent="0.25">
      <c r="A4169" s="25" t="s">
        <v>1165</v>
      </c>
      <c r="B4169" s="26" t="str">
        <f ca="1">IFERROR(INDEX(UNSPSCDes,MATCH(INDIRECT(ADDRESS(ROW(),COLUMN()-1,4)),UNSPSCCode,0)),IF(INDIRECT(ADDRESS(ROW(),COLUMN()-1,4))="43211503","Computadores notebook",""))</f>
        <v>Computadores notebook</v>
      </c>
      <c r="C4169" s="58" t="str">
        <f>IFERROR(VLOOKUP("UD",'Informacion '!P:Q,2,FALSE),"")</f>
        <v>Unidad</v>
      </c>
      <c r="D4169" s="25">
        <v>5</v>
      </c>
      <c r="E4169" s="28">
        <v>80000</v>
      </c>
      <c r="F4169" s="27">
        <f t="shared" ca="1" si="124"/>
        <v>400000</v>
      </c>
    </row>
    <row r="4170" spans="1:6" ht="14.25" customHeight="1" x14ac:dyDescent="0.25">
      <c r="A4170" s="25" t="s">
        <v>1165</v>
      </c>
      <c r="B4170" s="26" t="str">
        <f ca="1">IFERROR(INDEX(UNSPSCDes,MATCH(INDIRECT(ADDRESS(ROW(),COLUMN()-1,4)),UNSPSCCode,0)),IF(INDIRECT(ADDRESS(ROW(),COLUMN()-1,4))="43211503","Computadores notebook",""))</f>
        <v>Computadores notebook</v>
      </c>
      <c r="C4170" s="58" t="str">
        <f>IFERROR(VLOOKUP("UD",'Informacion '!P:Q,2,FALSE),"")</f>
        <v>Unidad</v>
      </c>
      <c r="D4170" s="25">
        <v>5</v>
      </c>
      <c r="E4170" s="28">
        <v>80000</v>
      </c>
      <c r="F4170" s="27">
        <f t="shared" ca="1" si="124"/>
        <v>400000</v>
      </c>
    </row>
    <row r="4171" spans="1:6" ht="14.25" customHeight="1" x14ac:dyDescent="0.25">
      <c r="A4171" s="25" t="s">
        <v>302</v>
      </c>
      <c r="B4171" s="26" t="str">
        <f ca="1">IFERROR(INDEX(UNSPSCDes,MATCH(INDIRECT(ADDRESS(ROW(),COLUMN()-1,4)),UNSPSCCode,0)),IF(INDIRECT(ADDRESS(ROW(),COLUMN()-1,4))="43211509","Computadores de tableta",""))</f>
        <v>Computadores de tableta</v>
      </c>
      <c r="C4171" s="58" t="str">
        <f>IFERROR(VLOOKUP("UD",'Informacion '!P:Q,2,FALSE),"")</f>
        <v>Unidad</v>
      </c>
      <c r="D4171" s="25">
        <v>15</v>
      </c>
      <c r="E4171" s="28">
        <v>25000</v>
      </c>
      <c r="F4171" s="27">
        <f t="shared" ca="1" si="124"/>
        <v>375000</v>
      </c>
    </row>
    <row r="4172" spans="1:6" ht="14.25" customHeight="1" x14ac:dyDescent="0.25">
      <c r="A4172" s="25" t="s">
        <v>708</v>
      </c>
      <c r="B4172" s="26" t="str">
        <f ca="1">IFERROR(INDEX(UNSPSCDes,MATCH(INDIRECT(ADDRESS(ROW(),COLUMN()-1,4)),UNSPSCCode,0)),IF(INDIRECT(ADDRESS(ROW(),COLUMN()-1,4))="43211507","Computadores de escritorio",""))</f>
        <v>Computadores de escritorio</v>
      </c>
      <c r="C4172" s="58" t="str">
        <f>IFERROR(VLOOKUP("UD",'Informacion '!P:Q,2,FALSE),"")</f>
        <v>Unidad</v>
      </c>
      <c r="D4172" s="25">
        <v>5</v>
      </c>
      <c r="E4172" s="28">
        <v>72000</v>
      </c>
      <c r="F4172" s="27">
        <f t="shared" ca="1" si="124"/>
        <v>360000</v>
      </c>
    </row>
    <row r="4173" spans="1:6" ht="14.25" customHeight="1" x14ac:dyDescent="0.25">
      <c r="A4173" s="25" t="s">
        <v>1165</v>
      </c>
      <c r="B4173" s="26" t="str">
        <f ca="1">IFERROR(INDEX(UNSPSCDes,MATCH(INDIRECT(ADDRESS(ROW(),COLUMN()-1,4)),UNSPSCCode,0)),IF(INDIRECT(ADDRESS(ROW(),COLUMN()-1,4))="43211503","Computadores notebook",""))</f>
        <v>Computadores notebook</v>
      </c>
      <c r="C4173" s="58" t="str">
        <f>IFERROR(VLOOKUP("UD",'Informacion '!P:Q,2,FALSE),"")</f>
        <v>Unidad</v>
      </c>
      <c r="D4173" s="25">
        <v>3</v>
      </c>
      <c r="E4173" s="28">
        <v>80000</v>
      </c>
      <c r="F4173" s="27">
        <f t="shared" ca="1" si="124"/>
        <v>240000</v>
      </c>
    </row>
    <row r="4174" spans="1:6" ht="14.25" customHeight="1" x14ac:dyDescent="0.25">
      <c r="A4174" s="25" t="s">
        <v>1165</v>
      </c>
      <c r="B4174" s="26" t="str">
        <f ca="1">IFERROR(INDEX(UNSPSCDes,MATCH(INDIRECT(ADDRESS(ROW(),COLUMN()-1,4)),UNSPSCCode,0)),IF(INDIRECT(ADDRESS(ROW(),COLUMN()-1,4))="43211503","Computadores notebook",""))</f>
        <v>Computadores notebook</v>
      </c>
      <c r="C4174" s="58" t="str">
        <f>IFERROR(VLOOKUP("UD",'Informacion '!P:Q,2,FALSE),"")</f>
        <v>Unidad</v>
      </c>
      <c r="D4174" s="25">
        <v>3</v>
      </c>
      <c r="E4174" s="28">
        <v>80000</v>
      </c>
      <c r="F4174" s="27">
        <f t="shared" ca="1" si="124"/>
        <v>240000</v>
      </c>
    </row>
    <row r="4175" spans="1:6" ht="14.25" customHeight="1" x14ac:dyDescent="0.25">
      <c r="A4175" s="25" t="s">
        <v>1165</v>
      </c>
      <c r="B4175" s="26" t="str">
        <f ca="1">IFERROR(INDEX(UNSPSCDes,MATCH(INDIRECT(ADDRESS(ROW(),COLUMN()-1,4)),UNSPSCCode,0)),IF(INDIRECT(ADDRESS(ROW(),COLUMN()-1,4))="43211503","Computadores notebook",""))</f>
        <v>Computadores notebook</v>
      </c>
      <c r="C4175" s="58" t="str">
        <f>IFERROR(VLOOKUP("UD",'Informacion '!P:Q,2,FALSE),"")</f>
        <v>Unidad</v>
      </c>
      <c r="D4175" s="25">
        <v>3</v>
      </c>
      <c r="E4175" s="28">
        <v>80000</v>
      </c>
      <c r="F4175" s="27">
        <f t="shared" ca="1" si="124"/>
        <v>240000</v>
      </c>
    </row>
    <row r="4176" spans="1:6" ht="14.25" customHeight="1" x14ac:dyDescent="0.25">
      <c r="A4176" s="25" t="s">
        <v>1165</v>
      </c>
      <c r="B4176" s="26" t="str">
        <f ca="1">IFERROR(INDEX(UNSPSCDes,MATCH(INDIRECT(ADDRESS(ROW(),COLUMN()-1,4)),UNSPSCCode,0)),IF(INDIRECT(ADDRESS(ROW(),COLUMN()-1,4))="43211503","Computadores notebook",""))</f>
        <v>Computadores notebook</v>
      </c>
      <c r="C4176" s="58" t="str">
        <f>IFERROR(VLOOKUP("UD",'Informacion '!P:Q,2,FALSE),"")</f>
        <v>Unidad</v>
      </c>
      <c r="D4176" s="25">
        <v>3</v>
      </c>
      <c r="E4176" s="28">
        <v>80000</v>
      </c>
      <c r="F4176" s="27">
        <f t="shared" ca="1" si="124"/>
        <v>240000</v>
      </c>
    </row>
    <row r="4177" spans="1:6" ht="14.25" customHeight="1" x14ac:dyDescent="0.25">
      <c r="A4177" s="25" t="s">
        <v>1165</v>
      </c>
      <c r="B4177" s="26" t="str">
        <f ca="1">IFERROR(INDEX(UNSPSCDes,MATCH(INDIRECT(ADDRESS(ROW(),COLUMN()-1,4)),UNSPSCCode,0)),IF(INDIRECT(ADDRESS(ROW(),COLUMN()-1,4))="43211503","Computadores notebook",""))</f>
        <v>Computadores notebook</v>
      </c>
      <c r="C4177" s="58" t="str">
        <f>IFERROR(VLOOKUP("UD",'Informacion '!P:Q,2,FALSE),"")</f>
        <v>Unidad</v>
      </c>
      <c r="D4177" s="25">
        <v>3</v>
      </c>
      <c r="E4177" s="28">
        <v>80000</v>
      </c>
      <c r="F4177" s="27">
        <f t="shared" ca="1" si="124"/>
        <v>240000</v>
      </c>
    </row>
    <row r="4178" spans="1:6" ht="14.25" customHeight="1" x14ac:dyDescent="0.25">
      <c r="A4178" s="25" t="s">
        <v>651</v>
      </c>
      <c r="B4178" s="26" t="str">
        <f ca="1">IFERROR(INDEX(UNSPSCDes,MATCH(INDIRECT(ADDRESS(ROW(),COLUMN()-1,4)),UNSPSCCode,0)),IF(INDIRECT(ADDRESS(ROW(),COLUMN()-1,4))="43211711","Escáneres",""))</f>
        <v>Escáneres</v>
      </c>
      <c r="C4178" s="58" t="str">
        <f>IFERROR(VLOOKUP("UD",'Informacion '!P:Q,2,FALSE),"")</f>
        <v>Unidad</v>
      </c>
      <c r="D4178" s="25">
        <v>7</v>
      </c>
      <c r="E4178" s="28">
        <v>32000</v>
      </c>
      <c r="F4178" s="27">
        <f t="shared" ca="1" si="124"/>
        <v>224000</v>
      </c>
    </row>
    <row r="4179" spans="1:6" ht="14.25" customHeight="1" x14ac:dyDescent="0.25">
      <c r="A4179" s="25" t="s">
        <v>488</v>
      </c>
      <c r="B4179" s="26" t="str">
        <f ca="1">IFERROR(INDEX(UNSPSCDes,MATCH(INDIRECT(ADDRESS(ROW(),COLUMN()-1,4)),UNSPSCCode,0)),IF(INDIRECT(ADDRESS(ROW(),COLUMN()-1,4))="43211902","Paneles o monitores de pantalla de cristal líquido lcd",""))</f>
        <v>Paneles o monitores de pantalla de cristal líquido lcd</v>
      </c>
      <c r="C4179" s="58" t="str">
        <f>IFERROR(VLOOKUP("UD",'Informacion '!P:Q,2,FALSE),"")</f>
        <v>Unidad</v>
      </c>
      <c r="D4179" s="25">
        <v>14</v>
      </c>
      <c r="E4179" s="28">
        <v>16000</v>
      </c>
      <c r="F4179" s="27">
        <f t="shared" ca="1" si="124"/>
        <v>224000</v>
      </c>
    </row>
    <row r="4180" spans="1:6" ht="14.25" customHeight="1" x14ac:dyDescent="0.25">
      <c r="A4180" s="25" t="s">
        <v>708</v>
      </c>
      <c r="B4180" s="26" t="str">
        <f t="shared" ref="B4180:B4185" ca="1" si="125">IFERROR(INDEX(UNSPSCDes,MATCH(INDIRECT(ADDRESS(ROW(),COLUMN()-1,4)),UNSPSCCode,0)),IF(INDIRECT(ADDRESS(ROW(),COLUMN()-1,4))="43211507","Computadores de escritorio",""))</f>
        <v>Computadores de escritorio</v>
      </c>
      <c r="C4180" s="58" t="str">
        <f>IFERROR(VLOOKUP("UD",'Informacion '!P:Q,2,FALSE),"")</f>
        <v>Unidad</v>
      </c>
      <c r="D4180" s="25">
        <v>3</v>
      </c>
      <c r="E4180" s="28">
        <v>72000</v>
      </c>
      <c r="F4180" s="27">
        <f t="shared" ca="1" si="124"/>
        <v>216000</v>
      </c>
    </row>
    <row r="4181" spans="1:6" ht="14.25" customHeight="1" x14ac:dyDescent="0.25">
      <c r="A4181" s="25" t="s">
        <v>708</v>
      </c>
      <c r="B4181" s="26" t="str">
        <f t="shared" ca="1" si="125"/>
        <v>Computadores de escritorio</v>
      </c>
      <c r="C4181" s="58" t="str">
        <f>IFERROR(VLOOKUP("UD",'Informacion '!P:Q,2,FALSE),"")</f>
        <v>Unidad</v>
      </c>
      <c r="D4181" s="25">
        <v>3</v>
      </c>
      <c r="E4181" s="28">
        <v>72000</v>
      </c>
      <c r="F4181" s="27">
        <f t="shared" ca="1" si="124"/>
        <v>216000</v>
      </c>
    </row>
    <row r="4182" spans="1:6" ht="14.25" customHeight="1" x14ac:dyDescent="0.25">
      <c r="A4182" s="25" t="s">
        <v>708</v>
      </c>
      <c r="B4182" s="26" t="str">
        <f t="shared" ca="1" si="125"/>
        <v>Computadores de escritorio</v>
      </c>
      <c r="C4182" s="58" t="str">
        <f>IFERROR(VLOOKUP("UD",'Informacion '!P:Q,2,FALSE),"")</f>
        <v>Unidad</v>
      </c>
      <c r="D4182" s="25">
        <v>3</v>
      </c>
      <c r="E4182" s="28">
        <v>72000</v>
      </c>
      <c r="F4182" s="27">
        <f t="shared" ca="1" si="124"/>
        <v>216000</v>
      </c>
    </row>
    <row r="4183" spans="1:6" ht="14.25" customHeight="1" x14ac:dyDescent="0.25">
      <c r="A4183" s="25" t="s">
        <v>708</v>
      </c>
      <c r="B4183" s="26" t="str">
        <f t="shared" ca="1" si="125"/>
        <v>Computadores de escritorio</v>
      </c>
      <c r="C4183" s="58" t="str">
        <f>IFERROR(VLOOKUP("UD",'Informacion '!P:Q,2,FALSE),"")</f>
        <v>Unidad</v>
      </c>
      <c r="D4183" s="25">
        <v>2</v>
      </c>
      <c r="E4183" s="28">
        <v>80000</v>
      </c>
      <c r="F4183" s="27">
        <f t="shared" ca="1" si="124"/>
        <v>160000</v>
      </c>
    </row>
    <row r="4184" spans="1:6" ht="14.25" customHeight="1" x14ac:dyDescent="0.25">
      <c r="A4184" s="25" t="s">
        <v>708</v>
      </c>
      <c r="B4184" s="26" t="str">
        <f t="shared" ca="1" si="125"/>
        <v>Computadores de escritorio</v>
      </c>
      <c r="C4184" s="58" t="str">
        <f>IFERROR(VLOOKUP("UD",'Informacion '!P:Q,2,FALSE),"")</f>
        <v>Unidad</v>
      </c>
      <c r="D4184" s="25">
        <v>2</v>
      </c>
      <c r="E4184" s="28">
        <v>80000</v>
      </c>
      <c r="F4184" s="27">
        <f t="shared" ca="1" si="124"/>
        <v>160000</v>
      </c>
    </row>
    <row r="4185" spans="1:6" ht="14.25" customHeight="1" x14ac:dyDescent="0.25">
      <c r="A4185" s="25" t="s">
        <v>708</v>
      </c>
      <c r="B4185" s="26" t="str">
        <f t="shared" ca="1" si="125"/>
        <v>Computadores de escritorio</v>
      </c>
      <c r="C4185" s="58" t="str">
        <f>IFERROR(VLOOKUP("UD",'Informacion '!P:Q,2,FALSE),"")</f>
        <v>Unidad</v>
      </c>
      <c r="D4185" s="25">
        <v>2</v>
      </c>
      <c r="E4185" s="28">
        <v>80000</v>
      </c>
      <c r="F4185" s="27">
        <f t="shared" ca="1" si="124"/>
        <v>160000</v>
      </c>
    </row>
    <row r="4186" spans="1:6" ht="14.25" customHeight="1" x14ac:dyDescent="0.25">
      <c r="A4186" s="25" t="s">
        <v>488</v>
      </c>
      <c r="B4186" s="26" t="str">
        <f ca="1">IFERROR(INDEX(UNSPSCDes,MATCH(INDIRECT(ADDRESS(ROW(),COLUMN()-1,4)),UNSPSCCode,0)),IF(INDIRECT(ADDRESS(ROW(),COLUMN()-1,4))="43211902","Paneles o monitores de pantalla de cristal líquido lcd",""))</f>
        <v>Paneles o monitores de pantalla de cristal líquido lcd</v>
      </c>
      <c r="C4186" s="58" t="str">
        <f>IFERROR(VLOOKUP("UD",'Informacion '!P:Q,2,FALSE),"")</f>
        <v>Unidad</v>
      </c>
      <c r="D4186" s="25">
        <v>10</v>
      </c>
      <c r="E4186" s="28">
        <v>16000</v>
      </c>
      <c r="F4186" s="27">
        <f t="shared" ca="1" si="124"/>
        <v>160000</v>
      </c>
    </row>
    <row r="4187" spans="1:6" ht="14.25" customHeight="1" x14ac:dyDescent="0.25">
      <c r="A4187" s="25" t="s">
        <v>651</v>
      </c>
      <c r="B4187" s="26" t="str">
        <f ca="1">IFERROR(INDEX(UNSPSCDes,MATCH(INDIRECT(ADDRESS(ROW(),COLUMN()-1,4)),UNSPSCCode,0)),IF(INDIRECT(ADDRESS(ROW(),COLUMN()-1,4))="43211711","Escáneres",""))</f>
        <v>Escáneres</v>
      </c>
      <c r="C4187" s="58" t="str">
        <f>IFERROR(VLOOKUP("UD",'Informacion '!P:Q,2,FALSE),"")</f>
        <v>Unidad</v>
      </c>
      <c r="D4187" s="25">
        <v>4</v>
      </c>
      <c r="E4187" s="28">
        <v>40000</v>
      </c>
      <c r="F4187" s="27">
        <f t="shared" ca="1" si="124"/>
        <v>160000</v>
      </c>
    </row>
    <row r="4188" spans="1:6" ht="14.25" customHeight="1" x14ac:dyDescent="0.25">
      <c r="A4188" s="25" t="s">
        <v>651</v>
      </c>
      <c r="B4188" s="26" t="str">
        <f ca="1">IFERROR(INDEX(UNSPSCDes,MATCH(INDIRECT(ADDRESS(ROW(),COLUMN()-1,4)),UNSPSCCode,0)),IF(INDIRECT(ADDRESS(ROW(),COLUMN()-1,4))="43211711","Escáneres",""))</f>
        <v>Escáneres</v>
      </c>
      <c r="C4188" s="58" t="str">
        <f>IFERROR(VLOOKUP("UD",'Informacion '!P:Q,2,FALSE),"")</f>
        <v>Unidad</v>
      </c>
      <c r="D4188" s="25">
        <v>5</v>
      </c>
      <c r="E4188" s="28">
        <v>30000</v>
      </c>
      <c r="F4188" s="27">
        <f t="shared" ca="1" si="124"/>
        <v>150000</v>
      </c>
    </row>
    <row r="4189" spans="1:6" ht="14.25" customHeight="1" x14ac:dyDescent="0.25">
      <c r="A4189" s="25" t="s">
        <v>651</v>
      </c>
      <c r="B4189" s="26" t="str">
        <f ca="1">IFERROR(INDEX(UNSPSCDes,MATCH(INDIRECT(ADDRESS(ROW(),COLUMN()-1,4)),UNSPSCCode,0)),IF(INDIRECT(ADDRESS(ROW(),COLUMN()-1,4))="43211711","Escáneres",""))</f>
        <v>Escáneres</v>
      </c>
      <c r="C4189" s="58" t="str">
        <f>IFERROR(VLOOKUP("UD",'Informacion '!P:Q,2,FALSE),"")</f>
        <v>Unidad</v>
      </c>
      <c r="D4189" s="25">
        <v>5</v>
      </c>
      <c r="E4189" s="28">
        <v>30000</v>
      </c>
      <c r="F4189" s="27">
        <f t="shared" ca="1" si="124"/>
        <v>150000</v>
      </c>
    </row>
    <row r="4190" spans="1:6" ht="14.25" customHeight="1" x14ac:dyDescent="0.25">
      <c r="A4190" s="25" t="s">
        <v>708</v>
      </c>
      <c r="B4190" s="26" t="str">
        <f ca="1">IFERROR(INDEX(UNSPSCDes,MATCH(INDIRECT(ADDRESS(ROW(),COLUMN()-1,4)),UNSPSCCode,0)),IF(INDIRECT(ADDRESS(ROW(),COLUMN()-1,4))="43211507","Computadores de escritorio",""))</f>
        <v>Computadores de escritorio</v>
      </c>
      <c r="C4190" s="58" t="str">
        <f>IFERROR(VLOOKUP("UD",'Informacion '!P:Q,2,FALSE),"")</f>
        <v>Unidad</v>
      </c>
      <c r="D4190" s="25">
        <v>2</v>
      </c>
      <c r="E4190" s="28">
        <v>72000</v>
      </c>
      <c r="F4190" s="27">
        <f t="shared" ca="1" si="124"/>
        <v>144000</v>
      </c>
    </row>
    <row r="4191" spans="1:6" ht="14.25" customHeight="1" x14ac:dyDescent="0.25">
      <c r="A4191" s="25" t="s">
        <v>651</v>
      </c>
      <c r="B4191" s="26" t="str">
        <f ca="1">IFERROR(INDEX(UNSPSCDes,MATCH(INDIRECT(ADDRESS(ROW(),COLUMN()-1,4)),UNSPSCCode,0)),IF(INDIRECT(ADDRESS(ROW(),COLUMN()-1,4))="43211711","Escáneres",""))</f>
        <v>Escáneres</v>
      </c>
      <c r="C4191" s="58" t="str">
        <f>IFERROR(VLOOKUP("UD",'Informacion '!P:Q,2,FALSE),"")</f>
        <v>Unidad</v>
      </c>
      <c r="D4191" s="25">
        <v>3</v>
      </c>
      <c r="E4191" s="28">
        <v>45000</v>
      </c>
      <c r="F4191" s="27">
        <f t="shared" ca="1" si="124"/>
        <v>135000</v>
      </c>
    </row>
    <row r="4192" spans="1:6" ht="14.25" customHeight="1" x14ac:dyDescent="0.25">
      <c r="A4192" s="25" t="s">
        <v>651</v>
      </c>
      <c r="B4192" s="26" t="str">
        <f ca="1">IFERROR(INDEX(UNSPSCDes,MATCH(INDIRECT(ADDRESS(ROW(),COLUMN()-1,4)),UNSPSCCode,0)),IF(INDIRECT(ADDRESS(ROW(),COLUMN()-1,4))="43211711","Escáneres",""))</f>
        <v>Escáneres</v>
      </c>
      <c r="C4192" s="58" t="str">
        <f>IFERROR(VLOOKUP("UD",'Informacion '!P:Q,2,FALSE),"")</f>
        <v>Unidad</v>
      </c>
      <c r="D4192" s="25">
        <v>3</v>
      </c>
      <c r="E4192" s="28">
        <v>32000</v>
      </c>
      <c r="F4192" s="27">
        <f t="shared" ca="1" si="124"/>
        <v>96000</v>
      </c>
    </row>
    <row r="4193" spans="1:10" ht="14.25" customHeight="1" x14ac:dyDescent="0.25">
      <c r="A4193" s="25" t="s">
        <v>488</v>
      </c>
      <c r="B4193" s="26" t="str">
        <f t="shared" ref="B4193:B4201" ca="1" si="126">IFERROR(INDEX(UNSPSCDes,MATCH(INDIRECT(ADDRESS(ROW(),COLUMN()-1,4)),UNSPSCCode,0)),IF(INDIRECT(ADDRESS(ROW(),COLUMN()-1,4))="43211902","Paneles o monitores de pantalla de cristal líquido lcd",""))</f>
        <v>Paneles o monitores de pantalla de cristal líquido lcd</v>
      </c>
      <c r="C4193" s="58" t="str">
        <f>IFERROR(VLOOKUP("UD",'Informacion '!P:Q,2,FALSE),"")</f>
        <v>Unidad</v>
      </c>
      <c r="D4193" s="25">
        <v>5</v>
      </c>
      <c r="E4193" s="28">
        <v>16000</v>
      </c>
      <c r="F4193" s="27">
        <f t="shared" ca="1" si="124"/>
        <v>80000</v>
      </c>
    </row>
    <row r="4194" spans="1:10" ht="14.25" customHeight="1" x14ac:dyDescent="0.25">
      <c r="A4194" s="25" t="s">
        <v>488</v>
      </c>
      <c r="B4194" s="26" t="str">
        <f t="shared" ca="1" si="126"/>
        <v>Paneles o monitores de pantalla de cristal líquido lcd</v>
      </c>
      <c r="C4194" s="58" t="str">
        <f>IFERROR(VLOOKUP("UD",'Informacion '!P:Q,2,FALSE),"")</f>
        <v>Unidad</v>
      </c>
      <c r="D4194" s="25">
        <v>4</v>
      </c>
      <c r="E4194" s="28">
        <v>16000</v>
      </c>
      <c r="F4194" s="27">
        <f t="shared" ca="1" si="124"/>
        <v>64000</v>
      </c>
    </row>
    <row r="4195" spans="1:10" ht="14.25" customHeight="1" x14ac:dyDescent="0.25">
      <c r="A4195" s="25" t="s">
        <v>488</v>
      </c>
      <c r="B4195" s="26" t="str">
        <f t="shared" ca="1" si="126"/>
        <v>Paneles o monitores de pantalla de cristal líquido lcd</v>
      </c>
      <c r="C4195" s="58" t="str">
        <f>IFERROR(VLOOKUP("UD",'Informacion '!P:Q,2,FALSE),"")</f>
        <v>Unidad</v>
      </c>
      <c r="D4195" s="25">
        <v>4</v>
      </c>
      <c r="E4195" s="28">
        <v>16000</v>
      </c>
      <c r="F4195" s="27">
        <f t="shared" ca="1" si="124"/>
        <v>64000</v>
      </c>
    </row>
    <row r="4196" spans="1:10" ht="14.25" customHeight="1" x14ac:dyDescent="0.25">
      <c r="A4196" s="25" t="s">
        <v>488</v>
      </c>
      <c r="B4196" s="26" t="str">
        <f t="shared" ca="1" si="126"/>
        <v>Paneles o monitores de pantalla de cristal líquido lcd</v>
      </c>
      <c r="C4196" s="58" t="str">
        <f>IFERROR(VLOOKUP("UD",'Informacion '!P:Q,2,FALSE),"")</f>
        <v>Unidad</v>
      </c>
      <c r="D4196" s="25">
        <v>3</v>
      </c>
      <c r="E4196" s="28">
        <v>16000</v>
      </c>
      <c r="F4196" s="27">
        <f t="shared" ca="1" si="124"/>
        <v>48000</v>
      </c>
    </row>
    <row r="4197" spans="1:10" ht="14.25" customHeight="1" x14ac:dyDescent="0.25">
      <c r="A4197" s="25" t="s">
        <v>488</v>
      </c>
      <c r="B4197" s="26" t="str">
        <f t="shared" ca="1" si="126"/>
        <v>Paneles o monitores de pantalla de cristal líquido lcd</v>
      </c>
      <c r="C4197" s="58" t="str">
        <f>IFERROR(VLOOKUP("UD",'Informacion '!P:Q,2,FALSE),"")</f>
        <v>Unidad</v>
      </c>
      <c r="D4197" s="25">
        <v>3</v>
      </c>
      <c r="E4197" s="28">
        <v>16000</v>
      </c>
      <c r="F4197" s="27">
        <f t="shared" ca="1" si="124"/>
        <v>48000</v>
      </c>
    </row>
    <row r="4198" spans="1:10" ht="14.25" customHeight="1" x14ac:dyDescent="0.25">
      <c r="A4198" s="25" t="s">
        <v>488</v>
      </c>
      <c r="B4198" s="26" t="str">
        <f t="shared" ca="1" si="126"/>
        <v>Paneles o monitores de pantalla de cristal líquido lcd</v>
      </c>
      <c r="C4198" s="58" t="str">
        <f>IFERROR(VLOOKUP("UD",'Informacion '!P:Q,2,FALSE),"")</f>
        <v>Unidad</v>
      </c>
      <c r="D4198" s="25">
        <v>3</v>
      </c>
      <c r="E4198" s="28">
        <v>16000</v>
      </c>
      <c r="F4198" s="27">
        <f t="shared" ca="1" si="124"/>
        <v>48000</v>
      </c>
    </row>
    <row r="4199" spans="1:10" ht="14.25" customHeight="1" x14ac:dyDescent="0.25">
      <c r="A4199" s="25" t="s">
        <v>488</v>
      </c>
      <c r="B4199" s="26" t="str">
        <f t="shared" ca="1" si="126"/>
        <v>Paneles o monitores de pantalla de cristal líquido lcd</v>
      </c>
      <c r="C4199" s="58" t="str">
        <f>IFERROR(VLOOKUP("UD",'Informacion '!P:Q,2,FALSE),"")</f>
        <v>Unidad</v>
      </c>
      <c r="D4199" s="25">
        <v>3</v>
      </c>
      <c r="E4199" s="28">
        <v>16000</v>
      </c>
      <c r="F4199" s="27">
        <f t="shared" ca="1" si="124"/>
        <v>48000</v>
      </c>
    </row>
    <row r="4200" spans="1:10" ht="14.25" customHeight="1" x14ac:dyDescent="0.25">
      <c r="A4200" s="25" t="s">
        <v>488</v>
      </c>
      <c r="B4200" s="26" t="str">
        <f t="shared" ca="1" si="126"/>
        <v>Paneles o monitores de pantalla de cristal líquido lcd</v>
      </c>
      <c r="C4200" s="58" t="str">
        <f>IFERROR(VLOOKUP("UD",'Informacion '!P:Q,2,FALSE),"")</f>
        <v>Unidad</v>
      </c>
      <c r="D4200" s="25">
        <v>3</v>
      </c>
      <c r="E4200" s="28">
        <v>16000</v>
      </c>
      <c r="F4200" s="27">
        <f t="shared" ca="1" si="124"/>
        <v>48000</v>
      </c>
    </row>
    <row r="4201" spans="1:10" ht="14.25" customHeight="1" x14ac:dyDescent="0.25">
      <c r="A4201" s="25" t="s">
        <v>488</v>
      </c>
      <c r="B4201" s="26" t="str">
        <f t="shared" ca="1" si="126"/>
        <v>Paneles o monitores de pantalla de cristal líquido lcd</v>
      </c>
      <c r="C4201" s="58" t="str">
        <f>IFERROR(VLOOKUP("UD",'Informacion '!P:Q,2,FALSE),"")</f>
        <v>Unidad</v>
      </c>
      <c r="D4201" s="25">
        <v>3</v>
      </c>
      <c r="E4201" s="28">
        <v>16000</v>
      </c>
      <c r="F4201" s="27">
        <f t="shared" ca="1" si="124"/>
        <v>48000</v>
      </c>
    </row>
    <row r="4202" spans="1:10" ht="14.25" customHeight="1" x14ac:dyDescent="0.25">
      <c r="A4202" s="25" t="s">
        <v>32</v>
      </c>
      <c r="B4202" s="26" t="str">
        <f ca="1">IFERROR(INDEX(UNSPSCDes,MATCH(INDIRECT(ADDRESS(ROW(),COLUMN()-1,4)),UNSPSCCode,0)),IF(INDIRECT(ADDRESS(ROW(),COLUMN()-1,4))="43191504","Teléfonos fijos",""))</f>
        <v>Teléfonos fijos</v>
      </c>
      <c r="C4202" s="58" t="str">
        <f>IFERROR(VLOOKUP("UD",'Informacion '!P:Q,2,FALSE),"")</f>
        <v>Unidad</v>
      </c>
      <c r="D4202" s="25">
        <v>10</v>
      </c>
      <c r="E4202" s="28">
        <v>12000</v>
      </c>
      <c r="F4202" s="27">
        <f t="shared" ca="1" si="124"/>
        <v>120000</v>
      </c>
    </row>
    <row r="4203" spans="1:10" ht="14.25" customHeight="1" x14ac:dyDescent="0.25">
      <c r="A4203" s="25" t="s">
        <v>32</v>
      </c>
      <c r="B4203" s="26" t="str">
        <f ca="1">IFERROR(INDEX(UNSPSCDes,MATCH(INDIRECT(ADDRESS(ROW(),COLUMN()-1,4)),UNSPSCCode,0)),IF(INDIRECT(ADDRESS(ROW(),COLUMN()-1,4))="43191504","Teléfonos fijos",""))</f>
        <v>Teléfonos fijos</v>
      </c>
      <c r="C4203" s="58" t="str">
        <f>IFERROR(VLOOKUP("UD",'Informacion '!P:Q,2,FALSE),"")</f>
        <v>Unidad</v>
      </c>
      <c r="D4203" s="25">
        <v>10</v>
      </c>
      <c r="E4203" s="28">
        <v>12000</v>
      </c>
      <c r="F4203" s="27">
        <f t="shared" ca="1" si="124"/>
        <v>120000</v>
      </c>
    </row>
    <row r="4204" spans="1:10" ht="14.25" customHeight="1" x14ac:dyDescent="0.25">
      <c r="A4204" s="25" t="s">
        <v>32</v>
      </c>
      <c r="B4204" s="26" t="str">
        <f ca="1">IFERROR(INDEX(UNSPSCDes,MATCH(INDIRECT(ADDRESS(ROW(),COLUMN()-1,4)),UNSPSCCode,0)),IF(INDIRECT(ADDRESS(ROW(),COLUMN()-1,4))="43191504","Teléfonos fijos",""))</f>
        <v>Teléfonos fijos</v>
      </c>
      <c r="C4204" s="58" t="str">
        <f>IFERROR(VLOOKUP("UD",'Informacion '!P:Q,2,FALSE),"")</f>
        <v>Unidad</v>
      </c>
      <c r="D4204" s="25">
        <v>12</v>
      </c>
      <c r="E4204" s="28">
        <v>12000</v>
      </c>
      <c r="F4204" s="27">
        <f t="shared" ca="1" si="124"/>
        <v>144000</v>
      </c>
    </row>
    <row r="4205" spans="1:10" ht="14.25" customHeight="1" x14ac:dyDescent="0.25">
      <c r="A4205" s="25" t="s">
        <v>32</v>
      </c>
      <c r="B4205" s="26" t="str">
        <f ca="1">IFERROR(INDEX(UNSPSCDes,MATCH(INDIRECT(ADDRESS(ROW(),COLUMN()-1,4)),UNSPSCCode,0)),IF(INDIRECT(ADDRESS(ROW(),COLUMN()-1,4))="43191504","Teléfonos fijos",""))</f>
        <v>Teléfonos fijos</v>
      </c>
      <c r="C4205" s="58" t="str">
        <f>IFERROR(VLOOKUP("UD",'Informacion '!P:Q,2,FALSE),"")</f>
        <v>Unidad</v>
      </c>
      <c r="D4205" s="25">
        <v>15</v>
      </c>
      <c r="E4205" s="28">
        <v>12000</v>
      </c>
      <c r="F4205" s="27">
        <f t="shared" ca="1" si="124"/>
        <v>180000</v>
      </c>
    </row>
    <row r="4206" spans="1:10" ht="14.25" customHeight="1" x14ac:dyDescent="0.25">
      <c r="A4206" s="25" t="s">
        <v>488</v>
      </c>
      <c r="B4206" s="26" t="str">
        <f ca="1">IFERROR(INDEX(UNSPSCDes,MATCH(INDIRECT(ADDRESS(ROW(),COLUMN()-1,4)),UNSPSCCode,0)),IF(INDIRECT(ADDRESS(ROW(),COLUMN()-1,4))="43211902","Paneles o monitores de pantalla de cristal líquido lcd",""))</f>
        <v>Paneles o monitores de pantalla de cristal líquido lcd</v>
      </c>
      <c r="C4206" s="58" t="str">
        <f>IFERROR(VLOOKUP("UD",'Informacion '!P:Q,2,FALSE),"")</f>
        <v>Unidad</v>
      </c>
      <c r="D4206" s="25">
        <v>2</v>
      </c>
      <c r="E4206" s="28">
        <v>16000</v>
      </c>
      <c r="F4206" s="27">
        <f t="shared" ca="1" si="124"/>
        <v>32000</v>
      </c>
    </row>
    <row r="4207" spans="1:10" ht="14.25" customHeight="1" x14ac:dyDescent="0.25">
      <c r="A4207" s="25" t="s">
        <v>32</v>
      </c>
      <c r="B4207" s="26" t="str">
        <f ca="1">IFERROR(INDEX(UNSPSCDes,MATCH(INDIRECT(ADDRESS(ROW(),COLUMN()-1,4)),UNSPSCCode,0)),IF(INDIRECT(ADDRESS(ROW(),COLUMN()-1,4))="43191504","Teléfonos fijos",""))</f>
        <v>Teléfonos fijos</v>
      </c>
      <c r="C4207" s="58" t="str">
        <f>IFERROR(VLOOKUP("UD",'Informacion '!P:Q,2,FALSE),"")</f>
        <v>Unidad</v>
      </c>
      <c r="D4207" s="25">
        <v>10</v>
      </c>
      <c r="E4207" s="28">
        <v>3000</v>
      </c>
      <c r="F4207" s="27">
        <f t="shared" ca="1" si="124"/>
        <v>30000</v>
      </c>
    </row>
    <row r="4208" spans="1:10" ht="14.25" customHeight="1" x14ac:dyDescent="0.25">
      <c r="E4208" s="30" t="s">
        <v>816</v>
      </c>
      <c r="F4208" s="31">
        <f ca="1">SUM(Table223[MONTO TOTAL ESTIMADO])</f>
        <v>14928000</v>
      </c>
      <c r="H4208" s="21" t="str">
        <f>C4157</f>
        <v>Bienes</v>
      </c>
      <c r="I4208" s="21" t="str">
        <f>E4157</f>
        <v>Sí</v>
      </c>
      <c r="J4208" s="21" t="str">
        <f>D4157</f>
        <v>Licitacion Publica</v>
      </c>
    </row>
    <row r="4210" spans="1:6" ht="33.950000000000003" customHeight="1" x14ac:dyDescent="0.25">
      <c r="A4210" s="22" t="s">
        <v>1051</v>
      </c>
      <c r="B4210" s="22" t="s">
        <v>11</v>
      </c>
      <c r="C4210" s="22" t="s">
        <v>751</v>
      </c>
      <c r="D4210" s="22" t="s">
        <v>930</v>
      </c>
      <c r="E4210" s="22" t="s">
        <v>699</v>
      </c>
      <c r="F4210" s="22" t="s">
        <v>710</v>
      </c>
    </row>
    <row r="4211" spans="1:6" ht="14.25" customHeight="1" x14ac:dyDescent="0.25">
      <c r="A4211" s="23" t="s">
        <v>470</v>
      </c>
      <c r="B4211" s="23" t="s">
        <v>470</v>
      </c>
      <c r="C4211" s="23" t="s">
        <v>1155</v>
      </c>
      <c r="D4211" s="23" t="s">
        <v>1128</v>
      </c>
      <c r="E4211" s="23" t="s">
        <v>561</v>
      </c>
      <c r="F4211" s="23" t="s">
        <v>436</v>
      </c>
    </row>
    <row r="4212" spans="1:6" ht="14.25" customHeight="1" x14ac:dyDescent="0.25">
      <c r="A4212" s="68" t="s">
        <v>965</v>
      </c>
      <c r="B4212" s="24" t="s">
        <v>543</v>
      </c>
      <c r="C4212" s="54">
        <v>46216</v>
      </c>
      <c r="D4212" s="68" t="s">
        <v>598</v>
      </c>
      <c r="E4212" s="56" t="s">
        <v>858</v>
      </c>
      <c r="F4212" s="57" t="s">
        <v>184</v>
      </c>
    </row>
    <row r="4213" spans="1:6" ht="14.25" customHeight="1" x14ac:dyDescent="0.25">
      <c r="A4213" s="69"/>
      <c r="B4213" s="24" t="s">
        <v>112</v>
      </c>
      <c r="C4213" s="55">
        <f>IF(C4212="","",IF(AND(MONTH(C4212)&gt;=1,MONTH(C4212)&lt;=3),1,IF(AND(MONTH(C4212)&gt;=4,MONTH(C4212)&lt;=6),2,IF(AND(MONTH(C4212)&gt;=7,MONTH(C4212)&lt;=9),3,4))))</f>
        <v>3</v>
      </c>
      <c r="D4213" s="69"/>
      <c r="E4213" s="56" t="s">
        <v>143</v>
      </c>
      <c r="F4213" s="57"/>
    </row>
    <row r="4214" spans="1:6" ht="14.25" customHeight="1" x14ac:dyDescent="0.25">
      <c r="A4214" s="69"/>
      <c r="B4214" s="24" t="s">
        <v>844</v>
      </c>
      <c r="C4214" s="54">
        <v>46256</v>
      </c>
      <c r="D4214" s="69"/>
      <c r="E4214" s="56" t="s">
        <v>183</v>
      </c>
      <c r="F4214" s="57"/>
    </row>
    <row r="4215" spans="1:6" ht="14.25" customHeight="1" x14ac:dyDescent="0.25">
      <c r="A4215" s="69"/>
      <c r="B4215" s="24" t="s">
        <v>112</v>
      </c>
      <c r="C4215" s="55">
        <f>IF(C4214="","",IF(AND(MONTH(C4214)&gt;=1,MONTH(C4214)&lt;=3),1,IF(AND(MONTH(C4214)&gt;=4,MONTH(C4214)&lt;=6),2,IF(AND(MONTH(C4214)&gt;=7,MONTH(C4214)&lt;=9),3,4))))</f>
        <v>3</v>
      </c>
      <c r="D4215" s="69"/>
      <c r="E4215" s="56" t="s">
        <v>865</v>
      </c>
      <c r="F4215" s="57"/>
    </row>
    <row r="4217" spans="1:6" ht="14.25" customHeight="1" x14ac:dyDescent="0.25">
      <c r="A4217" s="29" t="s">
        <v>1017</v>
      </c>
      <c r="B4217" s="29" t="s">
        <v>1042</v>
      </c>
      <c r="C4217" s="29" t="s">
        <v>1011</v>
      </c>
      <c r="D4217" s="29" t="s">
        <v>985</v>
      </c>
      <c r="E4217" s="29" t="s">
        <v>449</v>
      </c>
      <c r="F4217" s="29" t="s">
        <v>989</v>
      </c>
    </row>
    <row r="4218" spans="1:6" ht="14.25" customHeight="1" x14ac:dyDescent="0.25">
      <c r="A4218" s="25" t="s">
        <v>874</v>
      </c>
      <c r="B4218" s="26" t="str">
        <f ca="1">IFERROR(INDEX(UNSPSCDes,MATCH(INDIRECT(ADDRESS(ROW(),COLUMN()-1,4)),UNSPSCCode,0)),IF(INDIRECT(ADDRESS(ROW(),COLUMN()-1,4))="40142612","Adaptadores de tubo",""))</f>
        <v>Adaptadores de tubo</v>
      </c>
      <c r="C4218" s="58" t="str">
        <f>IFERROR(VLOOKUP("UD",'Informacion '!P:Q,2,FALSE),"")</f>
        <v>Unidad</v>
      </c>
      <c r="D4218" s="25">
        <v>10</v>
      </c>
      <c r="E4218" s="28">
        <v>90</v>
      </c>
      <c r="F4218" s="27">
        <f t="shared" ref="F4218:F4261" ca="1" si="127">INDIRECT(ADDRESS(ROW(),COLUMN()-2,4))*INDIRECT(ADDRESS(ROW(),COLUMN()-1,4))</f>
        <v>900</v>
      </c>
    </row>
    <row r="4219" spans="1:6" ht="14.25" customHeight="1" x14ac:dyDescent="0.25">
      <c r="A4219" s="25" t="s">
        <v>874</v>
      </c>
      <c r="B4219" s="26" t="str">
        <f ca="1">IFERROR(INDEX(UNSPSCDes,MATCH(INDIRECT(ADDRESS(ROW(),COLUMN()-1,4)),UNSPSCCode,0)),IF(INDIRECT(ADDRESS(ROW(),COLUMN()-1,4))="40142612","Adaptadores de tubo",""))</f>
        <v>Adaptadores de tubo</v>
      </c>
      <c r="C4219" s="58" t="str">
        <f>IFERROR(VLOOKUP("UD",'Informacion '!P:Q,2,FALSE),"")</f>
        <v>Unidad</v>
      </c>
      <c r="D4219" s="25">
        <v>10</v>
      </c>
      <c r="E4219" s="28">
        <v>90</v>
      </c>
      <c r="F4219" s="27">
        <f t="shared" ca="1" si="127"/>
        <v>900</v>
      </c>
    </row>
    <row r="4220" spans="1:6" ht="14.25" customHeight="1" x14ac:dyDescent="0.25">
      <c r="A4220" s="25" t="s">
        <v>493</v>
      </c>
      <c r="B4220" s="26" t="str">
        <f ca="1">IFERROR(INDEX(UNSPSCDes,MATCH(INDIRECT(ADDRESS(ROW(),COLUMN()-1,4)),UNSPSCCode,0)),IF(INDIRECT(ADDRESS(ROW(),COLUMN()-1,4))="27121704","Uniones hidráulicas",""))</f>
        <v>Uniones hidráulicas</v>
      </c>
      <c r="C4220" s="58" t="str">
        <f>IFERROR(VLOOKUP("UD",'Informacion '!P:Q,2,FALSE),"")</f>
        <v>Unidad</v>
      </c>
      <c r="D4220" s="25">
        <v>10</v>
      </c>
      <c r="E4220" s="28">
        <v>500</v>
      </c>
      <c r="F4220" s="27">
        <f t="shared" ca="1" si="127"/>
        <v>5000</v>
      </c>
    </row>
    <row r="4221" spans="1:6" ht="14.25" customHeight="1" x14ac:dyDescent="0.25">
      <c r="A4221" s="25" t="s">
        <v>493</v>
      </c>
      <c r="B4221" s="26" t="str">
        <f ca="1">IFERROR(INDEX(UNSPSCDes,MATCH(INDIRECT(ADDRESS(ROW(),COLUMN()-1,4)),UNSPSCCode,0)),IF(INDIRECT(ADDRESS(ROW(),COLUMN()-1,4))="27121704","Uniones hidráulicas",""))</f>
        <v>Uniones hidráulicas</v>
      </c>
      <c r="C4221" s="58" t="str">
        <f>IFERROR(VLOOKUP("UD",'Informacion '!P:Q,2,FALSE),"")</f>
        <v>Unidad</v>
      </c>
      <c r="D4221" s="25">
        <v>5</v>
      </c>
      <c r="E4221" s="28">
        <v>80</v>
      </c>
      <c r="F4221" s="27">
        <f t="shared" ca="1" si="127"/>
        <v>400</v>
      </c>
    </row>
    <row r="4222" spans="1:6" ht="14.25" customHeight="1" x14ac:dyDescent="0.25">
      <c r="A4222" s="25" t="s">
        <v>493</v>
      </c>
      <c r="B4222" s="26" t="str">
        <f ca="1">IFERROR(INDEX(UNSPSCDes,MATCH(INDIRECT(ADDRESS(ROW(),COLUMN()-1,4)),UNSPSCCode,0)),IF(INDIRECT(ADDRESS(ROW(),COLUMN()-1,4))="27121704","Uniones hidráulicas",""))</f>
        <v>Uniones hidráulicas</v>
      </c>
      <c r="C4222" s="58" t="str">
        <f>IFERROR(VLOOKUP("UD",'Informacion '!P:Q,2,FALSE),"")</f>
        <v>Unidad</v>
      </c>
      <c r="D4222" s="25">
        <v>20</v>
      </c>
      <c r="E4222" s="28">
        <v>370</v>
      </c>
      <c r="F4222" s="27">
        <f t="shared" ca="1" si="127"/>
        <v>7400</v>
      </c>
    </row>
    <row r="4223" spans="1:6" ht="14.25" customHeight="1" x14ac:dyDescent="0.25">
      <c r="A4223" s="25" t="s">
        <v>493</v>
      </c>
      <c r="B4223" s="26" t="str">
        <f ca="1">IFERROR(INDEX(UNSPSCDes,MATCH(INDIRECT(ADDRESS(ROW(),COLUMN()-1,4)),UNSPSCCode,0)),IF(INDIRECT(ADDRESS(ROW(),COLUMN()-1,4))="27121704","Uniones hidráulicas",""))</f>
        <v>Uniones hidráulicas</v>
      </c>
      <c r="C4223" s="58" t="str">
        <f>IFERROR(VLOOKUP("UD",'Informacion '!P:Q,2,FALSE),"")</f>
        <v>Unidad</v>
      </c>
      <c r="D4223" s="25">
        <v>20</v>
      </c>
      <c r="E4223" s="28">
        <v>2</v>
      </c>
      <c r="F4223" s="27">
        <f t="shared" ca="1" si="127"/>
        <v>40</v>
      </c>
    </row>
    <row r="4224" spans="1:6" ht="14.25" customHeight="1" x14ac:dyDescent="0.25">
      <c r="A4224" s="25" t="s">
        <v>493</v>
      </c>
      <c r="B4224" s="26" t="str">
        <f ca="1">IFERROR(INDEX(UNSPSCDes,MATCH(INDIRECT(ADDRESS(ROW(),COLUMN()-1,4)),UNSPSCCode,0)),IF(INDIRECT(ADDRESS(ROW(),COLUMN()-1,4))="27121704","Uniones hidráulicas",""))</f>
        <v>Uniones hidráulicas</v>
      </c>
      <c r="C4224" s="58" t="str">
        <f>IFERROR(VLOOKUP("UD",'Informacion '!P:Q,2,FALSE),"")</f>
        <v>Unidad</v>
      </c>
      <c r="D4224" s="25">
        <v>20</v>
      </c>
      <c r="E4224" s="28">
        <v>27</v>
      </c>
      <c r="F4224" s="27">
        <f t="shared" ca="1" si="127"/>
        <v>540</v>
      </c>
    </row>
    <row r="4225" spans="1:6" ht="14.25" customHeight="1" x14ac:dyDescent="0.25">
      <c r="A4225" s="25" t="s">
        <v>874</v>
      </c>
      <c r="B4225" s="26" t="str">
        <f ca="1">IFERROR(INDEX(UNSPSCDes,MATCH(INDIRECT(ADDRESS(ROW(),COLUMN()-1,4)),UNSPSCCode,0)),IF(INDIRECT(ADDRESS(ROW(),COLUMN()-1,4))="40142612","Adaptadores de tubo",""))</f>
        <v>Adaptadores de tubo</v>
      </c>
      <c r="C4225" s="58" t="str">
        <f>IFERROR(VLOOKUP("UD",'Informacion '!P:Q,2,FALSE),"")</f>
        <v>Unidad</v>
      </c>
      <c r="D4225" s="25">
        <v>20</v>
      </c>
      <c r="E4225" s="28">
        <v>8.43</v>
      </c>
      <c r="F4225" s="27">
        <f t="shared" ca="1" si="127"/>
        <v>168.6</v>
      </c>
    </row>
    <row r="4226" spans="1:6" ht="14.25" customHeight="1" x14ac:dyDescent="0.25">
      <c r="A4226" s="25" t="s">
        <v>874</v>
      </c>
      <c r="B4226" s="26" t="str">
        <f ca="1">IFERROR(INDEX(UNSPSCDes,MATCH(INDIRECT(ADDRESS(ROW(),COLUMN()-1,4)),UNSPSCCode,0)),IF(INDIRECT(ADDRESS(ROW(),COLUMN()-1,4))="40142612","Adaptadores de tubo",""))</f>
        <v>Adaptadores de tubo</v>
      </c>
      <c r="C4226" s="58" t="str">
        <f>IFERROR(VLOOKUP("UD",'Informacion '!P:Q,2,FALSE),"")</f>
        <v>Unidad</v>
      </c>
      <c r="D4226" s="25">
        <v>20</v>
      </c>
      <c r="E4226" s="28">
        <v>5.98</v>
      </c>
      <c r="F4226" s="27">
        <f t="shared" ca="1" si="127"/>
        <v>119.60000000000001</v>
      </c>
    </row>
    <row r="4227" spans="1:6" ht="14.25" customHeight="1" x14ac:dyDescent="0.25">
      <c r="A4227" s="25" t="s">
        <v>493</v>
      </c>
      <c r="B4227" s="26" t="str">
        <f ca="1">IFERROR(INDEX(UNSPSCDes,MATCH(INDIRECT(ADDRESS(ROW(),COLUMN()-1,4)),UNSPSCCode,0)),IF(INDIRECT(ADDRESS(ROW(),COLUMN()-1,4))="27121704","Uniones hidráulicas",""))</f>
        <v>Uniones hidráulicas</v>
      </c>
      <c r="C4227" s="58" t="str">
        <f>IFERROR(VLOOKUP("UD",'Informacion '!P:Q,2,FALSE),"")</f>
        <v>Unidad</v>
      </c>
      <c r="D4227" s="25">
        <v>20</v>
      </c>
      <c r="E4227" s="28">
        <v>2</v>
      </c>
      <c r="F4227" s="27">
        <f t="shared" ca="1" si="127"/>
        <v>40</v>
      </c>
    </row>
    <row r="4228" spans="1:6" ht="14.25" customHeight="1" x14ac:dyDescent="0.25">
      <c r="A4228" s="25" t="s">
        <v>493</v>
      </c>
      <c r="B4228" s="26" t="str">
        <f ca="1">IFERROR(INDEX(UNSPSCDes,MATCH(INDIRECT(ADDRESS(ROW(),COLUMN()-1,4)),UNSPSCCode,0)),IF(INDIRECT(ADDRESS(ROW(),COLUMN()-1,4))="27121704","Uniones hidráulicas",""))</f>
        <v>Uniones hidráulicas</v>
      </c>
      <c r="C4228" s="58" t="str">
        <f>IFERROR(VLOOKUP("UD",'Informacion '!P:Q,2,FALSE),"")</f>
        <v>Unidad</v>
      </c>
      <c r="D4228" s="25">
        <v>20</v>
      </c>
      <c r="E4228" s="28">
        <v>16.5</v>
      </c>
      <c r="F4228" s="27">
        <f t="shared" ca="1" si="127"/>
        <v>330</v>
      </c>
    </row>
    <row r="4229" spans="1:6" ht="14.25" customHeight="1" x14ac:dyDescent="0.25">
      <c r="A4229" s="25" t="s">
        <v>493</v>
      </c>
      <c r="B4229" s="26" t="str">
        <f ca="1">IFERROR(INDEX(UNSPSCDes,MATCH(INDIRECT(ADDRESS(ROW(),COLUMN()-1,4)),UNSPSCCode,0)),IF(INDIRECT(ADDRESS(ROW(),COLUMN()-1,4))="27121704","Uniones hidráulicas",""))</f>
        <v>Uniones hidráulicas</v>
      </c>
      <c r="C4229" s="58" t="str">
        <f>IFERROR(VLOOKUP("UD",'Informacion '!P:Q,2,FALSE),"")</f>
        <v>Unidad</v>
      </c>
      <c r="D4229" s="25">
        <v>20</v>
      </c>
      <c r="E4229" s="28">
        <v>16.5</v>
      </c>
      <c r="F4229" s="27">
        <f t="shared" ca="1" si="127"/>
        <v>330</v>
      </c>
    </row>
    <row r="4230" spans="1:6" ht="14.25" customHeight="1" x14ac:dyDescent="0.25">
      <c r="A4230" s="25" t="s">
        <v>1215</v>
      </c>
      <c r="B4230" s="26" t="str">
        <f ca="1">IFERROR(INDEX(UNSPSCDes,MATCH(INDIRECT(ADDRESS(ROW(),COLUMN()-1,4)),UNSPSCCode,0)),IF(INDIRECT(ADDRESS(ROW(),COLUMN()-1,4))="40141719","Adaptadores para plomería",""))</f>
        <v>Adaptadores para plomería</v>
      </c>
      <c r="C4230" s="58" t="str">
        <f>IFERROR(VLOOKUP("UD",'Informacion '!P:Q,2,FALSE),"")</f>
        <v>Unidad</v>
      </c>
      <c r="D4230" s="25">
        <v>20</v>
      </c>
      <c r="E4230" s="28">
        <v>166.8</v>
      </c>
      <c r="F4230" s="27">
        <f t="shared" ca="1" si="127"/>
        <v>3336</v>
      </c>
    </row>
    <row r="4231" spans="1:6" ht="14.25" customHeight="1" x14ac:dyDescent="0.25">
      <c r="A4231" s="25" t="s">
        <v>323</v>
      </c>
      <c r="B4231" s="26" t="str">
        <f ca="1">IFERROR(INDEX(UNSPSCDes,MATCH(INDIRECT(ADDRESS(ROW(),COLUMN()-1,4)),UNSPSCCode,0)),IF(INDIRECT(ADDRESS(ROW(),COLUMN()-1,4))="31231313","Tubería de plástico",""))</f>
        <v>Tubería de plástico</v>
      </c>
      <c r="C4231" s="58" t="str">
        <f>IFERROR(VLOOKUP("UD",'Informacion '!P:Q,2,FALSE),"")</f>
        <v>Unidad</v>
      </c>
      <c r="D4231" s="25">
        <v>2</v>
      </c>
      <c r="E4231" s="28">
        <v>147.5</v>
      </c>
      <c r="F4231" s="27">
        <f t="shared" ca="1" si="127"/>
        <v>295</v>
      </c>
    </row>
    <row r="4232" spans="1:6" ht="14.25" customHeight="1" x14ac:dyDescent="0.25">
      <c r="A4232" s="25" t="s">
        <v>323</v>
      </c>
      <c r="B4232" s="26" t="str">
        <f ca="1">IFERROR(INDEX(UNSPSCDes,MATCH(INDIRECT(ADDRESS(ROW(),COLUMN()-1,4)),UNSPSCCode,0)),IF(INDIRECT(ADDRESS(ROW(),COLUMN()-1,4))="31231313","Tubería de plástico",""))</f>
        <v>Tubería de plástico</v>
      </c>
      <c r="C4232" s="58" t="str">
        <f>IFERROR(VLOOKUP("UD",'Informacion '!P:Q,2,FALSE),"")</f>
        <v>Unidad</v>
      </c>
      <c r="D4232" s="25">
        <v>2</v>
      </c>
      <c r="E4232" s="28">
        <v>536.07000000000005</v>
      </c>
      <c r="F4232" s="27">
        <f t="shared" ca="1" si="127"/>
        <v>1072.1400000000001</v>
      </c>
    </row>
    <row r="4233" spans="1:6" ht="14.25" customHeight="1" x14ac:dyDescent="0.25">
      <c r="A4233" s="25" t="s">
        <v>323</v>
      </c>
      <c r="B4233" s="26" t="str">
        <f ca="1">IFERROR(INDEX(UNSPSCDes,MATCH(INDIRECT(ADDRESS(ROW(),COLUMN()-1,4)),UNSPSCCode,0)),IF(INDIRECT(ADDRESS(ROW(),COLUMN()-1,4))="31231313","Tubería de plástico",""))</f>
        <v>Tubería de plástico</v>
      </c>
      <c r="C4233" s="58" t="str">
        <f>IFERROR(VLOOKUP("UD",'Informacion '!P:Q,2,FALSE),"")</f>
        <v>Unidad</v>
      </c>
      <c r="D4233" s="25">
        <v>5</v>
      </c>
      <c r="E4233" s="28">
        <v>550.75</v>
      </c>
      <c r="F4233" s="27">
        <f t="shared" ca="1" si="127"/>
        <v>2753.75</v>
      </c>
    </row>
    <row r="4234" spans="1:6" ht="14.25" customHeight="1" x14ac:dyDescent="0.25">
      <c r="A4234" s="25" t="s">
        <v>323</v>
      </c>
      <c r="B4234" s="26" t="str">
        <f ca="1">IFERROR(INDEX(UNSPSCDes,MATCH(INDIRECT(ADDRESS(ROW(),COLUMN()-1,4)),UNSPSCCode,0)),IF(INDIRECT(ADDRESS(ROW(),COLUMN()-1,4))="31231313","Tubería de plástico",""))</f>
        <v>Tubería de plástico</v>
      </c>
      <c r="C4234" s="58" t="str">
        <f>IFERROR(VLOOKUP("UD",'Informacion '!P:Q,2,FALSE),"")</f>
        <v>Unidad</v>
      </c>
      <c r="D4234" s="25">
        <v>5</v>
      </c>
      <c r="E4234" s="28">
        <v>480</v>
      </c>
      <c r="F4234" s="27">
        <f t="shared" ca="1" si="127"/>
        <v>2400</v>
      </c>
    </row>
    <row r="4235" spans="1:6" ht="14.25" customHeight="1" x14ac:dyDescent="0.25">
      <c r="A4235" s="25" t="s">
        <v>692</v>
      </c>
      <c r="B4235" s="26" t="str">
        <f ca="1">IFERROR(INDEX(UNSPSCDes,MATCH(INDIRECT(ADDRESS(ROW(),COLUMN()-1,4)),UNSPSCCode,0)),IF(INDIRECT(ADDRESS(ROW(),COLUMN()-1,4))="27111708","Llaves para tubos",""))</f>
        <v>Llaves para tubos</v>
      </c>
      <c r="C4235" s="58" t="str">
        <f>IFERROR(VLOOKUP("UD",'Informacion '!P:Q,2,FALSE),"")</f>
        <v>Unidad</v>
      </c>
      <c r="D4235" s="25">
        <v>10</v>
      </c>
      <c r="E4235" s="28">
        <v>230</v>
      </c>
      <c r="F4235" s="27">
        <f t="shared" ca="1" si="127"/>
        <v>2300</v>
      </c>
    </row>
    <row r="4236" spans="1:6" ht="14.25" customHeight="1" x14ac:dyDescent="0.25">
      <c r="A4236" s="25" t="s">
        <v>692</v>
      </c>
      <c r="B4236" s="26" t="str">
        <f ca="1">IFERROR(INDEX(UNSPSCDes,MATCH(INDIRECT(ADDRESS(ROW(),COLUMN()-1,4)),UNSPSCCode,0)),IF(INDIRECT(ADDRESS(ROW(),COLUMN()-1,4))="27111708","Llaves para tubos",""))</f>
        <v>Llaves para tubos</v>
      </c>
      <c r="C4236" s="58" t="str">
        <f>IFERROR(VLOOKUP("UD",'Informacion '!P:Q,2,FALSE),"")</f>
        <v>Unidad</v>
      </c>
      <c r="D4236" s="25">
        <v>10</v>
      </c>
      <c r="E4236" s="28">
        <v>230</v>
      </c>
      <c r="F4236" s="27">
        <f t="shared" ca="1" si="127"/>
        <v>2300</v>
      </c>
    </row>
    <row r="4237" spans="1:6" ht="14.25" customHeight="1" x14ac:dyDescent="0.25">
      <c r="A4237" s="25" t="s">
        <v>897</v>
      </c>
      <c r="B4237" s="26" t="str">
        <f ca="1">IFERROR(INDEX(UNSPSCDes,MATCH(INDIRECT(ADDRESS(ROW(),COLUMN()-1,4)),UNSPSCCode,0)),IF(INDIRECT(ADDRESS(ROW(),COLUMN()-1,4))="40141607","Válvulas de bola",""))</f>
        <v>Válvulas de bola</v>
      </c>
      <c r="C4237" s="58" t="str">
        <f>IFERROR(VLOOKUP("UD",'Informacion '!P:Q,2,FALSE),"")</f>
        <v>Unidad</v>
      </c>
      <c r="D4237" s="25">
        <v>10</v>
      </c>
      <c r="E4237" s="28">
        <v>1900</v>
      </c>
      <c r="F4237" s="27">
        <f t="shared" ca="1" si="127"/>
        <v>19000</v>
      </c>
    </row>
    <row r="4238" spans="1:6" ht="14.25" customHeight="1" x14ac:dyDescent="0.25">
      <c r="A4238" s="25" t="s">
        <v>897</v>
      </c>
      <c r="B4238" s="26" t="str">
        <f ca="1">IFERROR(INDEX(UNSPSCDes,MATCH(INDIRECT(ADDRESS(ROW(),COLUMN()-1,4)),UNSPSCCode,0)),IF(INDIRECT(ADDRESS(ROW(),COLUMN()-1,4))="40141607","Válvulas de bola",""))</f>
        <v>Válvulas de bola</v>
      </c>
      <c r="C4238" s="58" t="str">
        <f>IFERROR(VLOOKUP("UD",'Informacion '!P:Q,2,FALSE),"")</f>
        <v>Unidad</v>
      </c>
      <c r="D4238" s="25">
        <v>10</v>
      </c>
      <c r="E4238" s="28">
        <v>600</v>
      </c>
      <c r="F4238" s="27">
        <f t="shared" ca="1" si="127"/>
        <v>6000</v>
      </c>
    </row>
    <row r="4239" spans="1:6" ht="14.25" customHeight="1" x14ac:dyDescent="0.25">
      <c r="A4239" s="25" t="s">
        <v>897</v>
      </c>
      <c r="B4239" s="26" t="str">
        <f ca="1">IFERROR(INDEX(UNSPSCDes,MATCH(INDIRECT(ADDRESS(ROW(),COLUMN()-1,4)),UNSPSCCode,0)),IF(INDIRECT(ADDRESS(ROW(),COLUMN()-1,4))="40141607","Válvulas de bola",""))</f>
        <v>Válvulas de bola</v>
      </c>
      <c r="C4239" s="58" t="str">
        <f>IFERROR(VLOOKUP("UD",'Informacion '!P:Q,2,FALSE),"")</f>
        <v>Unidad</v>
      </c>
      <c r="D4239" s="25">
        <v>10</v>
      </c>
      <c r="E4239" s="28">
        <v>190</v>
      </c>
      <c r="F4239" s="27">
        <f t="shared" ca="1" si="127"/>
        <v>1900</v>
      </c>
    </row>
    <row r="4240" spans="1:6" ht="14.25" customHeight="1" x14ac:dyDescent="0.25">
      <c r="A4240" s="25" t="s">
        <v>897</v>
      </c>
      <c r="B4240" s="26" t="str">
        <f ca="1">IFERROR(INDEX(UNSPSCDes,MATCH(INDIRECT(ADDRESS(ROW(),COLUMN()-1,4)),UNSPSCCode,0)),IF(INDIRECT(ADDRESS(ROW(),COLUMN()-1,4))="40141607","Válvulas de bola",""))</f>
        <v>Válvulas de bola</v>
      </c>
      <c r="C4240" s="58" t="str">
        <f>IFERROR(VLOOKUP("UD",'Informacion '!P:Q,2,FALSE),"")</f>
        <v>Unidad</v>
      </c>
      <c r="D4240" s="25">
        <v>10</v>
      </c>
      <c r="E4240" s="28">
        <v>255</v>
      </c>
      <c r="F4240" s="27">
        <f t="shared" ca="1" si="127"/>
        <v>2550</v>
      </c>
    </row>
    <row r="4241" spans="1:6" ht="14.25" customHeight="1" x14ac:dyDescent="0.25">
      <c r="A4241" s="25" t="s">
        <v>439</v>
      </c>
      <c r="B4241" s="26" t="str">
        <f ca="1">IFERROR(INDEX(UNSPSCDes,MATCH(INDIRECT(ADDRESS(ROW(),COLUMN()-1,4)),UNSPSCCode,0)),IF(INDIRECT(ADDRESS(ROW(),COLUMN()-1,4))="40142009","Mangueras multipropósito de aire, agua y gas",""))</f>
        <v>Mangueras multipropósito de aire, agua y gas</v>
      </c>
      <c r="C4241" s="58" t="str">
        <f>IFERROR(VLOOKUP("UD",'Informacion '!P:Q,2,FALSE),"")</f>
        <v>Unidad</v>
      </c>
      <c r="D4241" s="25">
        <v>30</v>
      </c>
      <c r="E4241" s="28">
        <v>230</v>
      </c>
      <c r="F4241" s="27">
        <f t="shared" ca="1" si="127"/>
        <v>6900</v>
      </c>
    </row>
    <row r="4242" spans="1:6" ht="14.25" customHeight="1" x14ac:dyDescent="0.25">
      <c r="A4242" s="25" t="s">
        <v>439</v>
      </c>
      <c r="B4242" s="26" t="str">
        <f ca="1">IFERROR(INDEX(UNSPSCDes,MATCH(INDIRECT(ADDRESS(ROW(),COLUMN()-1,4)),UNSPSCCode,0)),IF(INDIRECT(ADDRESS(ROW(),COLUMN()-1,4))="40142009","Mangueras multipropósito de aire, agua y gas",""))</f>
        <v>Mangueras multipropósito de aire, agua y gas</v>
      </c>
      <c r="C4242" s="58" t="str">
        <f>IFERROR(VLOOKUP("UD",'Informacion '!P:Q,2,FALSE),"")</f>
        <v>Unidad</v>
      </c>
      <c r="D4242" s="25">
        <v>30</v>
      </c>
      <c r="E4242" s="28">
        <v>950.5</v>
      </c>
      <c r="F4242" s="27">
        <f t="shared" ca="1" si="127"/>
        <v>28515</v>
      </c>
    </row>
    <row r="4243" spans="1:6" ht="14.25" customHeight="1" x14ac:dyDescent="0.25">
      <c r="A4243" s="25" t="s">
        <v>439</v>
      </c>
      <c r="B4243" s="26" t="str">
        <f ca="1">IFERROR(INDEX(UNSPSCDes,MATCH(INDIRECT(ADDRESS(ROW(),COLUMN()-1,4)),UNSPSCCode,0)),IF(INDIRECT(ADDRESS(ROW(),COLUMN()-1,4))="40142009","Mangueras multipropósito de aire, agua y gas",""))</f>
        <v>Mangueras multipropósito de aire, agua y gas</v>
      </c>
      <c r="C4243" s="58" t="str">
        <f>IFERROR(VLOOKUP("UD",'Informacion '!P:Q,2,FALSE),"")</f>
        <v>Unidad</v>
      </c>
      <c r="D4243" s="25">
        <v>30</v>
      </c>
      <c r="E4243" s="28">
        <v>260</v>
      </c>
      <c r="F4243" s="27">
        <f t="shared" ca="1" si="127"/>
        <v>7800</v>
      </c>
    </row>
    <row r="4244" spans="1:6" ht="14.25" customHeight="1" x14ac:dyDescent="0.25">
      <c r="A4244" s="25" t="s">
        <v>439</v>
      </c>
      <c r="B4244" s="26" t="str">
        <f ca="1">IFERROR(INDEX(UNSPSCDes,MATCH(INDIRECT(ADDRESS(ROW(),COLUMN()-1,4)),UNSPSCCode,0)),IF(INDIRECT(ADDRESS(ROW(),COLUMN()-1,4))="40142009","Mangueras multipropósito de aire, agua y gas",""))</f>
        <v>Mangueras multipropósito de aire, agua y gas</v>
      </c>
      <c r="C4244" s="58" t="str">
        <f>IFERROR(VLOOKUP("UD",'Informacion '!P:Q,2,FALSE),"")</f>
        <v>Unidad</v>
      </c>
      <c r="D4244" s="25">
        <v>30</v>
      </c>
      <c r="E4244" s="28">
        <v>260</v>
      </c>
      <c r="F4244" s="27">
        <f t="shared" ca="1" si="127"/>
        <v>7800</v>
      </c>
    </row>
    <row r="4245" spans="1:6" ht="14.25" customHeight="1" x14ac:dyDescent="0.25">
      <c r="A4245" s="25" t="s">
        <v>439</v>
      </c>
      <c r="B4245" s="26" t="str">
        <f ca="1">IFERROR(INDEX(UNSPSCDes,MATCH(INDIRECT(ADDRESS(ROW(),COLUMN()-1,4)),UNSPSCCode,0)),IF(INDIRECT(ADDRESS(ROW(),COLUMN()-1,4))="40142009","Mangueras multipropósito de aire, agua y gas",""))</f>
        <v>Mangueras multipropósito de aire, agua y gas</v>
      </c>
      <c r="C4245" s="58" t="str">
        <f>IFERROR(VLOOKUP("UD",'Informacion '!P:Q,2,FALSE),"")</f>
        <v>Unidad</v>
      </c>
      <c r="D4245" s="25">
        <v>40</v>
      </c>
      <c r="E4245" s="28">
        <v>380</v>
      </c>
      <c r="F4245" s="27">
        <f t="shared" ca="1" si="127"/>
        <v>15200</v>
      </c>
    </row>
    <row r="4246" spans="1:6" ht="14.25" customHeight="1" x14ac:dyDescent="0.25">
      <c r="A4246" s="25" t="s">
        <v>874</v>
      </c>
      <c r="B4246" s="26" t="str">
        <f ca="1">IFERROR(INDEX(UNSPSCDes,MATCH(INDIRECT(ADDRESS(ROW(),COLUMN()-1,4)),UNSPSCCode,0)),IF(INDIRECT(ADDRESS(ROW(),COLUMN()-1,4))="40142612","Adaptadores de tubo",""))</f>
        <v>Adaptadores de tubo</v>
      </c>
      <c r="C4246" s="58" t="str">
        <f>IFERROR(VLOOKUP("UD",'Informacion '!P:Q,2,FALSE),"")</f>
        <v>Unidad</v>
      </c>
      <c r="D4246" s="25">
        <v>6</v>
      </c>
      <c r="E4246" s="28">
        <v>1800</v>
      </c>
      <c r="F4246" s="27">
        <f t="shared" ca="1" si="127"/>
        <v>10800</v>
      </c>
    </row>
    <row r="4247" spans="1:6" ht="14.25" customHeight="1" x14ac:dyDescent="0.25">
      <c r="A4247" s="25" t="s">
        <v>368</v>
      </c>
      <c r="B4247" s="26" t="str">
        <f ca="1">IFERROR(INDEX(UNSPSCDes,MATCH(INDIRECT(ADDRESS(ROW(),COLUMN()-1,4)),UNSPSCCode,0)),IF(INDIRECT(ADDRESS(ROW(),COLUMN()-1,4))="40151501","Bombas de aire",""))</f>
        <v>Bombas de aire</v>
      </c>
      <c r="C4247" s="58" t="str">
        <f>IFERROR(VLOOKUP("UD",'Informacion '!P:Q,2,FALSE),"")</f>
        <v>Unidad</v>
      </c>
      <c r="D4247" s="25">
        <v>4</v>
      </c>
      <c r="E4247" s="28">
        <v>8504.4699999999993</v>
      </c>
      <c r="F4247" s="27">
        <f t="shared" ca="1" si="127"/>
        <v>34017.879999999997</v>
      </c>
    </row>
    <row r="4248" spans="1:6" ht="14.25" customHeight="1" x14ac:dyDescent="0.25">
      <c r="A4248" s="25" t="s">
        <v>298</v>
      </c>
      <c r="B4248" s="26" t="str">
        <f ca="1">IFERROR(INDEX(UNSPSCDes,MATCH(INDIRECT(ADDRESS(ROW(),COLUMN()-1,4)),UNSPSCCode,0)),IF(INDIRECT(ADDRESS(ROW(),COLUMN()-1,4))="40151510","Bombas de agua",""))</f>
        <v>Bombas de agua</v>
      </c>
      <c r="C4248" s="58" t="str">
        <f>IFERROR(VLOOKUP("UD",'Informacion '!P:Q,2,FALSE),"")</f>
        <v>Unidad</v>
      </c>
      <c r="D4248" s="25">
        <v>5</v>
      </c>
      <c r="E4248" s="28">
        <v>3962</v>
      </c>
      <c r="F4248" s="27">
        <f t="shared" ca="1" si="127"/>
        <v>19810</v>
      </c>
    </row>
    <row r="4249" spans="1:6" ht="14.25" customHeight="1" x14ac:dyDescent="0.25">
      <c r="A4249" s="25" t="s">
        <v>640</v>
      </c>
      <c r="B4249" s="26" t="str">
        <f ca="1">IFERROR(INDEX(UNSPSCDes,MATCH(INDIRECT(ADDRESS(ROW(),COLUMN()-1,4)),UNSPSCCode,0)),IF(INDIRECT(ADDRESS(ROW(),COLUMN()-1,4))="46171619","Sistemas de seguridad o de control de acceso",""))</f>
        <v>Sistemas de seguridad o de control de acceso</v>
      </c>
      <c r="C4249" s="58" t="str">
        <f>IFERROR(VLOOKUP("UD",'Informacion '!P:Q,2,FALSE),"")</f>
        <v>Unidad</v>
      </c>
      <c r="D4249" s="25">
        <v>5</v>
      </c>
      <c r="E4249" s="28">
        <v>5800</v>
      </c>
      <c r="F4249" s="27">
        <f t="shared" ca="1" si="127"/>
        <v>29000</v>
      </c>
    </row>
    <row r="4250" spans="1:6" ht="14.25" customHeight="1" x14ac:dyDescent="0.25">
      <c r="A4250" s="25" t="s">
        <v>895</v>
      </c>
      <c r="B4250" s="26" t="str">
        <f ca="1">IFERROR(INDEX(UNSPSCDes,MATCH(INDIRECT(ADDRESS(ROW(),COLUMN()-1,4)),UNSPSCCode,0)),IF(INDIRECT(ADDRESS(ROW(),COLUMN()-1,4))="40141609","Válvulas de control",""))</f>
        <v>Válvulas de control</v>
      </c>
      <c r="C4250" s="58" t="str">
        <f>IFERROR(VLOOKUP("UD",'Informacion '!P:Q,2,FALSE),"")</f>
        <v>Unidad</v>
      </c>
      <c r="D4250" s="25">
        <v>10</v>
      </c>
      <c r="E4250" s="28">
        <v>180</v>
      </c>
      <c r="F4250" s="27">
        <f t="shared" ca="1" si="127"/>
        <v>1800</v>
      </c>
    </row>
    <row r="4251" spans="1:6" ht="14.25" customHeight="1" x14ac:dyDescent="0.25">
      <c r="A4251" s="25" t="s">
        <v>762</v>
      </c>
      <c r="B4251" s="26" t="str">
        <f ca="1">IFERROR(INDEX(UNSPSCDes,MATCH(INDIRECT(ADDRESS(ROW(),COLUMN()-1,4)),UNSPSCCode,0)),IF(INDIRECT(ADDRESS(ROW(),COLUMN()-1,4))="30181504","Lavamanos/Fregadero",""))</f>
        <v>Lavamanos/Fregadero</v>
      </c>
      <c r="C4251" s="58" t="str">
        <f>IFERROR(VLOOKUP("UD",'Informacion '!P:Q,2,FALSE),"")</f>
        <v>Unidad</v>
      </c>
      <c r="D4251" s="25">
        <v>30</v>
      </c>
      <c r="E4251" s="28">
        <v>180</v>
      </c>
      <c r="F4251" s="27">
        <f t="shared" ca="1" si="127"/>
        <v>5400</v>
      </c>
    </row>
    <row r="4252" spans="1:6" ht="14.25" customHeight="1" x14ac:dyDescent="0.25">
      <c r="A4252" s="25" t="s">
        <v>768</v>
      </c>
      <c r="B4252" s="26" t="str">
        <f ca="1">IFERROR(INDEX(UNSPSCDes,MATCH(INDIRECT(ADDRESS(ROW(),COLUMN()-1,4)),UNSPSCCode,0)),IF(INDIRECT(ADDRESS(ROW(),COLUMN()-1,4))="31201514","Cinta de sellado de hilo de poli tetrafluoretileno (ptfe)",""))</f>
        <v>Cinta de sellado de hilo de poli tetrafluoretileno (ptfe)</v>
      </c>
      <c r="C4252" s="58" t="str">
        <f>IFERROR(VLOOKUP("UD",'Informacion '!P:Q,2,FALSE),"")</f>
        <v>Unidad</v>
      </c>
      <c r="D4252" s="25">
        <v>30</v>
      </c>
      <c r="E4252" s="28">
        <v>45.49</v>
      </c>
      <c r="F4252" s="27">
        <f t="shared" ca="1" si="127"/>
        <v>1364.7</v>
      </c>
    </row>
    <row r="4253" spans="1:6" ht="14.25" customHeight="1" x14ac:dyDescent="0.25">
      <c r="A4253" s="25" t="s">
        <v>493</v>
      </c>
      <c r="B4253" s="26" t="str">
        <f ca="1">IFERROR(INDEX(UNSPSCDes,MATCH(INDIRECT(ADDRESS(ROW(),COLUMN()-1,4)),UNSPSCCode,0)),IF(INDIRECT(ADDRESS(ROW(),COLUMN()-1,4))="27121704","Uniones hidráulicas",""))</f>
        <v>Uniones hidráulicas</v>
      </c>
      <c r="C4253" s="58" t="str">
        <f>IFERROR(VLOOKUP("UD",'Informacion '!P:Q,2,FALSE),"")</f>
        <v>Unidad</v>
      </c>
      <c r="D4253" s="25">
        <v>20</v>
      </c>
      <c r="E4253" s="28">
        <v>45</v>
      </c>
      <c r="F4253" s="27">
        <f t="shared" ca="1" si="127"/>
        <v>900</v>
      </c>
    </row>
    <row r="4254" spans="1:6" ht="14.25" customHeight="1" x14ac:dyDescent="0.25">
      <c r="A4254" s="25" t="s">
        <v>493</v>
      </c>
      <c r="B4254" s="26" t="str">
        <f ca="1">IFERROR(INDEX(UNSPSCDes,MATCH(INDIRECT(ADDRESS(ROW(),COLUMN()-1,4)),UNSPSCCode,0)),IF(INDIRECT(ADDRESS(ROW(),COLUMN()-1,4))="27121704","Uniones hidráulicas",""))</f>
        <v>Uniones hidráulicas</v>
      </c>
      <c r="C4254" s="58" t="str">
        <f>IFERROR(VLOOKUP("UD",'Informacion '!P:Q,2,FALSE),"")</f>
        <v>Unidad</v>
      </c>
      <c r="D4254" s="25">
        <v>20</v>
      </c>
      <c r="E4254" s="28">
        <v>32</v>
      </c>
      <c r="F4254" s="27">
        <f t="shared" ca="1" si="127"/>
        <v>640</v>
      </c>
    </row>
    <row r="4255" spans="1:6" ht="14.25" customHeight="1" x14ac:dyDescent="0.25">
      <c r="A4255" s="25" t="s">
        <v>323</v>
      </c>
      <c r="B4255" s="26" t="str">
        <f ca="1">IFERROR(INDEX(UNSPSCDes,MATCH(INDIRECT(ADDRESS(ROW(),COLUMN()-1,4)),UNSPSCCode,0)),IF(INDIRECT(ADDRESS(ROW(),COLUMN()-1,4))="31231313","Tubería de plástico",""))</f>
        <v>Tubería de plástico</v>
      </c>
      <c r="C4255" s="58" t="str">
        <f>IFERROR(VLOOKUP("UD",'Informacion '!P:Q,2,FALSE),"")</f>
        <v>Unidad</v>
      </c>
      <c r="D4255" s="25">
        <v>10</v>
      </c>
      <c r="E4255" s="28">
        <v>550.75</v>
      </c>
      <c r="F4255" s="27">
        <f t="shared" ca="1" si="127"/>
        <v>5507.5</v>
      </c>
    </row>
    <row r="4256" spans="1:6" ht="14.25" customHeight="1" x14ac:dyDescent="0.25">
      <c r="A4256" s="25" t="s">
        <v>874</v>
      </c>
      <c r="B4256" s="26" t="str">
        <f ca="1">IFERROR(INDEX(UNSPSCDes,MATCH(INDIRECT(ADDRESS(ROW(),COLUMN()-1,4)),UNSPSCCode,0)),IF(INDIRECT(ADDRESS(ROW(),COLUMN()-1,4))="40142612","Adaptadores de tubo",""))</f>
        <v>Adaptadores de tubo</v>
      </c>
      <c r="C4256" s="58" t="str">
        <f>IFERROR(VLOOKUP("UD",'Informacion '!P:Q,2,FALSE),"")</f>
        <v>Unidad</v>
      </c>
      <c r="D4256" s="25">
        <v>20</v>
      </c>
      <c r="E4256" s="28">
        <v>22</v>
      </c>
      <c r="F4256" s="27">
        <f t="shared" ca="1" si="127"/>
        <v>440</v>
      </c>
    </row>
    <row r="4257" spans="1:10" ht="14.25" customHeight="1" x14ac:dyDescent="0.25">
      <c r="A4257" s="25" t="s">
        <v>119</v>
      </c>
      <c r="B4257" s="26" t="str">
        <f ca="1">IFERROR(INDEX(UNSPSCDes,MATCH(INDIRECT(ADDRESS(ROW(),COLUMN()-1,4)),UNSPSCCode,0)),IF(INDIRECT(ADDRESS(ROW(),COLUMN()-1,4))="40142604","Codos de tubo",""))</f>
        <v>Codos de tubo</v>
      </c>
      <c r="C4257" s="58" t="str">
        <f>IFERROR(VLOOKUP("UD",'Informacion '!P:Q,2,FALSE),"")</f>
        <v>Unidad</v>
      </c>
      <c r="D4257" s="25">
        <v>30</v>
      </c>
      <c r="E4257" s="28">
        <v>216.95</v>
      </c>
      <c r="F4257" s="27">
        <f t="shared" ca="1" si="127"/>
        <v>6508.5</v>
      </c>
    </row>
    <row r="4258" spans="1:10" ht="14.25" customHeight="1" x14ac:dyDescent="0.25">
      <c r="A4258" s="25" t="s">
        <v>323</v>
      </c>
      <c r="B4258" s="26" t="str">
        <f ca="1">IFERROR(INDEX(UNSPSCDes,MATCH(INDIRECT(ADDRESS(ROW(),COLUMN()-1,4)),UNSPSCCode,0)),IF(INDIRECT(ADDRESS(ROW(),COLUMN()-1,4))="31231313","Tubería de plástico",""))</f>
        <v>Tubería de plástico</v>
      </c>
      <c r="C4258" s="58" t="str">
        <f>IFERROR(VLOOKUP("UD",'Informacion '!P:Q,2,FALSE),"")</f>
        <v>Unidad</v>
      </c>
      <c r="D4258" s="25">
        <v>10</v>
      </c>
      <c r="E4258" s="28">
        <v>550.75</v>
      </c>
      <c r="F4258" s="27">
        <f t="shared" ca="1" si="127"/>
        <v>5507.5</v>
      </c>
    </row>
    <row r="4259" spans="1:10" ht="14.25" customHeight="1" x14ac:dyDescent="0.25">
      <c r="A4259" s="25" t="s">
        <v>874</v>
      </c>
      <c r="B4259" s="26" t="str">
        <f ca="1">IFERROR(INDEX(UNSPSCDes,MATCH(INDIRECT(ADDRESS(ROW(),COLUMN()-1,4)),UNSPSCCode,0)),IF(INDIRECT(ADDRESS(ROW(),COLUMN()-1,4))="40142612","Adaptadores de tubo",""))</f>
        <v>Adaptadores de tubo</v>
      </c>
      <c r="C4259" s="58" t="str">
        <f>IFERROR(VLOOKUP("UD",'Informacion '!P:Q,2,FALSE),"")</f>
        <v>Unidad</v>
      </c>
      <c r="D4259" s="25">
        <v>15</v>
      </c>
      <c r="E4259" s="28">
        <v>22</v>
      </c>
      <c r="F4259" s="27">
        <f t="shared" ca="1" si="127"/>
        <v>330</v>
      </c>
    </row>
    <row r="4260" spans="1:10" ht="14.25" customHeight="1" x14ac:dyDescent="0.25">
      <c r="A4260" s="25" t="s">
        <v>119</v>
      </c>
      <c r="B4260" s="26" t="str">
        <f ca="1">IFERROR(INDEX(UNSPSCDes,MATCH(INDIRECT(ADDRESS(ROW(),COLUMN()-1,4)),UNSPSCCode,0)),IF(INDIRECT(ADDRESS(ROW(),COLUMN()-1,4))="40142604","Codos de tubo",""))</f>
        <v>Codos de tubo</v>
      </c>
      <c r="C4260" s="58" t="str">
        <f>IFERROR(VLOOKUP("UD",'Informacion '!P:Q,2,FALSE),"")</f>
        <v>Unidad</v>
      </c>
      <c r="D4260" s="25">
        <v>15</v>
      </c>
      <c r="E4260" s="28">
        <v>216.95</v>
      </c>
      <c r="F4260" s="27">
        <f t="shared" ca="1" si="127"/>
        <v>3254.25</v>
      </c>
    </row>
    <row r="4261" spans="1:10" ht="14.25" customHeight="1" x14ac:dyDescent="0.25">
      <c r="A4261" s="25" t="s">
        <v>784</v>
      </c>
      <c r="B4261" s="26" t="str">
        <f ca="1">IFERROR(INDEX(UNSPSCDes,MATCH(INDIRECT(ADDRESS(ROW(),COLUMN()-1,4)),UNSPSCCode,0)),IF(INDIRECT(ADDRESS(ROW(),COLUMN()-1,4))="26121519","Alambre de aluminio revestido de cobre",""))</f>
        <v>Alambre de aluminio revestido de cobre</v>
      </c>
      <c r="C4261" s="58" t="str">
        <f>IFERROR(VLOOKUP("FT",'Informacion '!P:Q,2,FALSE),"")</f>
        <v>Pie</v>
      </c>
      <c r="D4261" s="25">
        <v>300</v>
      </c>
      <c r="E4261" s="28">
        <v>37</v>
      </c>
      <c r="F4261" s="27">
        <f t="shared" ca="1" si="127"/>
        <v>11100</v>
      </c>
    </row>
    <row r="4262" spans="1:10" ht="14.25" customHeight="1" x14ac:dyDescent="0.25">
      <c r="E4262" s="30" t="s">
        <v>816</v>
      </c>
      <c r="F4262" s="31">
        <f ca="1">SUM(Table224[MONTO TOTAL ESTIMADO])</f>
        <v>262670.42000000004</v>
      </c>
      <c r="H4262" s="21" t="str">
        <f>C4211</f>
        <v>Bienes</v>
      </c>
      <c r="I4262" s="21" t="str">
        <f>E4211</f>
        <v>Sí</v>
      </c>
      <c r="J4262" s="21" t="str">
        <f>D4211</f>
        <v>Compras Menores</v>
      </c>
    </row>
    <row r="4264" spans="1:10" ht="33.950000000000003" customHeight="1" x14ac:dyDescent="0.25">
      <c r="A4264" s="22" t="s">
        <v>1051</v>
      </c>
      <c r="B4264" s="22" t="s">
        <v>11</v>
      </c>
      <c r="C4264" s="22" t="s">
        <v>751</v>
      </c>
      <c r="D4264" s="22" t="s">
        <v>930</v>
      </c>
      <c r="E4264" s="22" t="s">
        <v>699</v>
      </c>
      <c r="F4264" s="22" t="s">
        <v>710</v>
      </c>
    </row>
    <row r="4265" spans="1:10" ht="14.25" customHeight="1" x14ac:dyDescent="0.25">
      <c r="A4265" s="23" t="s">
        <v>1064</v>
      </c>
      <c r="B4265" s="23" t="s">
        <v>1064</v>
      </c>
      <c r="C4265" s="23" t="s">
        <v>1155</v>
      </c>
      <c r="D4265" s="23" t="s">
        <v>1128</v>
      </c>
      <c r="E4265" s="23" t="s">
        <v>561</v>
      </c>
      <c r="F4265" s="23" t="s">
        <v>436</v>
      </c>
    </row>
    <row r="4266" spans="1:10" ht="14.25" customHeight="1" x14ac:dyDescent="0.25">
      <c r="A4266" s="68" t="s">
        <v>965</v>
      </c>
      <c r="B4266" s="24" t="s">
        <v>543</v>
      </c>
      <c r="C4266" s="54">
        <v>46123</v>
      </c>
      <c r="D4266" s="68" t="s">
        <v>598</v>
      </c>
      <c r="E4266" s="56" t="s">
        <v>858</v>
      </c>
      <c r="F4266" s="57" t="s">
        <v>184</v>
      </c>
    </row>
    <row r="4267" spans="1:10" ht="14.25" customHeight="1" x14ac:dyDescent="0.25">
      <c r="A4267" s="69"/>
      <c r="B4267" s="24" t="s">
        <v>112</v>
      </c>
      <c r="C4267" s="55">
        <f>IF(C4266="","",IF(AND(MONTH(C4266)&gt;=1,MONTH(C4266)&lt;=3),1,IF(AND(MONTH(C4266)&gt;=4,MONTH(C4266)&lt;=6),2,IF(AND(MONTH(C4266)&gt;=7,MONTH(C4266)&lt;=9),3,4))))</f>
        <v>2</v>
      </c>
      <c r="D4267" s="69"/>
      <c r="E4267" s="56" t="s">
        <v>143</v>
      </c>
      <c r="F4267" s="57"/>
    </row>
    <row r="4268" spans="1:10" ht="14.25" customHeight="1" x14ac:dyDescent="0.25">
      <c r="A4268" s="69"/>
      <c r="B4268" s="24" t="s">
        <v>844</v>
      </c>
      <c r="C4268" s="54">
        <v>46142</v>
      </c>
      <c r="D4268" s="69"/>
      <c r="E4268" s="56" t="s">
        <v>183</v>
      </c>
      <c r="F4268" s="57"/>
    </row>
    <row r="4269" spans="1:10" ht="14.25" customHeight="1" x14ac:dyDescent="0.25">
      <c r="A4269" s="69"/>
      <c r="B4269" s="24" t="s">
        <v>112</v>
      </c>
      <c r="C4269" s="55">
        <f>IF(C4268="","",IF(AND(MONTH(C4268)&gt;=1,MONTH(C4268)&lt;=3),1,IF(AND(MONTH(C4268)&gt;=4,MONTH(C4268)&lt;=6),2,IF(AND(MONTH(C4268)&gt;=7,MONTH(C4268)&lt;=9),3,4))))</f>
        <v>2</v>
      </c>
      <c r="D4269" s="69"/>
      <c r="E4269" s="56" t="s">
        <v>865</v>
      </c>
      <c r="F4269" s="57"/>
    </row>
    <row r="4271" spans="1:10" ht="14.25" customHeight="1" x14ac:dyDescent="0.25">
      <c r="A4271" s="29" t="s">
        <v>1017</v>
      </c>
      <c r="B4271" s="29" t="s">
        <v>1042</v>
      </c>
      <c r="C4271" s="29" t="s">
        <v>1011</v>
      </c>
      <c r="D4271" s="29" t="s">
        <v>985</v>
      </c>
      <c r="E4271" s="29" t="s">
        <v>449</v>
      </c>
      <c r="F4271" s="29" t="s">
        <v>989</v>
      </c>
    </row>
    <row r="4272" spans="1:10" ht="14.25" customHeight="1" x14ac:dyDescent="0.25">
      <c r="A4272" s="25" t="s">
        <v>193</v>
      </c>
      <c r="B4272" s="26" t="str">
        <f ca="1">IFERROR(INDEX(UNSPSCDes,MATCH(INDIRECT(ADDRESS(ROW(),COLUMN()-1,4)),UNSPSCCode,0)),IF(INDIRECT(ADDRESS(ROW(),COLUMN()-1,4))="51141519","Mefenitoina",""))</f>
        <v>Mefenitoina</v>
      </c>
      <c r="C4272" s="58" t="str">
        <f>IFERROR(VLOOKUP("UD",'Informacion '!P:Q,2,FALSE),"")</f>
        <v>Unidad</v>
      </c>
      <c r="D4272" s="25">
        <v>6</v>
      </c>
      <c r="E4272" s="28">
        <v>520</v>
      </c>
      <c r="F4272" s="27">
        <f t="shared" ref="F4272:F4314" ca="1" si="128">INDIRECT(ADDRESS(ROW(),COLUMN()-2,4))*INDIRECT(ADDRESS(ROW(),COLUMN()-1,4))</f>
        <v>3120</v>
      </c>
    </row>
    <row r="4273" spans="1:6" ht="14.25" customHeight="1" x14ac:dyDescent="0.25">
      <c r="A4273" s="25" t="s">
        <v>331</v>
      </c>
      <c r="B4273" s="26" t="str">
        <f ca="1">IFERROR(INDEX(UNSPSCDes,MATCH(INDIRECT(ADDRESS(ROW(),COLUMN()-1,4)),UNSPSCCode,0)),IF(INDIRECT(ADDRESS(ROW(),COLUMN()-1,4))="51142001","Acetaminofén",""))</f>
        <v>Acetaminofén</v>
      </c>
      <c r="C4273" s="58" t="str">
        <f>IFERROR(VLOOKUP("UD",'Informacion '!P:Q,2,FALSE),"")</f>
        <v>Unidad</v>
      </c>
      <c r="D4273" s="25">
        <v>20</v>
      </c>
      <c r="E4273" s="28">
        <v>1532</v>
      </c>
      <c r="F4273" s="27">
        <f t="shared" ca="1" si="128"/>
        <v>30640</v>
      </c>
    </row>
    <row r="4274" spans="1:6" ht="14.25" customHeight="1" x14ac:dyDescent="0.25">
      <c r="A4274" s="25" t="s">
        <v>331</v>
      </c>
      <c r="B4274" s="26" t="str">
        <f ca="1">IFERROR(INDEX(UNSPSCDes,MATCH(INDIRECT(ADDRESS(ROW(),COLUMN()-1,4)),UNSPSCCode,0)),IF(INDIRECT(ADDRESS(ROW(),COLUMN()-1,4))="51142001","Acetaminofén",""))</f>
        <v>Acetaminofén</v>
      </c>
      <c r="C4274" s="58" t="str">
        <f>IFERROR(VLOOKUP("UD",'Informacion '!P:Q,2,FALSE),"")</f>
        <v>Unidad</v>
      </c>
      <c r="D4274" s="25">
        <v>6</v>
      </c>
      <c r="E4274" s="28">
        <v>1785</v>
      </c>
      <c r="F4274" s="27">
        <f t="shared" ca="1" si="128"/>
        <v>10710</v>
      </c>
    </row>
    <row r="4275" spans="1:6" ht="14.25" customHeight="1" x14ac:dyDescent="0.25">
      <c r="A4275" s="25" t="s">
        <v>190</v>
      </c>
      <c r="B4275" s="26" t="str">
        <f ca="1">IFERROR(INDEX(UNSPSCDes,MATCH(INDIRECT(ADDRESS(ROW(),COLUMN()-1,4)),UNSPSCCode,0)),IF(INDIRECT(ADDRESS(ROW(),COLUMN()-1,4))="51142414","Sumatriptán",""))</f>
        <v>Sumatriptán</v>
      </c>
      <c r="C4275" s="58" t="str">
        <f>IFERROR(VLOOKUP("UD",'Informacion '!P:Q,2,FALSE),"")</f>
        <v>Unidad</v>
      </c>
      <c r="D4275" s="25">
        <v>30</v>
      </c>
      <c r="E4275" s="28">
        <v>950</v>
      </c>
      <c r="F4275" s="27">
        <f t="shared" ca="1" si="128"/>
        <v>28500</v>
      </c>
    </row>
    <row r="4276" spans="1:6" ht="14.25" customHeight="1" x14ac:dyDescent="0.25">
      <c r="A4276" s="25" t="s">
        <v>861</v>
      </c>
      <c r="B4276" s="26" t="str">
        <f ca="1">IFERROR(INDEX(UNSPSCDes,MATCH(INDIRECT(ADDRESS(ROW(),COLUMN()-1,4)),UNSPSCCode,0)),IF(INDIRECT(ADDRESS(ROW(),COLUMN()-1,4))="51102709","Peróxido de hidrógeno antiséptico",""))</f>
        <v>Peróxido de hidrógeno antiséptico</v>
      </c>
      <c r="C4276" s="58" t="str">
        <f>IFERROR(VLOOKUP("UD",'Informacion '!P:Q,2,FALSE),"")</f>
        <v>Unidad</v>
      </c>
      <c r="D4276" s="25">
        <v>10</v>
      </c>
      <c r="E4276" s="28">
        <v>230</v>
      </c>
      <c r="F4276" s="27">
        <f t="shared" ca="1" si="128"/>
        <v>2300</v>
      </c>
    </row>
    <row r="4277" spans="1:6" ht="14.25" customHeight="1" x14ac:dyDescent="0.25">
      <c r="A4277" s="25" t="s">
        <v>1105</v>
      </c>
      <c r="B4277" s="26" t="str">
        <f ca="1">IFERROR(INDEX(UNSPSCDes,MATCH(INDIRECT(ADDRESS(ROW(),COLUMN()-1,4)),UNSPSCCode,0)),IF(INDIRECT(ADDRESS(ROW(),COLUMN()-1,4))="42141501","Bolas o fibra de algodón",""))</f>
        <v>Bolas o fibra de algodón</v>
      </c>
      <c r="C4277" s="58" t="str">
        <f>IFERROR(VLOOKUP("UD",'Informacion '!P:Q,2,FALSE),"")</f>
        <v>Unidad</v>
      </c>
      <c r="D4277" s="25">
        <v>2</v>
      </c>
      <c r="E4277" s="28">
        <v>210</v>
      </c>
      <c r="F4277" s="27">
        <f t="shared" ca="1" si="128"/>
        <v>420</v>
      </c>
    </row>
    <row r="4278" spans="1:6" ht="14.25" customHeight="1" x14ac:dyDescent="0.25">
      <c r="A4278" s="25" t="s">
        <v>19</v>
      </c>
      <c r="B4278" s="26" t="str">
        <f ca="1">IFERROR(INDEX(UNSPSCDes,MATCH(INDIRECT(ADDRESS(ROW(),COLUMN()-1,4)),UNSPSCCode,0)),IF(INDIRECT(ADDRESS(ROW(),COLUMN()-1,4))="51161801","Benzonatato",""))</f>
        <v>Benzonatato</v>
      </c>
      <c r="C4278" s="58" t="str">
        <f>IFERROR(VLOOKUP("UD",'Informacion '!P:Q,2,FALSE),"")</f>
        <v>Unidad</v>
      </c>
      <c r="D4278" s="25">
        <v>30</v>
      </c>
      <c r="E4278" s="28">
        <v>58</v>
      </c>
      <c r="F4278" s="27">
        <f t="shared" ca="1" si="128"/>
        <v>1740</v>
      </c>
    </row>
    <row r="4279" spans="1:6" ht="14.25" customHeight="1" x14ac:dyDescent="0.25">
      <c r="A4279" s="25" t="s">
        <v>888</v>
      </c>
      <c r="B4279" s="26" t="str">
        <f ca="1">IFERROR(INDEX(UNSPSCDes,MATCH(INDIRECT(ADDRESS(ROW(),COLUMN()-1,4)),UNSPSCCode,0)),IF(INDIRECT(ADDRESS(ROW(),COLUMN()-1,4))="51142904","Lidocaína",""))</f>
        <v>Lidocaína</v>
      </c>
      <c r="C4279" s="58" t="str">
        <f>IFERROR(VLOOKUP("UD",'Informacion '!P:Q,2,FALSE),"")</f>
        <v>Unidad</v>
      </c>
      <c r="D4279" s="25">
        <v>50</v>
      </c>
      <c r="E4279" s="28">
        <v>25</v>
      </c>
      <c r="F4279" s="27">
        <f t="shared" ca="1" si="128"/>
        <v>1250</v>
      </c>
    </row>
    <row r="4280" spans="1:6" ht="14.25" customHeight="1" x14ac:dyDescent="0.25">
      <c r="A4280" s="25" t="s">
        <v>19</v>
      </c>
      <c r="B4280" s="26" t="str">
        <f ca="1">IFERROR(INDEX(UNSPSCDes,MATCH(INDIRECT(ADDRESS(ROW(),COLUMN()-1,4)),UNSPSCCode,0)),IF(INDIRECT(ADDRESS(ROW(),COLUMN()-1,4))="51161801","Benzonatato",""))</f>
        <v>Benzonatato</v>
      </c>
      <c r="C4280" s="58" t="str">
        <f>IFERROR(VLOOKUP("UD",'Informacion '!P:Q,2,FALSE),"")</f>
        <v>Unidad</v>
      </c>
      <c r="D4280" s="25">
        <v>4</v>
      </c>
      <c r="E4280" s="28">
        <v>550</v>
      </c>
      <c r="F4280" s="27">
        <f t="shared" ca="1" si="128"/>
        <v>2200</v>
      </c>
    </row>
    <row r="4281" spans="1:6" ht="14.25" customHeight="1" x14ac:dyDescent="0.25">
      <c r="A4281" s="25" t="s">
        <v>283</v>
      </c>
      <c r="B4281" s="26" t="str">
        <f ca="1">IFERROR(INDEX(UNSPSCDes,MATCH(INDIRECT(ADDRESS(ROW(),COLUMN()-1,4)),UNSPSCCode,0)),IF(INDIRECT(ADDRESS(ROW(),COLUMN()-1,4))="42295407","Máscaras para pacientes de uso quirúrgico",""))</f>
        <v>Máscaras para pacientes de uso quirúrgico</v>
      </c>
      <c r="C4281" s="58" t="str">
        <f>IFERROR(VLOOKUP("CAJ",'Informacion '!P:Q,2,FALSE),"")</f>
        <v>Caja</v>
      </c>
      <c r="D4281" s="25">
        <v>25</v>
      </c>
      <c r="E4281" s="28">
        <v>300</v>
      </c>
      <c r="F4281" s="27">
        <f t="shared" ca="1" si="128"/>
        <v>7500</v>
      </c>
    </row>
    <row r="4282" spans="1:6" ht="14.25" customHeight="1" x14ac:dyDescent="0.25">
      <c r="A4282" s="25" t="s">
        <v>1030</v>
      </c>
      <c r="B4282" s="26" t="str">
        <f ca="1">IFERROR(INDEX(UNSPSCDes,MATCH(INDIRECT(ADDRESS(ROW(),COLUMN()-1,4)),UNSPSCCode,0)),IF(INDIRECT(ADDRESS(ROW(),COLUMN()-1,4))="51161616","Betahistina",""))</f>
        <v>Betahistina</v>
      </c>
      <c r="C4282" s="58" t="str">
        <f>IFERROR(VLOOKUP("UD",'Informacion '!P:Q,2,FALSE),"")</f>
        <v>Unidad</v>
      </c>
      <c r="D4282" s="25">
        <v>2</v>
      </c>
      <c r="E4282" s="28">
        <v>2465</v>
      </c>
      <c r="F4282" s="27">
        <f t="shared" ca="1" si="128"/>
        <v>4930</v>
      </c>
    </row>
    <row r="4283" spans="1:6" ht="14.25" customHeight="1" x14ac:dyDescent="0.25">
      <c r="A4283" s="25" t="s">
        <v>793</v>
      </c>
      <c r="B4283" s="26" t="str">
        <f ca="1">IFERROR(INDEX(UNSPSCDes,MATCH(INDIRECT(ADDRESS(ROW(),COLUMN()-1,4)),UNSPSCCode,0)),IF(INDIRECT(ADDRESS(ROW(),COLUMN()-1,4))="51161705","Bromuro de ipratropio",""))</f>
        <v>Bromuro de ipratropio</v>
      </c>
      <c r="C4283" s="58" t="str">
        <f>IFERROR(VLOOKUP("UD",'Informacion '!P:Q,2,FALSE),"")</f>
        <v>Unidad</v>
      </c>
      <c r="D4283" s="25">
        <v>2</v>
      </c>
      <c r="E4283" s="28">
        <v>1815</v>
      </c>
      <c r="F4283" s="27">
        <f t="shared" ca="1" si="128"/>
        <v>3630</v>
      </c>
    </row>
    <row r="4284" spans="1:6" ht="14.25" customHeight="1" x14ac:dyDescent="0.25">
      <c r="A4284" s="25" t="s">
        <v>1206</v>
      </c>
      <c r="B4284" s="26" t="str">
        <f ca="1">IFERROR(INDEX(UNSPSCDes,MATCH(INDIRECT(ADDRESS(ROW(),COLUMN()-1,4)),UNSPSCCode,0)),IF(INDIRECT(ADDRESS(ROW(),COLUMN()-1,4))="51142106","Ibuprofeno",""))</f>
        <v>Ibuprofeno</v>
      </c>
      <c r="C4284" s="58" t="str">
        <f>IFERROR(VLOOKUP("UD",'Informacion '!P:Q,2,FALSE),"")</f>
        <v>Unidad</v>
      </c>
      <c r="D4284" s="25">
        <v>8</v>
      </c>
      <c r="E4284" s="28">
        <v>2400</v>
      </c>
      <c r="F4284" s="27">
        <f t="shared" ca="1" si="128"/>
        <v>19200</v>
      </c>
    </row>
    <row r="4285" spans="1:6" ht="14.25" customHeight="1" x14ac:dyDescent="0.25">
      <c r="A4285" s="25" t="s">
        <v>154</v>
      </c>
      <c r="B4285" s="26" t="str">
        <f ca="1">IFERROR(INDEX(UNSPSCDes,MATCH(INDIRECT(ADDRESS(ROW(),COLUMN()-1,4)),UNSPSCCode,0)),IF(INDIRECT(ADDRESS(ROW(),COLUMN()-1,4))="51121703","Captopril",""))</f>
        <v>Captopril</v>
      </c>
      <c r="C4285" s="58" t="str">
        <f>IFERROR(VLOOKUP("UD",'Informacion '!P:Q,2,FALSE),"")</f>
        <v>Unidad</v>
      </c>
      <c r="D4285" s="25">
        <v>2</v>
      </c>
      <c r="E4285" s="28">
        <v>670</v>
      </c>
      <c r="F4285" s="27">
        <f t="shared" ca="1" si="128"/>
        <v>1340</v>
      </c>
    </row>
    <row r="4286" spans="1:6" ht="14.25" customHeight="1" x14ac:dyDescent="0.25">
      <c r="A4286" s="25" t="s">
        <v>387</v>
      </c>
      <c r="B4286" s="26" t="str">
        <f ca="1">IFERROR(INDEX(UNSPSCDes,MATCH(INDIRECT(ADDRESS(ROW(),COLUMN()-1,4)),UNSPSCCode,0)),IF(INDIRECT(ADDRESS(ROW(),COLUMN()-1,4))="51161615","Cetirizina",""))</f>
        <v>Cetirizina</v>
      </c>
      <c r="C4286" s="58" t="str">
        <f>IFERROR(VLOOKUP("UD",'Informacion '!P:Q,2,FALSE),"")</f>
        <v>Unidad</v>
      </c>
      <c r="D4286" s="25">
        <v>10</v>
      </c>
      <c r="E4286" s="28">
        <v>190</v>
      </c>
      <c r="F4286" s="27">
        <f t="shared" ca="1" si="128"/>
        <v>1900</v>
      </c>
    </row>
    <row r="4287" spans="1:6" ht="14.25" customHeight="1" x14ac:dyDescent="0.25">
      <c r="A4287" s="25" t="s">
        <v>551</v>
      </c>
      <c r="B4287" s="26" t="str">
        <f ca="1">IFERROR(INDEX(UNSPSCDes,MATCH(INDIRECT(ADDRESS(ROW(),COLUMN()-1,4)),UNSPSCCode,0)),IF(INDIRECT(ADDRESS(ROW(),COLUMN()-1,4))="42312003","Tiras de cierre para la piel o para heridas",""))</f>
        <v>Tiras de cierre para la piel o para heridas</v>
      </c>
      <c r="C4287" s="58" t="str">
        <f>IFERROR(VLOOKUP("UD",'Informacion '!P:Q,2,FALSE),"")</f>
        <v>Unidad</v>
      </c>
      <c r="D4287" s="25">
        <v>20</v>
      </c>
      <c r="E4287" s="28">
        <v>80</v>
      </c>
      <c r="F4287" s="27">
        <f t="shared" ca="1" si="128"/>
        <v>1600</v>
      </c>
    </row>
    <row r="4288" spans="1:6" ht="14.25" customHeight="1" x14ac:dyDescent="0.25">
      <c r="A4288" s="25" t="s">
        <v>459</v>
      </c>
      <c r="B4288" s="26" t="str">
        <f ca="1">IFERROR(INDEX(UNSPSCDes,MATCH(INDIRECT(ADDRESS(ROW(),COLUMN()-1,4)),UNSPSCCode,0)),IF(INDIRECT(ADDRESS(ROW(),COLUMN()-1,4))="51101508","Sulfonamidas antibióticas",""))</f>
        <v>Sulfonamidas antibióticas</v>
      </c>
      <c r="C4288" s="58" t="str">
        <f>IFERROR(VLOOKUP("UD",'Informacion '!P:Q,2,FALSE),"")</f>
        <v>Unidad</v>
      </c>
      <c r="D4288" s="25">
        <v>14</v>
      </c>
      <c r="E4288" s="28">
        <v>345</v>
      </c>
      <c r="F4288" s="27">
        <f t="shared" ca="1" si="128"/>
        <v>4830</v>
      </c>
    </row>
    <row r="4289" spans="1:6" ht="14.25" customHeight="1" x14ac:dyDescent="0.25">
      <c r="A4289" s="25" t="s">
        <v>187</v>
      </c>
      <c r="B4289" s="26" t="str">
        <f ca="1">IFERROR(INDEX(UNSPSCDes,MATCH(INDIRECT(ADDRESS(ROW(),COLUMN()-1,4)),UNSPSCCode,0)),IF(INDIRECT(ADDRESS(ROW(),COLUMN()-1,4))="51191906","Solución de rehidratación oral",""))</f>
        <v>Solución de rehidratación oral</v>
      </c>
      <c r="C4289" s="58" t="str">
        <f>IFERROR(VLOOKUP("UD",'Informacion '!P:Q,2,FALSE),"")</f>
        <v>Unidad</v>
      </c>
      <c r="D4289" s="25">
        <v>100</v>
      </c>
      <c r="E4289" s="28">
        <v>50</v>
      </c>
      <c r="F4289" s="27">
        <f t="shared" ca="1" si="128"/>
        <v>5000</v>
      </c>
    </row>
    <row r="4290" spans="1:6" ht="14.25" customHeight="1" x14ac:dyDescent="0.25">
      <c r="A4290" s="25" t="s">
        <v>1083</v>
      </c>
      <c r="B4290" s="26" t="str">
        <f ca="1">IFERROR(INDEX(UNSPSCDes,MATCH(INDIRECT(ADDRESS(ROW(),COLUMN()-1,4)),UNSPSCCode,0)),IF(INDIRECT(ADDRESS(ROW(),COLUMN()-1,4))="42132203","Guantes de examen o para procedimientos no quirúrgicos",""))</f>
        <v>Guantes de examen o para procedimientos no quirúrgicos</v>
      </c>
      <c r="C4290" s="58" t="str">
        <f>IFERROR(VLOOKUP("UD",'Informacion '!P:Q,2,FALSE),"")</f>
        <v>Unidad</v>
      </c>
      <c r="D4290" s="25">
        <v>6</v>
      </c>
      <c r="E4290" s="28">
        <v>265</v>
      </c>
      <c r="F4290" s="27">
        <f t="shared" ca="1" si="128"/>
        <v>1590</v>
      </c>
    </row>
    <row r="4291" spans="1:6" ht="14.25" customHeight="1" x14ac:dyDescent="0.25">
      <c r="A4291" s="25" t="s">
        <v>461</v>
      </c>
      <c r="B4291" s="26" t="str">
        <f ca="1">IFERROR(INDEX(UNSPSCDes,MATCH(INDIRECT(ADDRESS(ROW(),COLUMN()-1,4)),UNSPSCCode,0)),IF(INDIRECT(ADDRESS(ROW(),COLUMN()-1,4))="51142121","Diclofenaco",""))</f>
        <v>Diclofenaco</v>
      </c>
      <c r="C4291" s="58" t="str">
        <f>IFERROR(VLOOKUP("UD",'Informacion '!P:Q,2,FALSE),"")</f>
        <v>Unidad</v>
      </c>
      <c r="D4291" s="25">
        <v>4</v>
      </c>
      <c r="E4291" s="28">
        <v>240</v>
      </c>
      <c r="F4291" s="27">
        <f t="shared" ca="1" si="128"/>
        <v>960</v>
      </c>
    </row>
    <row r="4292" spans="1:6" ht="14.25" customHeight="1" x14ac:dyDescent="0.25">
      <c r="A4292" s="25" t="s">
        <v>461</v>
      </c>
      <c r="B4292" s="26" t="str">
        <f ca="1">IFERROR(INDEX(UNSPSCDes,MATCH(INDIRECT(ADDRESS(ROW(),COLUMN()-1,4)),UNSPSCCode,0)),IF(INDIRECT(ADDRESS(ROW(),COLUMN()-1,4))="51142121","Diclofenaco",""))</f>
        <v>Diclofenaco</v>
      </c>
      <c r="C4292" s="58" t="str">
        <f>IFERROR(VLOOKUP("UD",'Informacion '!P:Q,2,FALSE),"")</f>
        <v>Unidad</v>
      </c>
      <c r="D4292" s="25">
        <v>20</v>
      </c>
      <c r="E4292" s="28">
        <v>80</v>
      </c>
      <c r="F4292" s="27">
        <f t="shared" ca="1" si="128"/>
        <v>1600</v>
      </c>
    </row>
    <row r="4293" spans="1:6" ht="14.25" customHeight="1" x14ac:dyDescent="0.25">
      <c r="A4293" s="25" t="s">
        <v>203</v>
      </c>
      <c r="B4293" s="26" t="str">
        <f ca="1">IFERROR(INDEX(UNSPSCDes,MATCH(INDIRECT(ADDRESS(ROW(),COLUMN()-1,4)),UNSPSCCode,0)),IF(INDIRECT(ADDRESS(ROW(),COLUMN()-1,4))="51171820","Dimenhidrinato",""))</f>
        <v>Dimenhidrinato</v>
      </c>
      <c r="C4293" s="58" t="str">
        <f>IFERROR(VLOOKUP("UD",'Informacion '!P:Q,2,FALSE),"")</f>
        <v>Unidad</v>
      </c>
      <c r="D4293" s="25">
        <v>2</v>
      </c>
      <c r="E4293" s="28">
        <v>450</v>
      </c>
      <c r="F4293" s="27">
        <f t="shared" ca="1" si="128"/>
        <v>900</v>
      </c>
    </row>
    <row r="4294" spans="1:6" ht="14.25" customHeight="1" x14ac:dyDescent="0.25">
      <c r="A4294" s="25" t="s">
        <v>153</v>
      </c>
      <c r="B4294" s="26" t="str">
        <f ca="1">IFERROR(INDEX(UNSPSCDes,MATCH(INDIRECT(ADDRESS(ROW(),COLUMN()-1,4)),UNSPSCCode,0)),IF(INDIRECT(ADDRESS(ROW(),COLUMN()-1,4))="42311512","Esponjas de gasa",""))</f>
        <v>Esponjas de gasa</v>
      </c>
      <c r="C4294" s="58" t="str">
        <f>IFERROR(VLOOKUP("UD",'Informacion '!P:Q,2,FALSE),"")</f>
        <v>Unidad</v>
      </c>
      <c r="D4294" s="25">
        <v>1</v>
      </c>
      <c r="E4294" s="28">
        <v>1950</v>
      </c>
      <c r="F4294" s="27">
        <f t="shared" ca="1" si="128"/>
        <v>1950</v>
      </c>
    </row>
    <row r="4295" spans="1:6" ht="14.25" customHeight="1" x14ac:dyDescent="0.25">
      <c r="A4295" s="25" t="s">
        <v>1002</v>
      </c>
      <c r="B4295" s="26" t="str">
        <f ca="1">IFERROR(INDEX(UNSPSCDes,MATCH(INDIRECT(ADDRESS(ROW(),COLUMN()-1,4)),UNSPSCCode,0)),IF(INDIRECT(ADDRESS(ROW(),COLUMN()-1,4))="51181725","Butirato de hidrocortisona",""))</f>
        <v>Butirato de hidrocortisona</v>
      </c>
      <c r="C4295" s="58" t="str">
        <f>IFERROR(VLOOKUP("UD",'Informacion '!P:Q,2,FALSE),"")</f>
        <v>Unidad</v>
      </c>
      <c r="D4295" s="25">
        <v>4</v>
      </c>
      <c r="E4295" s="28">
        <v>675</v>
      </c>
      <c r="F4295" s="27">
        <f t="shared" ca="1" si="128"/>
        <v>2700</v>
      </c>
    </row>
    <row r="4296" spans="1:6" ht="14.25" customHeight="1" x14ac:dyDescent="0.25">
      <c r="A4296" s="25" t="s">
        <v>1206</v>
      </c>
      <c r="B4296" s="26" t="str">
        <f ca="1">IFERROR(INDEX(UNSPSCDes,MATCH(INDIRECT(ADDRESS(ROW(),COLUMN()-1,4)),UNSPSCCode,0)),IF(INDIRECT(ADDRESS(ROW(),COLUMN()-1,4))="51142106","Ibuprofeno",""))</f>
        <v>Ibuprofeno</v>
      </c>
      <c r="C4296" s="58" t="str">
        <f>IFERROR(VLOOKUP("UD",'Informacion '!P:Q,2,FALSE),"")</f>
        <v>Unidad</v>
      </c>
      <c r="D4296" s="25">
        <v>4</v>
      </c>
      <c r="E4296" s="28">
        <v>2000</v>
      </c>
      <c r="F4296" s="27">
        <f t="shared" ca="1" si="128"/>
        <v>8000</v>
      </c>
    </row>
    <row r="4297" spans="1:6" ht="14.25" customHeight="1" x14ac:dyDescent="0.25">
      <c r="A4297" s="25" t="s">
        <v>884</v>
      </c>
      <c r="B4297" s="26" t="str">
        <f ca="1">IFERROR(INDEX(UNSPSCDes,MATCH(INDIRECT(ADDRESS(ROW(),COLUMN()-1,4)),UNSPSCCode,0)),IF(INDIRECT(ADDRESS(ROW(),COLUMN()-1,4))="51171909","Omeprazol",""))</f>
        <v>Omeprazol</v>
      </c>
      <c r="C4297" s="58" t="str">
        <f>IFERROR(VLOOKUP("UD",'Informacion '!P:Q,2,FALSE),"")</f>
        <v>Unidad</v>
      </c>
      <c r="D4297" s="25">
        <v>3</v>
      </c>
      <c r="E4297" s="28">
        <v>383</v>
      </c>
      <c r="F4297" s="27">
        <f t="shared" ca="1" si="128"/>
        <v>1149</v>
      </c>
    </row>
    <row r="4298" spans="1:6" ht="14.25" customHeight="1" x14ac:dyDescent="0.25">
      <c r="A4298" s="25" t="s">
        <v>61</v>
      </c>
      <c r="B4298" s="26" t="str">
        <f ca="1">IFERROR(INDEX(UNSPSCDes,MATCH(INDIRECT(ADDRESS(ROW(),COLUMN()-1,4)),UNSPSCCode,0)),IF(INDIRECT(ADDRESS(ROW(),COLUMN()-1,4))="51241002","Oleato polipéptido de trietanolamina",""))</f>
        <v>Oleato polipéptido de trietanolamina</v>
      </c>
      <c r="C4298" s="58" t="str">
        <f>IFERROR(VLOOKUP("UD",'Informacion '!P:Q,2,FALSE),"")</f>
        <v>Unidad</v>
      </c>
      <c r="D4298" s="25">
        <v>4</v>
      </c>
      <c r="E4298" s="28">
        <v>790</v>
      </c>
      <c r="F4298" s="27">
        <f t="shared" ca="1" si="128"/>
        <v>3160</v>
      </c>
    </row>
    <row r="4299" spans="1:6" ht="14.25" customHeight="1" x14ac:dyDescent="0.25">
      <c r="A4299" s="25" t="s">
        <v>283</v>
      </c>
      <c r="B4299" s="26" t="str">
        <f ca="1">IFERROR(INDEX(UNSPSCDes,MATCH(INDIRECT(ADDRESS(ROW(),COLUMN()-1,4)),UNSPSCCode,0)),IF(INDIRECT(ADDRESS(ROW(),COLUMN()-1,4))="42295407","Máscaras para pacientes de uso quirúrgico",""))</f>
        <v>Máscaras para pacientes de uso quirúrgico</v>
      </c>
      <c r="C4299" s="58" t="str">
        <f>IFERROR(VLOOKUP("UD",'Informacion '!P:Q,2,FALSE),"")</f>
        <v>Unidad</v>
      </c>
      <c r="D4299" s="25">
        <v>2</v>
      </c>
      <c r="E4299" s="28">
        <v>340</v>
      </c>
      <c r="F4299" s="27">
        <f t="shared" ca="1" si="128"/>
        <v>680</v>
      </c>
    </row>
    <row r="4300" spans="1:6" ht="14.25" customHeight="1" x14ac:dyDescent="0.25">
      <c r="A4300" s="25" t="s">
        <v>406</v>
      </c>
      <c r="B4300" s="26" t="str">
        <f ca="1">IFERROR(INDEX(UNSPSCDes,MATCH(INDIRECT(ADDRESS(ROW(),COLUMN()-1,4)),UNSPSCCode,0)),IF(INDIRECT(ADDRESS(ROW(),COLUMN()-1,4))="51142405","Combinación de ácido acetilsalicílico paracetamol",""))</f>
        <v>Combinación de ácido acetilsalicílico paracetamol</v>
      </c>
      <c r="C4300" s="58" t="str">
        <f>IFERROR(VLOOKUP("UD",'Informacion '!P:Q,2,FALSE),"")</f>
        <v>Unidad</v>
      </c>
      <c r="D4300" s="25">
        <v>4</v>
      </c>
      <c r="E4300" s="28">
        <v>2500</v>
      </c>
      <c r="F4300" s="27">
        <f t="shared" ca="1" si="128"/>
        <v>10000</v>
      </c>
    </row>
    <row r="4301" spans="1:6" ht="14.25" customHeight="1" x14ac:dyDescent="0.25">
      <c r="A4301" s="25" t="s">
        <v>15</v>
      </c>
      <c r="B4301" s="26" t="str">
        <f ca="1">IFERROR(INDEX(UNSPSCDes,MATCH(INDIRECT(ADDRESS(ROW(),COLUMN()-1,4)),UNSPSCCode,0)),IF(INDIRECT(ADDRESS(ROW(),COLUMN()-1,4))="51172107","Butilbromuro de hioscina",""))</f>
        <v>Butilbromuro de hioscina</v>
      </c>
      <c r="C4301" s="58" t="str">
        <f>IFERROR(VLOOKUP("UD",'Informacion '!P:Q,2,FALSE),"")</f>
        <v>Unidad</v>
      </c>
      <c r="D4301" s="25">
        <v>2</v>
      </c>
      <c r="E4301" s="28">
        <v>3790</v>
      </c>
      <c r="F4301" s="27">
        <f t="shared" ca="1" si="128"/>
        <v>7580</v>
      </c>
    </row>
    <row r="4302" spans="1:6" ht="14.25" customHeight="1" x14ac:dyDescent="0.25">
      <c r="A4302" s="25" t="s">
        <v>681</v>
      </c>
      <c r="B4302" s="26" t="str">
        <f ca="1">IFERROR(INDEX(UNSPSCDes,MATCH(INDIRECT(ADDRESS(ROW(),COLUMN()-1,4)),UNSPSCCode,0)),IF(INDIRECT(ADDRESS(ROW(),COLUMN()-1,4))="51171504","Antiácidos de bicarbonato de sodio",""))</f>
        <v>Antiácidos de bicarbonato de sodio</v>
      </c>
      <c r="C4302" s="58" t="str">
        <f>IFERROR(VLOOKUP("UD",'Informacion '!P:Q,2,FALSE),"")</f>
        <v>Unidad</v>
      </c>
      <c r="D4302" s="25">
        <v>14</v>
      </c>
      <c r="E4302" s="28">
        <v>210</v>
      </c>
      <c r="F4302" s="27">
        <f t="shared" ca="1" si="128"/>
        <v>2940</v>
      </c>
    </row>
    <row r="4303" spans="1:6" ht="14.25" customHeight="1" x14ac:dyDescent="0.25">
      <c r="A4303" s="25" t="s">
        <v>459</v>
      </c>
      <c r="B4303" s="26" t="str">
        <f ca="1">IFERROR(INDEX(UNSPSCDes,MATCH(INDIRECT(ADDRESS(ROW(),COLUMN()-1,4)),UNSPSCCode,0)),IF(INDIRECT(ADDRESS(ROW(),COLUMN()-1,4))="51101508","Sulfonamidas antibióticas",""))</f>
        <v>Sulfonamidas antibióticas</v>
      </c>
      <c r="C4303" s="58" t="str">
        <f>IFERROR(VLOOKUP("UD",'Informacion '!P:Q,2,FALSE),"")</f>
        <v>Unidad</v>
      </c>
      <c r="D4303" s="25">
        <v>12</v>
      </c>
      <c r="E4303" s="28">
        <v>245</v>
      </c>
      <c r="F4303" s="27">
        <f t="shared" ca="1" si="128"/>
        <v>2940</v>
      </c>
    </row>
    <row r="4304" spans="1:6" ht="14.25" customHeight="1" x14ac:dyDescent="0.25">
      <c r="A4304" s="25" t="s">
        <v>7</v>
      </c>
      <c r="B4304" s="26" t="str">
        <f ca="1">IFERROR(INDEX(UNSPSCDes,MATCH(INDIRECT(ADDRESS(ROW(),COLUMN()-1,4)),UNSPSCCode,0)),IF(INDIRECT(ADDRESS(ROW(),COLUMN()-1,4))="51102208","Pentosano polisulfato sódico",""))</f>
        <v>Pentosano polisulfato sódico</v>
      </c>
      <c r="C4304" s="58" t="str">
        <f>IFERROR(VLOOKUP("UD",'Informacion '!P:Q,2,FALSE),"")</f>
        <v>Unidad</v>
      </c>
      <c r="D4304" s="25">
        <v>5</v>
      </c>
      <c r="E4304" s="28">
        <v>1030</v>
      </c>
      <c r="F4304" s="27">
        <f t="shared" ca="1" si="128"/>
        <v>5150</v>
      </c>
    </row>
    <row r="4305" spans="1:10" ht="14.25" customHeight="1" x14ac:dyDescent="0.25">
      <c r="A4305" s="25" t="s">
        <v>246</v>
      </c>
      <c r="B4305" s="26" t="str">
        <f ca="1">IFERROR(INDEX(UNSPSCDes,MATCH(INDIRECT(ADDRESS(ROW(),COLUMN()-1,4)),UNSPSCCode,0)),IF(INDIRECT(ADDRESS(ROW(),COLUMN()-1,4))="51181708","Prednisolona",""))</f>
        <v>Prednisolona</v>
      </c>
      <c r="C4305" s="58" t="str">
        <f>IFERROR(VLOOKUP("UD",'Informacion '!P:Q,2,FALSE),"")</f>
        <v>Unidad</v>
      </c>
      <c r="D4305" s="25">
        <v>4</v>
      </c>
      <c r="E4305" s="28">
        <v>900</v>
      </c>
      <c r="F4305" s="27">
        <f t="shared" ca="1" si="128"/>
        <v>3600</v>
      </c>
    </row>
    <row r="4306" spans="1:10" ht="14.25" customHeight="1" x14ac:dyDescent="0.25">
      <c r="A4306" s="25" t="s">
        <v>1083</v>
      </c>
      <c r="B4306" s="26" t="str">
        <f ca="1">IFERROR(INDEX(UNSPSCDes,MATCH(INDIRECT(ADDRESS(ROW(),COLUMN()-1,4)),UNSPSCCode,0)),IF(INDIRECT(ADDRESS(ROW(),COLUMN()-1,4))="42132203","Guantes de examen o para procedimientos no quirúrgicos",""))</f>
        <v>Guantes de examen o para procedimientos no quirúrgicos</v>
      </c>
      <c r="C4306" s="58" t="str">
        <f>IFERROR(VLOOKUP("PAQ",'Informacion '!P:Q,2,FALSE),"")</f>
        <v>Paquete</v>
      </c>
      <c r="D4306" s="25">
        <v>8</v>
      </c>
      <c r="E4306" s="28">
        <v>800</v>
      </c>
      <c r="F4306" s="27">
        <f t="shared" ca="1" si="128"/>
        <v>6400</v>
      </c>
    </row>
    <row r="4307" spans="1:10" ht="14.25" customHeight="1" x14ac:dyDescent="0.25">
      <c r="A4307" s="25" t="s">
        <v>435</v>
      </c>
      <c r="B4307" s="26" t="str">
        <f ca="1">IFERROR(INDEX(UNSPSCDes,MATCH(INDIRECT(ADDRESS(ROW(),COLUMN()-1,4)),UNSPSCCode,0)),IF(INDIRECT(ADDRESS(ROW(),COLUMN()-1,4))="42311511","Vendajes de gasa",""))</f>
        <v>Vendajes de gasa</v>
      </c>
      <c r="C4307" s="58" t="str">
        <f>IFERROR(VLOOKUP("UD",'Informacion '!P:Q,2,FALSE),"")</f>
        <v>Unidad</v>
      </c>
      <c r="D4307" s="25">
        <v>20</v>
      </c>
      <c r="E4307" s="28">
        <v>200</v>
      </c>
      <c r="F4307" s="27">
        <f t="shared" ca="1" si="128"/>
        <v>4000</v>
      </c>
    </row>
    <row r="4308" spans="1:10" ht="14.25" customHeight="1" x14ac:dyDescent="0.25">
      <c r="A4308" s="25" t="s">
        <v>61</v>
      </c>
      <c r="B4308" s="26" t="str">
        <f ca="1">IFERROR(INDEX(UNSPSCDes,MATCH(INDIRECT(ADDRESS(ROW(),COLUMN()-1,4)),UNSPSCCode,0)),IF(INDIRECT(ADDRESS(ROW(),COLUMN()-1,4))="51241002","Oleato polipéptido de trietanolamina",""))</f>
        <v>Oleato polipéptido de trietanolamina</v>
      </c>
      <c r="C4308" s="58" t="str">
        <f>IFERROR(VLOOKUP("UD",'Informacion '!P:Q,2,FALSE),"")</f>
        <v>Unidad</v>
      </c>
      <c r="D4308" s="25">
        <v>4</v>
      </c>
      <c r="E4308" s="28">
        <v>600</v>
      </c>
      <c r="F4308" s="27">
        <f t="shared" ca="1" si="128"/>
        <v>2400</v>
      </c>
    </row>
    <row r="4309" spans="1:10" ht="14.25" customHeight="1" x14ac:dyDescent="0.25">
      <c r="A4309" s="25" t="s">
        <v>796</v>
      </c>
      <c r="B4309" s="26" t="str">
        <f ca="1">IFERROR(INDEX(UNSPSCDes,MATCH(INDIRECT(ADDRESS(ROW(),COLUMN()-1,4)),UNSPSCCode,0)),IF(INDIRECT(ADDRESS(ROW(),COLUMN()-1,4))="42181501","Depresores de lengua o cuchillos o baja lenguas",""))</f>
        <v>Depresores de lengua o cuchillos o baja lenguas</v>
      </c>
      <c r="C4309" s="58" t="str">
        <f>IFERROR(VLOOKUP("UD",'Informacion '!P:Q,2,FALSE),"")</f>
        <v>Unidad</v>
      </c>
      <c r="D4309" s="25">
        <v>6</v>
      </c>
      <c r="E4309" s="28">
        <v>100</v>
      </c>
      <c r="F4309" s="27">
        <f t="shared" ca="1" si="128"/>
        <v>600</v>
      </c>
    </row>
    <row r="4310" spans="1:10" ht="14.25" customHeight="1" x14ac:dyDescent="0.25">
      <c r="A4310" s="25" t="s">
        <v>283</v>
      </c>
      <c r="B4310" s="26" t="str">
        <f ca="1">IFERROR(INDEX(UNSPSCDes,MATCH(INDIRECT(ADDRESS(ROW(),COLUMN()-1,4)),UNSPSCCode,0)),IF(INDIRECT(ADDRESS(ROW(),COLUMN()-1,4))="42295407","Máscaras para pacientes de uso quirúrgico",""))</f>
        <v>Máscaras para pacientes de uso quirúrgico</v>
      </c>
      <c r="C4310" s="58" t="str">
        <f>IFERROR(VLOOKUP("UD",'Informacion '!P:Q,2,FALSE),"")</f>
        <v>Unidad</v>
      </c>
      <c r="D4310" s="25">
        <v>300</v>
      </c>
      <c r="E4310" s="28">
        <v>340</v>
      </c>
      <c r="F4310" s="27">
        <f t="shared" ca="1" si="128"/>
        <v>102000</v>
      </c>
    </row>
    <row r="4311" spans="1:10" ht="14.25" customHeight="1" x14ac:dyDescent="0.25">
      <c r="A4311" s="25" t="s">
        <v>1083</v>
      </c>
      <c r="B4311" s="26" t="str">
        <f ca="1">IFERROR(INDEX(UNSPSCDes,MATCH(INDIRECT(ADDRESS(ROW(),COLUMN()-1,4)),UNSPSCCode,0)),IF(INDIRECT(ADDRESS(ROW(),COLUMN()-1,4))="42132203","Guantes de examen o para procedimientos no quirúrgicos",""))</f>
        <v>Guantes de examen o para procedimientos no quirúrgicos</v>
      </c>
      <c r="C4311" s="58" t="str">
        <f>IFERROR(VLOOKUP("CAJ",'Informacion '!P:Q,2,FALSE),"")</f>
        <v>Caja</v>
      </c>
      <c r="D4311" s="25">
        <v>8</v>
      </c>
      <c r="E4311" s="28">
        <v>650</v>
      </c>
      <c r="F4311" s="27">
        <f t="shared" ca="1" si="128"/>
        <v>5200</v>
      </c>
    </row>
    <row r="4312" spans="1:10" ht="14.25" customHeight="1" x14ac:dyDescent="0.25">
      <c r="A4312" s="25" t="s">
        <v>1059</v>
      </c>
      <c r="B4312" s="26" t="str">
        <f ca="1">IFERROR(INDEX(UNSPSCDes,MATCH(INDIRECT(ADDRESS(ROW(),COLUMN()-1,4)),UNSPSCCode,0)),IF(INDIRECT(ADDRESS(ROW(),COLUMN()-1,4))="42131611","Gorros o capuchas para cirujano",""))</f>
        <v>Gorros o capuchas para cirujano</v>
      </c>
      <c r="C4312" s="58" t="str">
        <f>IFERROR(VLOOKUP("CAJ",'Informacion '!P:Q,2,FALSE),"")</f>
        <v>Caja</v>
      </c>
      <c r="D4312" s="25">
        <v>8</v>
      </c>
      <c r="E4312" s="28">
        <v>750</v>
      </c>
      <c r="F4312" s="27">
        <f t="shared" ca="1" si="128"/>
        <v>6000</v>
      </c>
    </row>
    <row r="4313" spans="1:10" ht="14.25" customHeight="1" x14ac:dyDescent="0.25">
      <c r="A4313" s="25" t="s">
        <v>1059</v>
      </c>
      <c r="B4313" s="26" t="str">
        <f ca="1">IFERROR(INDEX(UNSPSCDes,MATCH(INDIRECT(ADDRESS(ROW(),COLUMN()-1,4)),UNSPSCCode,0)),IF(INDIRECT(ADDRESS(ROW(),COLUMN()-1,4))="42131611","Gorros o capuchas para cirujano",""))</f>
        <v>Gorros o capuchas para cirujano</v>
      </c>
      <c r="C4313" s="58" t="str">
        <f>IFERROR(VLOOKUP("CAJ",'Informacion '!P:Q,2,FALSE),"")</f>
        <v>Caja</v>
      </c>
      <c r="D4313" s="25">
        <v>8</v>
      </c>
      <c r="E4313" s="28">
        <v>750</v>
      </c>
      <c r="F4313" s="27">
        <f t="shared" ca="1" si="128"/>
        <v>6000</v>
      </c>
    </row>
    <row r="4314" spans="1:10" ht="14.25" customHeight="1" x14ac:dyDescent="0.25">
      <c r="A4314" s="25" t="s">
        <v>1083</v>
      </c>
      <c r="B4314" s="26" t="str">
        <f ca="1">IFERROR(INDEX(UNSPSCDes,MATCH(INDIRECT(ADDRESS(ROW(),COLUMN()-1,4)),UNSPSCCode,0)),IF(INDIRECT(ADDRESS(ROW(),COLUMN()-1,4))="42132203","Guantes de examen o para procedimientos no quirúrgicos",""))</f>
        <v>Guantes de examen o para procedimientos no quirúrgicos</v>
      </c>
      <c r="C4314" s="58" t="str">
        <f>IFERROR(VLOOKUP("CAJ",'Informacion '!P:Q,2,FALSE),"")</f>
        <v>Caja</v>
      </c>
      <c r="D4314" s="25">
        <v>8</v>
      </c>
      <c r="E4314" s="28">
        <v>650</v>
      </c>
      <c r="F4314" s="27">
        <f t="shared" ca="1" si="128"/>
        <v>5200</v>
      </c>
    </row>
    <row r="4315" spans="1:10" ht="14.25" customHeight="1" x14ac:dyDescent="0.25">
      <c r="E4315" s="30" t="s">
        <v>816</v>
      </c>
      <c r="F4315" s="31">
        <f ca="1">SUM(Table225[MONTO TOTAL ESTIMADO])</f>
        <v>323509</v>
      </c>
      <c r="H4315" s="21" t="str">
        <f>C4265</f>
        <v>Bienes</v>
      </c>
      <c r="I4315" s="21" t="str">
        <f>E4265</f>
        <v>Sí</v>
      </c>
      <c r="J4315" s="21" t="str">
        <f>D4265</f>
        <v>Compras Menores</v>
      </c>
    </row>
    <row r="4317" spans="1:10" ht="33.950000000000003" customHeight="1" x14ac:dyDescent="0.25">
      <c r="A4317" s="22" t="s">
        <v>1051</v>
      </c>
      <c r="B4317" s="22" t="s">
        <v>11</v>
      </c>
      <c r="C4317" s="22" t="s">
        <v>751</v>
      </c>
      <c r="D4317" s="22" t="s">
        <v>930</v>
      </c>
      <c r="E4317" s="22" t="s">
        <v>699</v>
      </c>
      <c r="F4317" s="22" t="s">
        <v>710</v>
      </c>
    </row>
    <row r="4318" spans="1:10" ht="14.25" customHeight="1" x14ac:dyDescent="0.25">
      <c r="A4318" s="23" t="s">
        <v>1064</v>
      </c>
      <c r="B4318" s="23" t="s">
        <v>1064</v>
      </c>
      <c r="C4318" s="23" t="s">
        <v>1155</v>
      </c>
      <c r="D4318" s="23" t="s">
        <v>1128</v>
      </c>
      <c r="E4318" s="23" t="s">
        <v>1156</v>
      </c>
      <c r="F4318" s="23" t="s">
        <v>436</v>
      </c>
    </row>
    <row r="4319" spans="1:10" ht="14.25" customHeight="1" x14ac:dyDescent="0.25">
      <c r="A4319" s="68" t="s">
        <v>965</v>
      </c>
      <c r="B4319" s="24" t="s">
        <v>543</v>
      </c>
      <c r="C4319" s="54">
        <v>46317</v>
      </c>
      <c r="D4319" s="68" t="s">
        <v>598</v>
      </c>
      <c r="E4319" s="56" t="s">
        <v>858</v>
      </c>
      <c r="F4319" s="57" t="s">
        <v>184</v>
      </c>
    </row>
    <row r="4320" spans="1:10" ht="14.25" customHeight="1" x14ac:dyDescent="0.25">
      <c r="A4320" s="69"/>
      <c r="B4320" s="24" t="s">
        <v>112</v>
      </c>
      <c r="C4320" s="55">
        <f>IF(C4319="","",IF(AND(MONTH(C4319)&gt;=1,MONTH(C4319)&lt;=3),1,IF(AND(MONTH(C4319)&gt;=4,MONTH(C4319)&lt;=6),2,IF(AND(MONTH(C4319)&gt;=7,MONTH(C4319)&lt;=9),3,4))))</f>
        <v>4</v>
      </c>
      <c r="D4320" s="69"/>
      <c r="E4320" s="56" t="s">
        <v>143</v>
      </c>
      <c r="F4320" s="57"/>
    </row>
    <row r="4321" spans="1:6" ht="14.25" customHeight="1" x14ac:dyDescent="0.25">
      <c r="A4321" s="69"/>
      <c r="B4321" s="24" t="s">
        <v>844</v>
      </c>
      <c r="C4321" s="54">
        <v>46327</v>
      </c>
      <c r="D4321" s="69"/>
      <c r="E4321" s="56" t="s">
        <v>183</v>
      </c>
      <c r="F4321" s="57"/>
    </row>
    <row r="4322" spans="1:6" ht="14.25" customHeight="1" x14ac:dyDescent="0.25">
      <c r="A4322" s="69"/>
      <c r="B4322" s="24" t="s">
        <v>112</v>
      </c>
      <c r="C4322" s="55">
        <f>IF(C4321="","",IF(AND(MONTH(C4321)&gt;=1,MONTH(C4321)&lt;=3),1,IF(AND(MONTH(C4321)&gt;=4,MONTH(C4321)&lt;=6),2,IF(AND(MONTH(C4321)&gt;=7,MONTH(C4321)&lt;=9),3,4))))</f>
        <v>4</v>
      </c>
      <c r="D4322" s="69"/>
      <c r="E4322" s="56" t="s">
        <v>865</v>
      </c>
      <c r="F4322" s="57"/>
    </row>
    <row r="4324" spans="1:6" ht="14.25" customHeight="1" x14ac:dyDescent="0.25">
      <c r="A4324" s="29" t="s">
        <v>1017</v>
      </c>
      <c r="B4324" s="29" t="s">
        <v>1042</v>
      </c>
      <c r="C4324" s="29" t="s">
        <v>1011</v>
      </c>
      <c r="D4324" s="29" t="s">
        <v>985</v>
      </c>
      <c r="E4324" s="29" t="s">
        <v>449</v>
      </c>
      <c r="F4324" s="29" t="s">
        <v>989</v>
      </c>
    </row>
    <row r="4325" spans="1:6" ht="14.25" customHeight="1" x14ac:dyDescent="0.25">
      <c r="A4325" s="25" t="s">
        <v>1083</v>
      </c>
      <c r="B4325" s="26" t="str">
        <f ca="1">IFERROR(INDEX(UNSPSCDes,MATCH(INDIRECT(ADDRESS(ROW(),COLUMN()-1,4)),UNSPSCCode,0)),IF(INDIRECT(ADDRESS(ROW(),COLUMN()-1,4))="42132203","Guantes de examen o para procedimientos no quirúrgicos",""))</f>
        <v>Guantes de examen o para procedimientos no quirúrgicos</v>
      </c>
      <c r="C4325" s="58" t="str">
        <f>IFERROR(VLOOKUP("CAJ",'Informacion '!P:Q,2,FALSE),"")</f>
        <v>Caja</v>
      </c>
      <c r="D4325" s="25">
        <v>8</v>
      </c>
      <c r="E4325" s="28">
        <v>650</v>
      </c>
      <c r="F4325" s="27">
        <f t="shared" ref="F4325:F4368" ca="1" si="129">INDIRECT(ADDRESS(ROW(),COLUMN()-2,4))*INDIRECT(ADDRESS(ROW(),COLUMN()-1,4))</f>
        <v>5200</v>
      </c>
    </row>
    <row r="4326" spans="1:6" ht="14.25" customHeight="1" x14ac:dyDescent="0.25">
      <c r="A4326" s="25" t="s">
        <v>193</v>
      </c>
      <c r="B4326" s="26" t="str">
        <f ca="1">IFERROR(INDEX(UNSPSCDes,MATCH(INDIRECT(ADDRESS(ROW(),COLUMN()-1,4)),UNSPSCCode,0)),IF(INDIRECT(ADDRESS(ROW(),COLUMN()-1,4))="51141519","Mefenitoina",""))</f>
        <v>Mefenitoina</v>
      </c>
      <c r="C4326" s="58" t="str">
        <f>IFERROR(VLOOKUP("UD",'Informacion '!P:Q,2,FALSE),"")</f>
        <v>Unidad</v>
      </c>
      <c r="D4326" s="25">
        <v>6</v>
      </c>
      <c r="E4326" s="28">
        <v>520</v>
      </c>
      <c r="F4326" s="27">
        <f t="shared" ca="1" si="129"/>
        <v>3120</v>
      </c>
    </row>
    <row r="4327" spans="1:6" ht="14.25" customHeight="1" x14ac:dyDescent="0.25">
      <c r="A4327" s="25" t="s">
        <v>331</v>
      </c>
      <c r="B4327" s="26" t="str">
        <f ca="1">IFERROR(INDEX(UNSPSCDes,MATCH(INDIRECT(ADDRESS(ROW(),COLUMN()-1,4)),UNSPSCCode,0)),IF(INDIRECT(ADDRESS(ROW(),COLUMN()-1,4))="51142001","Acetaminofén",""))</f>
        <v>Acetaminofén</v>
      </c>
      <c r="C4327" s="58" t="str">
        <f>IFERROR(VLOOKUP("UD",'Informacion '!P:Q,2,FALSE),"")</f>
        <v>Unidad</v>
      </c>
      <c r="D4327" s="25">
        <v>20</v>
      </c>
      <c r="E4327" s="28">
        <v>1532</v>
      </c>
      <c r="F4327" s="27">
        <f t="shared" ca="1" si="129"/>
        <v>30640</v>
      </c>
    </row>
    <row r="4328" spans="1:6" ht="14.25" customHeight="1" x14ac:dyDescent="0.25">
      <c r="A4328" s="25" t="s">
        <v>331</v>
      </c>
      <c r="B4328" s="26" t="str">
        <f ca="1">IFERROR(INDEX(UNSPSCDes,MATCH(INDIRECT(ADDRESS(ROW(),COLUMN()-1,4)),UNSPSCCode,0)),IF(INDIRECT(ADDRESS(ROW(),COLUMN()-1,4))="51142001","Acetaminofén",""))</f>
        <v>Acetaminofén</v>
      </c>
      <c r="C4328" s="58" t="str">
        <f>IFERROR(VLOOKUP("UD",'Informacion '!P:Q,2,FALSE),"")</f>
        <v>Unidad</v>
      </c>
      <c r="D4328" s="25">
        <v>6</v>
      </c>
      <c r="E4328" s="28">
        <v>1785</v>
      </c>
      <c r="F4328" s="27">
        <f t="shared" ca="1" si="129"/>
        <v>10710</v>
      </c>
    </row>
    <row r="4329" spans="1:6" ht="14.25" customHeight="1" x14ac:dyDescent="0.25">
      <c r="A4329" s="25" t="s">
        <v>190</v>
      </c>
      <c r="B4329" s="26" t="str">
        <f ca="1">IFERROR(INDEX(UNSPSCDes,MATCH(INDIRECT(ADDRESS(ROW(),COLUMN()-1,4)),UNSPSCCode,0)),IF(INDIRECT(ADDRESS(ROW(),COLUMN()-1,4))="51142414","Sumatriptán",""))</f>
        <v>Sumatriptán</v>
      </c>
      <c r="C4329" s="58" t="str">
        <f>IFERROR(VLOOKUP("UD",'Informacion '!P:Q,2,FALSE),"")</f>
        <v>Unidad</v>
      </c>
      <c r="D4329" s="25">
        <v>30</v>
      </c>
      <c r="E4329" s="28">
        <v>950</v>
      </c>
      <c r="F4329" s="27">
        <f t="shared" ca="1" si="129"/>
        <v>28500</v>
      </c>
    </row>
    <row r="4330" spans="1:6" ht="14.25" customHeight="1" x14ac:dyDescent="0.25">
      <c r="A4330" s="25" t="s">
        <v>861</v>
      </c>
      <c r="B4330" s="26" t="str">
        <f ca="1">IFERROR(INDEX(UNSPSCDes,MATCH(INDIRECT(ADDRESS(ROW(),COLUMN()-1,4)),UNSPSCCode,0)),IF(INDIRECT(ADDRESS(ROW(),COLUMN()-1,4))="51102709","Peróxido de hidrógeno antiséptico",""))</f>
        <v>Peróxido de hidrógeno antiséptico</v>
      </c>
      <c r="C4330" s="58" t="str">
        <f>IFERROR(VLOOKUP("UD",'Informacion '!P:Q,2,FALSE),"")</f>
        <v>Unidad</v>
      </c>
      <c r="D4330" s="25">
        <v>10</v>
      </c>
      <c r="E4330" s="28">
        <v>230</v>
      </c>
      <c r="F4330" s="27">
        <f t="shared" ca="1" si="129"/>
        <v>2300</v>
      </c>
    </row>
    <row r="4331" spans="1:6" ht="14.25" customHeight="1" x14ac:dyDescent="0.25">
      <c r="A4331" s="25" t="s">
        <v>1105</v>
      </c>
      <c r="B4331" s="26" t="str">
        <f ca="1">IFERROR(INDEX(UNSPSCDes,MATCH(INDIRECT(ADDRESS(ROW(),COLUMN()-1,4)),UNSPSCCode,0)),IF(INDIRECT(ADDRESS(ROW(),COLUMN()-1,4))="42141501","Bolas o fibra de algodón",""))</f>
        <v>Bolas o fibra de algodón</v>
      </c>
      <c r="C4331" s="58" t="str">
        <f>IFERROR(VLOOKUP("UD",'Informacion '!P:Q,2,FALSE),"")</f>
        <v>Unidad</v>
      </c>
      <c r="D4331" s="25">
        <v>2</v>
      </c>
      <c r="E4331" s="28">
        <v>210</v>
      </c>
      <c r="F4331" s="27">
        <f t="shared" ca="1" si="129"/>
        <v>420</v>
      </c>
    </row>
    <row r="4332" spans="1:6" ht="14.25" customHeight="1" x14ac:dyDescent="0.25">
      <c r="A4332" s="25" t="s">
        <v>19</v>
      </c>
      <c r="B4332" s="26" t="str">
        <f ca="1">IFERROR(INDEX(UNSPSCDes,MATCH(INDIRECT(ADDRESS(ROW(),COLUMN()-1,4)),UNSPSCCode,0)),IF(INDIRECT(ADDRESS(ROW(),COLUMN()-1,4))="51161801","Benzonatato",""))</f>
        <v>Benzonatato</v>
      </c>
      <c r="C4332" s="58" t="str">
        <f>IFERROR(VLOOKUP("UD",'Informacion '!P:Q,2,FALSE),"")</f>
        <v>Unidad</v>
      </c>
      <c r="D4332" s="25">
        <v>30</v>
      </c>
      <c r="E4332" s="28">
        <v>58</v>
      </c>
      <c r="F4332" s="27">
        <f t="shared" ca="1" si="129"/>
        <v>1740</v>
      </c>
    </row>
    <row r="4333" spans="1:6" ht="14.25" customHeight="1" x14ac:dyDescent="0.25">
      <c r="A4333" s="25" t="s">
        <v>888</v>
      </c>
      <c r="B4333" s="26" t="str">
        <f ca="1">IFERROR(INDEX(UNSPSCDes,MATCH(INDIRECT(ADDRESS(ROW(),COLUMN()-1,4)),UNSPSCCode,0)),IF(INDIRECT(ADDRESS(ROW(),COLUMN()-1,4))="51142904","Lidocaína",""))</f>
        <v>Lidocaína</v>
      </c>
      <c r="C4333" s="58" t="str">
        <f>IFERROR(VLOOKUP("UD",'Informacion '!P:Q,2,FALSE),"")</f>
        <v>Unidad</v>
      </c>
      <c r="D4333" s="25">
        <v>50</v>
      </c>
      <c r="E4333" s="28">
        <v>25</v>
      </c>
      <c r="F4333" s="27">
        <f t="shared" ca="1" si="129"/>
        <v>1250</v>
      </c>
    </row>
    <row r="4334" spans="1:6" ht="14.25" customHeight="1" x14ac:dyDescent="0.25">
      <c r="A4334" s="25" t="s">
        <v>19</v>
      </c>
      <c r="B4334" s="26" t="str">
        <f ca="1">IFERROR(INDEX(UNSPSCDes,MATCH(INDIRECT(ADDRESS(ROW(),COLUMN()-1,4)),UNSPSCCode,0)),IF(INDIRECT(ADDRESS(ROW(),COLUMN()-1,4))="51161801","Benzonatato",""))</f>
        <v>Benzonatato</v>
      </c>
      <c r="C4334" s="58" t="str">
        <f>IFERROR(VLOOKUP("UD",'Informacion '!P:Q,2,FALSE),"")</f>
        <v>Unidad</v>
      </c>
      <c r="D4334" s="25">
        <v>4</v>
      </c>
      <c r="E4334" s="28">
        <v>550</v>
      </c>
      <c r="F4334" s="27">
        <f t="shared" ca="1" si="129"/>
        <v>2200</v>
      </c>
    </row>
    <row r="4335" spans="1:6" ht="14.25" customHeight="1" x14ac:dyDescent="0.25">
      <c r="A4335" s="25" t="s">
        <v>283</v>
      </c>
      <c r="B4335" s="26" t="str">
        <f ca="1">IFERROR(INDEX(UNSPSCDes,MATCH(INDIRECT(ADDRESS(ROW(),COLUMN()-1,4)),UNSPSCCode,0)),IF(INDIRECT(ADDRESS(ROW(),COLUMN()-1,4))="42295407","Máscaras para pacientes de uso quirúrgico",""))</f>
        <v>Máscaras para pacientes de uso quirúrgico</v>
      </c>
      <c r="C4335" s="58" t="str">
        <f>IFERROR(VLOOKUP("CAJ",'Informacion '!P:Q,2,FALSE),"")</f>
        <v>Caja</v>
      </c>
      <c r="D4335" s="25">
        <v>25</v>
      </c>
      <c r="E4335" s="28">
        <v>300</v>
      </c>
      <c r="F4335" s="27">
        <f t="shared" ca="1" si="129"/>
        <v>7500</v>
      </c>
    </row>
    <row r="4336" spans="1:6" ht="14.25" customHeight="1" x14ac:dyDescent="0.25">
      <c r="A4336" s="25" t="s">
        <v>1030</v>
      </c>
      <c r="B4336" s="26" t="str">
        <f ca="1">IFERROR(INDEX(UNSPSCDes,MATCH(INDIRECT(ADDRESS(ROW(),COLUMN()-1,4)),UNSPSCCode,0)),IF(INDIRECT(ADDRESS(ROW(),COLUMN()-1,4))="51161616","Betahistina",""))</f>
        <v>Betahistina</v>
      </c>
      <c r="C4336" s="58" t="str">
        <f>IFERROR(VLOOKUP("UD",'Informacion '!P:Q,2,FALSE),"")</f>
        <v>Unidad</v>
      </c>
      <c r="D4336" s="25">
        <v>2</v>
      </c>
      <c r="E4336" s="28">
        <v>2465</v>
      </c>
      <c r="F4336" s="27">
        <f t="shared" ca="1" si="129"/>
        <v>4930</v>
      </c>
    </row>
    <row r="4337" spans="1:6" ht="14.25" customHeight="1" x14ac:dyDescent="0.25">
      <c r="A4337" s="25" t="s">
        <v>793</v>
      </c>
      <c r="B4337" s="26" t="str">
        <f ca="1">IFERROR(INDEX(UNSPSCDes,MATCH(INDIRECT(ADDRESS(ROW(),COLUMN()-1,4)),UNSPSCCode,0)),IF(INDIRECT(ADDRESS(ROW(),COLUMN()-1,4))="51161705","Bromuro de ipratropio",""))</f>
        <v>Bromuro de ipratropio</v>
      </c>
      <c r="C4337" s="58" t="str">
        <f>IFERROR(VLOOKUP("UD",'Informacion '!P:Q,2,FALSE),"")</f>
        <v>Unidad</v>
      </c>
      <c r="D4337" s="25">
        <v>2</v>
      </c>
      <c r="E4337" s="28">
        <v>1815</v>
      </c>
      <c r="F4337" s="27">
        <f t="shared" ca="1" si="129"/>
        <v>3630</v>
      </c>
    </row>
    <row r="4338" spans="1:6" ht="14.25" customHeight="1" x14ac:dyDescent="0.25">
      <c r="A4338" s="25" t="s">
        <v>1206</v>
      </c>
      <c r="B4338" s="26" t="str">
        <f ca="1">IFERROR(INDEX(UNSPSCDes,MATCH(INDIRECT(ADDRESS(ROW(),COLUMN()-1,4)),UNSPSCCode,0)),IF(INDIRECT(ADDRESS(ROW(),COLUMN()-1,4))="51142106","Ibuprofeno",""))</f>
        <v>Ibuprofeno</v>
      </c>
      <c r="C4338" s="58" t="str">
        <f>IFERROR(VLOOKUP("UD",'Informacion '!P:Q,2,FALSE),"")</f>
        <v>Unidad</v>
      </c>
      <c r="D4338" s="25">
        <v>8</v>
      </c>
      <c r="E4338" s="28">
        <v>2400</v>
      </c>
      <c r="F4338" s="27">
        <f t="shared" ca="1" si="129"/>
        <v>19200</v>
      </c>
    </row>
    <row r="4339" spans="1:6" ht="14.25" customHeight="1" x14ac:dyDescent="0.25">
      <c r="A4339" s="25" t="s">
        <v>154</v>
      </c>
      <c r="B4339" s="26" t="str">
        <f ca="1">IFERROR(INDEX(UNSPSCDes,MATCH(INDIRECT(ADDRESS(ROW(),COLUMN()-1,4)),UNSPSCCode,0)),IF(INDIRECT(ADDRESS(ROW(),COLUMN()-1,4))="51121703","Captopril",""))</f>
        <v>Captopril</v>
      </c>
      <c r="C4339" s="58" t="str">
        <f>IFERROR(VLOOKUP("UD",'Informacion '!P:Q,2,FALSE),"")</f>
        <v>Unidad</v>
      </c>
      <c r="D4339" s="25">
        <v>2</v>
      </c>
      <c r="E4339" s="28">
        <v>670</v>
      </c>
      <c r="F4339" s="27">
        <f t="shared" ca="1" si="129"/>
        <v>1340</v>
      </c>
    </row>
    <row r="4340" spans="1:6" ht="14.25" customHeight="1" x14ac:dyDescent="0.25">
      <c r="A4340" s="25" t="s">
        <v>387</v>
      </c>
      <c r="B4340" s="26" t="str">
        <f ca="1">IFERROR(INDEX(UNSPSCDes,MATCH(INDIRECT(ADDRESS(ROW(),COLUMN()-1,4)),UNSPSCCode,0)),IF(INDIRECT(ADDRESS(ROW(),COLUMN()-1,4))="51161615","Cetirizina",""))</f>
        <v>Cetirizina</v>
      </c>
      <c r="C4340" s="58" t="str">
        <f>IFERROR(VLOOKUP("UD",'Informacion '!P:Q,2,FALSE),"")</f>
        <v>Unidad</v>
      </c>
      <c r="D4340" s="25">
        <v>10</v>
      </c>
      <c r="E4340" s="28">
        <v>190</v>
      </c>
      <c r="F4340" s="27">
        <f t="shared" ca="1" si="129"/>
        <v>1900</v>
      </c>
    </row>
    <row r="4341" spans="1:6" ht="14.25" customHeight="1" x14ac:dyDescent="0.25">
      <c r="A4341" s="25" t="s">
        <v>551</v>
      </c>
      <c r="B4341" s="26" t="str">
        <f ca="1">IFERROR(INDEX(UNSPSCDes,MATCH(INDIRECT(ADDRESS(ROW(),COLUMN()-1,4)),UNSPSCCode,0)),IF(INDIRECT(ADDRESS(ROW(),COLUMN()-1,4))="42312003","Tiras de cierre para la piel o para heridas",""))</f>
        <v>Tiras de cierre para la piel o para heridas</v>
      </c>
      <c r="C4341" s="58" t="str">
        <f>IFERROR(VLOOKUP("UD",'Informacion '!P:Q,2,FALSE),"")</f>
        <v>Unidad</v>
      </c>
      <c r="D4341" s="25">
        <v>20</v>
      </c>
      <c r="E4341" s="28">
        <v>80</v>
      </c>
      <c r="F4341" s="27">
        <f t="shared" ca="1" si="129"/>
        <v>1600</v>
      </c>
    </row>
    <row r="4342" spans="1:6" ht="14.25" customHeight="1" x14ac:dyDescent="0.25">
      <c r="A4342" s="25" t="s">
        <v>459</v>
      </c>
      <c r="B4342" s="26" t="str">
        <f ca="1">IFERROR(INDEX(UNSPSCDes,MATCH(INDIRECT(ADDRESS(ROW(),COLUMN()-1,4)),UNSPSCCode,0)),IF(INDIRECT(ADDRESS(ROW(),COLUMN()-1,4))="51101508","Sulfonamidas antibióticas",""))</f>
        <v>Sulfonamidas antibióticas</v>
      </c>
      <c r="C4342" s="58" t="str">
        <f>IFERROR(VLOOKUP("UD",'Informacion '!P:Q,2,FALSE),"")</f>
        <v>Unidad</v>
      </c>
      <c r="D4342" s="25">
        <v>14</v>
      </c>
      <c r="E4342" s="28">
        <v>345</v>
      </c>
      <c r="F4342" s="27">
        <f t="shared" ca="1" si="129"/>
        <v>4830</v>
      </c>
    </row>
    <row r="4343" spans="1:6" ht="14.25" customHeight="1" x14ac:dyDescent="0.25">
      <c r="A4343" s="25" t="s">
        <v>187</v>
      </c>
      <c r="B4343" s="26" t="str">
        <f ca="1">IFERROR(INDEX(UNSPSCDes,MATCH(INDIRECT(ADDRESS(ROW(),COLUMN()-1,4)),UNSPSCCode,0)),IF(INDIRECT(ADDRESS(ROW(),COLUMN()-1,4))="51191906","Solución de rehidratación oral",""))</f>
        <v>Solución de rehidratación oral</v>
      </c>
      <c r="C4343" s="58" t="str">
        <f>IFERROR(VLOOKUP("UD",'Informacion '!P:Q,2,FALSE),"")</f>
        <v>Unidad</v>
      </c>
      <c r="D4343" s="25">
        <v>100</v>
      </c>
      <c r="E4343" s="28">
        <v>50</v>
      </c>
      <c r="F4343" s="27">
        <f t="shared" ca="1" si="129"/>
        <v>5000</v>
      </c>
    </row>
    <row r="4344" spans="1:6" ht="14.25" customHeight="1" x14ac:dyDescent="0.25">
      <c r="A4344" s="25" t="s">
        <v>1083</v>
      </c>
      <c r="B4344" s="26" t="str">
        <f ca="1">IFERROR(INDEX(UNSPSCDes,MATCH(INDIRECT(ADDRESS(ROW(),COLUMN()-1,4)),UNSPSCCode,0)),IF(INDIRECT(ADDRESS(ROW(),COLUMN()-1,4))="42132203","Guantes de examen o para procedimientos no quirúrgicos",""))</f>
        <v>Guantes de examen o para procedimientos no quirúrgicos</v>
      </c>
      <c r="C4344" s="58" t="str">
        <f>IFERROR(VLOOKUP("UD",'Informacion '!P:Q,2,FALSE),"")</f>
        <v>Unidad</v>
      </c>
      <c r="D4344" s="25">
        <v>6</v>
      </c>
      <c r="E4344" s="28">
        <v>265</v>
      </c>
      <c r="F4344" s="27">
        <f t="shared" ca="1" si="129"/>
        <v>1590</v>
      </c>
    </row>
    <row r="4345" spans="1:6" ht="14.25" customHeight="1" x14ac:dyDescent="0.25">
      <c r="A4345" s="25" t="s">
        <v>461</v>
      </c>
      <c r="B4345" s="26" t="str">
        <f ca="1">IFERROR(INDEX(UNSPSCDes,MATCH(INDIRECT(ADDRESS(ROW(),COLUMN()-1,4)),UNSPSCCode,0)),IF(INDIRECT(ADDRESS(ROW(),COLUMN()-1,4))="51142121","Diclofenaco",""))</f>
        <v>Diclofenaco</v>
      </c>
      <c r="C4345" s="58" t="str">
        <f>IFERROR(VLOOKUP("UD",'Informacion '!P:Q,2,FALSE),"")</f>
        <v>Unidad</v>
      </c>
      <c r="D4345" s="25">
        <v>4</v>
      </c>
      <c r="E4345" s="28">
        <v>240</v>
      </c>
      <c r="F4345" s="27">
        <f t="shared" ca="1" si="129"/>
        <v>960</v>
      </c>
    </row>
    <row r="4346" spans="1:6" ht="14.25" customHeight="1" x14ac:dyDescent="0.25">
      <c r="A4346" s="25" t="s">
        <v>461</v>
      </c>
      <c r="B4346" s="26" t="str">
        <f ca="1">IFERROR(INDEX(UNSPSCDes,MATCH(INDIRECT(ADDRESS(ROW(),COLUMN()-1,4)),UNSPSCCode,0)),IF(INDIRECT(ADDRESS(ROW(),COLUMN()-1,4))="51142121","Diclofenaco",""))</f>
        <v>Diclofenaco</v>
      </c>
      <c r="C4346" s="58" t="str">
        <f>IFERROR(VLOOKUP("UD",'Informacion '!P:Q,2,FALSE),"")</f>
        <v>Unidad</v>
      </c>
      <c r="D4346" s="25">
        <v>20</v>
      </c>
      <c r="E4346" s="28">
        <v>80</v>
      </c>
      <c r="F4346" s="27">
        <f t="shared" ca="1" si="129"/>
        <v>1600</v>
      </c>
    </row>
    <row r="4347" spans="1:6" ht="14.25" customHeight="1" x14ac:dyDescent="0.25">
      <c r="A4347" s="25" t="s">
        <v>203</v>
      </c>
      <c r="B4347" s="26" t="str">
        <f ca="1">IFERROR(INDEX(UNSPSCDes,MATCH(INDIRECT(ADDRESS(ROW(),COLUMN()-1,4)),UNSPSCCode,0)),IF(INDIRECT(ADDRESS(ROW(),COLUMN()-1,4))="51171820","Dimenhidrinato",""))</f>
        <v>Dimenhidrinato</v>
      </c>
      <c r="C4347" s="58" t="str">
        <f>IFERROR(VLOOKUP("UD",'Informacion '!P:Q,2,FALSE),"")</f>
        <v>Unidad</v>
      </c>
      <c r="D4347" s="25">
        <v>2</v>
      </c>
      <c r="E4347" s="28">
        <v>450</v>
      </c>
      <c r="F4347" s="27">
        <f t="shared" ca="1" si="129"/>
        <v>900</v>
      </c>
    </row>
    <row r="4348" spans="1:6" ht="14.25" customHeight="1" x14ac:dyDescent="0.25">
      <c r="A4348" s="25" t="s">
        <v>153</v>
      </c>
      <c r="B4348" s="26" t="str">
        <f ca="1">IFERROR(INDEX(UNSPSCDes,MATCH(INDIRECT(ADDRESS(ROW(),COLUMN()-1,4)),UNSPSCCode,0)),IF(INDIRECT(ADDRESS(ROW(),COLUMN()-1,4))="42311512","Esponjas de gasa",""))</f>
        <v>Esponjas de gasa</v>
      </c>
      <c r="C4348" s="58" t="str">
        <f>IFERROR(VLOOKUP("UD",'Informacion '!P:Q,2,FALSE),"")</f>
        <v>Unidad</v>
      </c>
      <c r="D4348" s="25">
        <v>1</v>
      </c>
      <c r="E4348" s="28">
        <v>1950</v>
      </c>
      <c r="F4348" s="27">
        <f t="shared" ca="1" si="129"/>
        <v>1950</v>
      </c>
    </row>
    <row r="4349" spans="1:6" ht="14.25" customHeight="1" x14ac:dyDescent="0.25">
      <c r="A4349" s="25" t="s">
        <v>1002</v>
      </c>
      <c r="B4349" s="26" t="str">
        <f ca="1">IFERROR(INDEX(UNSPSCDes,MATCH(INDIRECT(ADDRESS(ROW(),COLUMN()-1,4)),UNSPSCCode,0)),IF(INDIRECT(ADDRESS(ROW(),COLUMN()-1,4))="51181725","Butirato de hidrocortisona",""))</f>
        <v>Butirato de hidrocortisona</v>
      </c>
      <c r="C4349" s="58" t="str">
        <f>IFERROR(VLOOKUP("UD",'Informacion '!P:Q,2,FALSE),"")</f>
        <v>Unidad</v>
      </c>
      <c r="D4349" s="25">
        <v>4</v>
      </c>
      <c r="E4349" s="28">
        <v>675</v>
      </c>
      <c r="F4349" s="27">
        <f t="shared" ca="1" si="129"/>
        <v>2700</v>
      </c>
    </row>
    <row r="4350" spans="1:6" ht="14.25" customHeight="1" x14ac:dyDescent="0.25">
      <c r="A4350" s="25" t="s">
        <v>1206</v>
      </c>
      <c r="B4350" s="26" t="str">
        <f ca="1">IFERROR(INDEX(UNSPSCDes,MATCH(INDIRECT(ADDRESS(ROW(),COLUMN()-1,4)),UNSPSCCode,0)),IF(INDIRECT(ADDRESS(ROW(),COLUMN()-1,4))="51142106","Ibuprofeno",""))</f>
        <v>Ibuprofeno</v>
      </c>
      <c r="C4350" s="58" t="str">
        <f>IFERROR(VLOOKUP("UD",'Informacion '!P:Q,2,FALSE),"")</f>
        <v>Unidad</v>
      </c>
      <c r="D4350" s="25">
        <v>4</v>
      </c>
      <c r="E4350" s="28">
        <v>2000</v>
      </c>
      <c r="F4350" s="27">
        <f t="shared" ca="1" si="129"/>
        <v>8000</v>
      </c>
    </row>
    <row r="4351" spans="1:6" ht="14.25" customHeight="1" x14ac:dyDescent="0.25">
      <c r="A4351" s="25" t="s">
        <v>884</v>
      </c>
      <c r="B4351" s="26" t="str">
        <f ca="1">IFERROR(INDEX(UNSPSCDes,MATCH(INDIRECT(ADDRESS(ROW(),COLUMN()-1,4)),UNSPSCCode,0)),IF(INDIRECT(ADDRESS(ROW(),COLUMN()-1,4))="51171909","Omeprazol",""))</f>
        <v>Omeprazol</v>
      </c>
      <c r="C4351" s="58" t="str">
        <f>IFERROR(VLOOKUP("UD",'Informacion '!P:Q,2,FALSE),"")</f>
        <v>Unidad</v>
      </c>
      <c r="D4351" s="25">
        <v>3</v>
      </c>
      <c r="E4351" s="28">
        <v>383</v>
      </c>
      <c r="F4351" s="27">
        <f t="shared" ca="1" si="129"/>
        <v>1149</v>
      </c>
    </row>
    <row r="4352" spans="1:6" ht="14.25" customHeight="1" x14ac:dyDescent="0.25">
      <c r="A4352" s="25" t="s">
        <v>61</v>
      </c>
      <c r="B4352" s="26" t="str">
        <f ca="1">IFERROR(INDEX(UNSPSCDes,MATCH(INDIRECT(ADDRESS(ROW(),COLUMN()-1,4)),UNSPSCCode,0)),IF(INDIRECT(ADDRESS(ROW(),COLUMN()-1,4))="51241002","Oleato polipéptido de trietanolamina",""))</f>
        <v>Oleato polipéptido de trietanolamina</v>
      </c>
      <c r="C4352" s="58" t="str">
        <f>IFERROR(VLOOKUP("UD",'Informacion '!P:Q,2,FALSE),"")</f>
        <v>Unidad</v>
      </c>
      <c r="D4352" s="25">
        <v>4</v>
      </c>
      <c r="E4352" s="28">
        <v>790</v>
      </c>
      <c r="F4352" s="27">
        <f t="shared" ca="1" si="129"/>
        <v>3160</v>
      </c>
    </row>
    <row r="4353" spans="1:6" ht="14.25" customHeight="1" x14ac:dyDescent="0.25">
      <c r="A4353" s="25" t="s">
        <v>283</v>
      </c>
      <c r="B4353" s="26" t="str">
        <f ca="1">IFERROR(INDEX(UNSPSCDes,MATCH(INDIRECT(ADDRESS(ROW(),COLUMN()-1,4)),UNSPSCCode,0)),IF(INDIRECT(ADDRESS(ROW(),COLUMN()-1,4))="42295407","Máscaras para pacientes de uso quirúrgico",""))</f>
        <v>Máscaras para pacientes de uso quirúrgico</v>
      </c>
      <c r="C4353" s="58" t="str">
        <f>IFERROR(VLOOKUP("UD",'Informacion '!P:Q,2,FALSE),"")</f>
        <v>Unidad</v>
      </c>
      <c r="D4353" s="25">
        <v>2</v>
      </c>
      <c r="E4353" s="28">
        <v>340</v>
      </c>
      <c r="F4353" s="27">
        <f t="shared" ca="1" si="129"/>
        <v>680</v>
      </c>
    </row>
    <row r="4354" spans="1:6" ht="14.25" customHeight="1" x14ac:dyDescent="0.25">
      <c r="A4354" s="25" t="s">
        <v>406</v>
      </c>
      <c r="B4354" s="26" t="str">
        <f ca="1">IFERROR(INDEX(UNSPSCDes,MATCH(INDIRECT(ADDRESS(ROW(),COLUMN()-1,4)),UNSPSCCode,0)),IF(INDIRECT(ADDRESS(ROW(),COLUMN()-1,4))="51142405","Combinación de ácido acetilsalicílico paracetamol",""))</f>
        <v>Combinación de ácido acetilsalicílico paracetamol</v>
      </c>
      <c r="C4354" s="58" t="str">
        <f>IFERROR(VLOOKUP("UD",'Informacion '!P:Q,2,FALSE),"")</f>
        <v>Unidad</v>
      </c>
      <c r="D4354" s="25">
        <v>4</v>
      </c>
      <c r="E4354" s="28">
        <v>2500</v>
      </c>
      <c r="F4354" s="27">
        <f t="shared" ca="1" si="129"/>
        <v>10000</v>
      </c>
    </row>
    <row r="4355" spans="1:6" ht="14.25" customHeight="1" x14ac:dyDescent="0.25">
      <c r="A4355" s="25" t="s">
        <v>15</v>
      </c>
      <c r="B4355" s="26" t="str">
        <f ca="1">IFERROR(INDEX(UNSPSCDes,MATCH(INDIRECT(ADDRESS(ROW(),COLUMN()-1,4)),UNSPSCCode,0)),IF(INDIRECT(ADDRESS(ROW(),COLUMN()-1,4))="51172107","Butilbromuro de hioscina",""))</f>
        <v>Butilbromuro de hioscina</v>
      </c>
      <c r="C4355" s="58" t="str">
        <f>IFERROR(VLOOKUP("UD",'Informacion '!P:Q,2,FALSE),"")</f>
        <v>Unidad</v>
      </c>
      <c r="D4355" s="25">
        <v>2</v>
      </c>
      <c r="E4355" s="28">
        <v>3790</v>
      </c>
      <c r="F4355" s="27">
        <f t="shared" ca="1" si="129"/>
        <v>7580</v>
      </c>
    </row>
    <row r="4356" spans="1:6" ht="14.25" customHeight="1" x14ac:dyDescent="0.25">
      <c r="A4356" s="25" t="s">
        <v>681</v>
      </c>
      <c r="B4356" s="26" t="str">
        <f ca="1">IFERROR(INDEX(UNSPSCDes,MATCH(INDIRECT(ADDRESS(ROW(),COLUMN()-1,4)),UNSPSCCode,0)),IF(INDIRECT(ADDRESS(ROW(),COLUMN()-1,4))="51171504","Antiácidos de bicarbonato de sodio",""))</f>
        <v>Antiácidos de bicarbonato de sodio</v>
      </c>
      <c r="C4356" s="58" t="str">
        <f>IFERROR(VLOOKUP("UD",'Informacion '!P:Q,2,FALSE),"")</f>
        <v>Unidad</v>
      </c>
      <c r="D4356" s="25">
        <v>14</v>
      </c>
      <c r="E4356" s="28">
        <v>210</v>
      </c>
      <c r="F4356" s="27">
        <f t="shared" ca="1" si="129"/>
        <v>2940</v>
      </c>
    </row>
    <row r="4357" spans="1:6" ht="14.25" customHeight="1" x14ac:dyDescent="0.25">
      <c r="A4357" s="25" t="s">
        <v>459</v>
      </c>
      <c r="B4357" s="26" t="str">
        <f ca="1">IFERROR(INDEX(UNSPSCDes,MATCH(INDIRECT(ADDRESS(ROW(),COLUMN()-1,4)),UNSPSCCode,0)),IF(INDIRECT(ADDRESS(ROW(),COLUMN()-1,4))="51101508","Sulfonamidas antibióticas",""))</f>
        <v>Sulfonamidas antibióticas</v>
      </c>
      <c r="C4357" s="58" t="str">
        <f>IFERROR(VLOOKUP("UD",'Informacion '!P:Q,2,FALSE),"")</f>
        <v>Unidad</v>
      </c>
      <c r="D4357" s="25">
        <v>12</v>
      </c>
      <c r="E4357" s="28">
        <v>245</v>
      </c>
      <c r="F4357" s="27">
        <f t="shared" ca="1" si="129"/>
        <v>2940</v>
      </c>
    </row>
    <row r="4358" spans="1:6" ht="14.25" customHeight="1" x14ac:dyDescent="0.25">
      <c r="A4358" s="25" t="s">
        <v>7</v>
      </c>
      <c r="B4358" s="26" t="str">
        <f ca="1">IFERROR(INDEX(UNSPSCDes,MATCH(INDIRECT(ADDRESS(ROW(),COLUMN()-1,4)),UNSPSCCode,0)),IF(INDIRECT(ADDRESS(ROW(),COLUMN()-1,4))="51102208","Pentosano polisulfato sódico",""))</f>
        <v>Pentosano polisulfato sódico</v>
      </c>
      <c r="C4358" s="58" t="str">
        <f>IFERROR(VLOOKUP("UD",'Informacion '!P:Q,2,FALSE),"")</f>
        <v>Unidad</v>
      </c>
      <c r="D4358" s="25">
        <v>5</v>
      </c>
      <c r="E4358" s="28">
        <v>1030</v>
      </c>
      <c r="F4358" s="27">
        <f t="shared" ca="1" si="129"/>
        <v>5150</v>
      </c>
    </row>
    <row r="4359" spans="1:6" ht="14.25" customHeight="1" x14ac:dyDescent="0.25">
      <c r="A4359" s="25" t="s">
        <v>246</v>
      </c>
      <c r="B4359" s="26" t="str">
        <f ca="1">IFERROR(INDEX(UNSPSCDes,MATCH(INDIRECT(ADDRESS(ROW(),COLUMN()-1,4)),UNSPSCCode,0)),IF(INDIRECT(ADDRESS(ROW(),COLUMN()-1,4))="51181708","Prednisolona",""))</f>
        <v>Prednisolona</v>
      </c>
      <c r="C4359" s="58" t="str">
        <f>IFERROR(VLOOKUP("UD",'Informacion '!P:Q,2,FALSE),"")</f>
        <v>Unidad</v>
      </c>
      <c r="D4359" s="25">
        <v>4</v>
      </c>
      <c r="E4359" s="28">
        <v>900</v>
      </c>
      <c r="F4359" s="27">
        <f t="shared" ca="1" si="129"/>
        <v>3600</v>
      </c>
    </row>
    <row r="4360" spans="1:6" ht="14.25" customHeight="1" x14ac:dyDescent="0.25">
      <c r="A4360" s="25" t="s">
        <v>1083</v>
      </c>
      <c r="B4360" s="26" t="str">
        <f ca="1">IFERROR(INDEX(UNSPSCDes,MATCH(INDIRECT(ADDRESS(ROW(),COLUMN()-1,4)),UNSPSCCode,0)),IF(INDIRECT(ADDRESS(ROW(),COLUMN()-1,4))="42132203","Guantes de examen o para procedimientos no quirúrgicos",""))</f>
        <v>Guantes de examen o para procedimientos no quirúrgicos</v>
      </c>
      <c r="C4360" s="58" t="str">
        <f>IFERROR(VLOOKUP("CAJ",'Informacion '!P:Q,2,FALSE),"")</f>
        <v>Caja</v>
      </c>
      <c r="D4360" s="25">
        <v>8</v>
      </c>
      <c r="E4360" s="28">
        <v>800</v>
      </c>
      <c r="F4360" s="27">
        <f t="shared" ca="1" si="129"/>
        <v>6400</v>
      </c>
    </row>
    <row r="4361" spans="1:6" ht="14.25" customHeight="1" x14ac:dyDescent="0.25">
      <c r="A4361" s="25" t="s">
        <v>435</v>
      </c>
      <c r="B4361" s="26" t="str">
        <f ca="1">IFERROR(INDEX(UNSPSCDes,MATCH(INDIRECT(ADDRESS(ROW(),COLUMN()-1,4)),UNSPSCCode,0)),IF(INDIRECT(ADDRESS(ROW(),COLUMN()-1,4))="42311511","Vendajes de gasa",""))</f>
        <v>Vendajes de gasa</v>
      </c>
      <c r="C4361" s="58" t="str">
        <f>IFERROR(VLOOKUP("UD",'Informacion '!P:Q,2,FALSE),"")</f>
        <v>Unidad</v>
      </c>
      <c r="D4361" s="25">
        <v>20</v>
      </c>
      <c r="E4361" s="28">
        <v>200</v>
      </c>
      <c r="F4361" s="27">
        <f t="shared" ca="1" si="129"/>
        <v>4000</v>
      </c>
    </row>
    <row r="4362" spans="1:6" ht="14.25" customHeight="1" x14ac:dyDescent="0.25">
      <c r="A4362" s="25" t="s">
        <v>127</v>
      </c>
      <c r="B4362" s="26" t="str">
        <f ca="1">IFERROR(INDEX(UNSPSCDes,MATCH(INDIRECT(ADDRESS(ROW(),COLUMN()-1,4)),UNSPSCCode,0)),IF(INDIRECT(ADDRESS(ROW(),COLUMN()-1,4))="42131606","Máscaras quirúrgicas o de aislamiento para personal médico",""))</f>
        <v>Máscaras quirúrgicas o de aislamiento para personal médico</v>
      </c>
      <c r="C4362" s="58" t="str">
        <f>IFERROR(VLOOKUP("UD",'Informacion '!P:Q,2,FALSE),"")</f>
        <v>Unidad</v>
      </c>
      <c r="D4362" s="25">
        <v>10</v>
      </c>
      <c r="E4362" s="28">
        <v>100</v>
      </c>
      <c r="F4362" s="27">
        <f t="shared" ca="1" si="129"/>
        <v>1000</v>
      </c>
    </row>
    <row r="4363" spans="1:6" ht="14.25" customHeight="1" x14ac:dyDescent="0.25">
      <c r="A4363" s="25" t="s">
        <v>61</v>
      </c>
      <c r="B4363" s="26" t="str">
        <f ca="1">IFERROR(INDEX(UNSPSCDes,MATCH(INDIRECT(ADDRESS(ROW(),COLUMN()-1,4)),UNSPSCCode,0)),IF(INDIRECT(ADDRESS(ROW(),COLUMN()-1,4))="51241002","Oleato polipéptido de trietanolamina",""))</f>
        <v>Oleato polipéptido de trietanolamina</v>
      </c>
      <c r="C4363" s="58" t="str">
        <f>IFERROR(VLOOKUP("UD",'Informacion '!P:Q,2,FALSE),"")</f>
        <v>Unidad</v>
      </c>
      <c r="D4363" s="25">
        <v>4</v>
      </c>
      <c r="E4363" s="28">
        <v>600</v>
      </c>
      <c r="F4363" s="27">
        <f t="shared" ca="1" si="129"/>
        <v>2400</v>
      </c>
    </row>
    <row r="4364" spans="1:6" ht="14.25" customHeight="1" x14ac:dyDescent="0.25">
      <c r="A4364" s="25" t="s">
        <v>796</v>
      </c>
      <c r="B4364" s="26" t="str">
        <f ca="1">IFERROR(INDEX(UNSPSCDes,MATCH(INDIRECT(ADDRESS(ROW(),COLUMN()-1,4)),UNSPSCCode,0)),IF(INDIRECT(ADDRESS(ROW(),COLUMN()-1,4))="42181501","Depresores de lengua o cuchillos o baja lenguas",""))</f>
        <v>Depresores de lengua o cuchillos o baja lenguas</v>
      </c>
      <c r="C4364" s="58" t="str">
        <f>IFERROR(VLOOKUP("UD",'Informacion '!P:Q,2,FALSE),"")</f>
        <v>Unidad</v>
      </c>
      <c r="D4364" s="25">
        <v>6</v>
      </c>
      <c r="E4364" s="28">
        <v>100</v>
      </c>
      <c r="F4364" s="27">
        <f t="shared" ca="1" si="129"/>
        <v>600</v>
      </c>
    </row>
    <row r="4365" spans="1:6" ht="14.25" customHeight="1" x14ac:dyDescent="0.25">
      <c r="A4365" s="25" t="s">
        <v>435</v>
      </c>
      <c r="B4365" s="26" t="str">
        <f ca="1">IFERROR(INDEX(UNSPSCDes,MATCH(INDIRECT(ADDRESS(ROW(),COLUMN()-1,4)),UNSPSCCode,0)),IF(INDIRECT(ADDRESS(ROW(),COLUMN()-1,4))="42311511","Vendajes de gasa",""))</f>
        <v>Vendajes de gasa</v>
      </c>
      <c r="C4365" s="58" t="str">
        <f>IFERROR(VLOOKUP("UD",'Informacion '!P:Q,2,FALSE),"")</f>
        <v>Unidad</v>
      </c>
      <c r="D4365" s="25">
        <v>20</v>
      </c>
      <c r="E4365" s="28">
        <v>200</v>
      </c>
      <c r="F4365" s="27">
        <f t="shared" ca="1" si="129"/>
        <v>4000</v>
      </c>
    </row>
    <row r="4366" spans="1:6" ht="14.25" customHeight="1" x14ac:dyDescent="0.25">
      <c r="A4366" s="25" t="s">
        <v>127</v>
      </c>
      <c r="B4366" s="26" t="str">
        <f ca="1">IFERROR(INDEX(UNSPSCDes,MATCH(INDIRECT(ADDRESS(ROW(),COLUMN()-1,4)),UNSPSCCode,0)),IF(INDIRECT(ADDRESS(ROW(),COLUMN()-1,4))="42131606","Máscaras quirúrgicas o de aislamiento para personal médico",""))</f>
        <v>Máscaras quirúrgicas o de aislamiento para personal médico</v>
      </c>
      <c r="C4366" s="58" t="str">
        <f>IFERROR(VLOOKUP("UD",'Informacion '!P:Q,2,FALSE),"")</f>
        <v>Unidad</v>
      </c>
      <c r="D4366" s="25">
        <v>10</v>
      </c>
      <c r="E4366" s="28">
        <v>100</v>
      </c>
      <c r="F4366" s="27">
        <f t="shared" ca="1" si="129"/>
        <v>1000</v>
      </c>
    </row>
    <row r="4367" spans="1:6" ht="14.25" customHeight="1" x14ac:dyDescent="0.25">
      <c r="A4367" s="25" t="s">
        <v>61</v>
      </c>
      <c r="B4367" s="26" t="str">
        <f ca="1">IFERROR(INDEX(UNSPSCDes,MATCH(INDIRECT(ADDRESS(ROW(),COLUMN()-1,4)),UNSPSCCode,0)),IF(INDIRECT(ADDRESS(ROW(),COLUMN()-1,4))="51241002","Oleato polipéptido de trietanolamina",""))</f>
        <v>Oleato polipéptido de trietanolamina</v>
      </c>
      <c r="C4367" s="58" t="str">
        <f>IFERROR(VLOOKUP("UD",'Informacion '!P:Q,2,FALSE),"")</f>
        <v>Unidad</v>
      </c>
      <c r="D4367" s="25">
        <v>4</v>
      </c>
      <c r="E4367" s="28">
        <v>600</v>
      </c>
      <c r="F4367" s="27">
        <f t="shared" ca="1" si="129"/>
        <v>2400</v>
      </c>
    </row>
    <row r="4368" spans="1:6" ht="14.25" customHeight="1" x14ac:dyDescent="0.25">
      <c r="A4368" s="25" t="s">
        <v>796</v>
      </c>
      <c r="B4368" s="26" t="str">
        <f ca="1">IFERROR(INDEX(UNSPSCDes,MATCH(INDIRECT(ADDRESS(ROW(),COLUMN()-1,4)),UNSPSCCode,0)),IF(INDIRECT(ADDRESS(ROW(),COLUMN()-1,4))="42181501","Depresores de lengua o cuchillos o baja lenguas",""))</f>
        <v>Depresores de lengua o cuchillos o baja lenguas</v>
      </c>
      <c r="C4368" s="58" t="str">
        <f>IFERROR(VLOOKUP("UD",'Informacion '!P:Q,2,FALSE),"")</f>
        <v>Unidad</v>
      </c>
      <c r="D4368" s="25">
        <v>6</v>
      </c>
      <c r="E4368" s="28">
        <v>100</v>
      </c>
      <c r="F4368" s="27">
        <f t="shared" ca="1" si="129"/>
        <v>600</v>
      </c>
    </row>
    <row r="4369" spans="1:10" ht="14.25" customHeight="1" x14ac:dyDescent="0.25">
      <c r="E4369" s="30" t="s">
        <v>816</v>
      </c>
      <c r="F4369" s="31">
        <f ca="1">SUM(Table226[MONTO TOTAL ESTIMADO])</f>
        <v>213309</v>
      </c>
      <c r="H4369" s="21" t="str">
        <f>C4318</f>
        <v>Bienes</v>
      </c>
      <c r="I4369" s="21" t="str">
        <f>E4318</f>
        <v>No</v>
      </c>
      <c r="J4369" s="21" t="str">
        <f>D4318</f>
        <v>Compras Menores</v>
      </c>
    </row>
    <row r="4371" spans="1:10" ht="33.950000000000003" customHeight="1" x14ac:dyDescent="0.25">
      <c r="A4371" s="22" t="s">
        <v>1051</v>
      </c>
      <c r="B4371" s="22" t="s">
        <v>11</v>
      </c>
      <c r="C4371" s="22" t="s">
        <v>751</v>
      </c>
      <c r="D4371" s="22" t="s">
        <v>930</v>
      </c>
      <c r="E4371" s="22" t="s">
        <v>699</v>
      </c>
      <c r="F4371" s="22" t="s">
        <v>710</v>
      </c>
    </row>
    <row r="4372" spans="1:10" ht="14.25" customHeight="1" x14ac:dyDescent="0.25">
      <c r="A4372" s="23" t="s">
        <v>432</v>
      </c>
      <c r="B4372" s="23" t="s">
        <v>378</v>
      </c>
      <c r="C4372" s="23" t="s">
        <v>1155</v>
      </c>
      <c r="D4372" s="23" t="s">
        <v>1128</v>
      </c>
      <c r="E4372" s="23" t="s">
        <v>561</v>
      </c>
      <c r="F4372" s="23" t="s">
        <v>436</v>
      </c>
    </row>
    <row r="4373" spans="1:10" ht="14.25" customHeight="1" x14ac:dyDescent="0.25">
      <c r="A4373" s="68" t="s">
        <v>965</v>
      </c>
      <c r="B4373" s="24" t="s">
        <v>543</v>
      </c>
      <c r="C4373" s="54">
        <v>46305</v>
      </c>
      <c r="D4373" s="68" t="s">
        <v>598</v>
      </c>
      <c r="E4373" s="56" t="s">
        <v>858</v>
      </c>
      <c r="F4373" s="57" t="s">
        <v>184</v>
      </c>
    </row>
    <row r="4374" spans="1:10" ht="14.25" customHeight="1" x14ac:dyDescent="0.25">
      <c r="A4374" s="69"/>
      <c r="B4374" s="24" t="s">
        <v>112</v>
      </c>
      <c r="C4374" s="55">
        <f>IF(C4373="","",IF(AND(MONTH(C4373)&gt;=1,MONTH(C4373)&lt;=3),1,IF(AND(MONTH(C4373)&gt;=4,MONTH(C4373)&lt;=6),2,IF(AND(MONTH(C4373)&gt;=7,MONTH(C4373)&lt;=9),3,4))))</f>
        <v>4</v>
      </c>
      <c r="D4374" s="69"/>
      <c r="E4374" s="56" t="s">
        <v>143</v>
      </c>
      <c r="F4374" s="57"/>
    </row>
    <row r="4375" spans="1:10" ht="14.25" customHeight="1" x14ac:dyDescent="0.25">
      <c r="A4375" s="69"/>
      <c r="B4375" s="24" t="s">
        <v>844</v>
      </c>
      <c r="C4375" s="54">
        <v>46332</v>
      </c>
      <c r="D4375" s="69"/>
      <c r="E4375" s="56" t="s">
        <v>183</v>
      </c>
      <c r="F4375" s="57"/>
    </row>
    <row r="4376" spans="1:10" ht="14.25" customHeight="1" x14ac:dyDescent="0.25">
      <c r="A4376" s="69"/>
      <c r="B4376" s="24" t="s">
        <v>112</v>
      </c>
      <c r="C4376" s="55">
        <f>IF(C4375="","",IF(AND(MONTH(C4375)&gt;=1,MONTH(C4375)&lt;=3),1,IF(AND(MONTH(C4375)&gt;=4,MONTH(C4375)&lt;=6),2,IF(AND(MONTH(C4375)&gt;=7,MONTH(C4375)&lt;=9),3,4))))</f>
        <v>4</v>
      </c>
      <c r="D4376" s="69"/>
      <c r="E4376" s="56" t="s">
        <v>865</v>
      </c>
      <c r="F4376" s="57"/>
    </row>
    <row r="4378" spans="1:10" ht="14.25" customHeight="1" x14ac:dyDescent="0.25">
      <c r="A4378" s="29" t="s">
        <v>1017</v>
      </c>
      <c r="B4378" s="29" t="s">
        <v>1042</v>
      </c>
      <c r="C4378" s="29" t="s">
        <v>1011</v>
      </c>
      <c r="D4378" s="29" t="s">
        <v>985</v>
      </c>
      <c r="E4378" s="29" t="s">
        <v>449</v>
      </c>
      <c r="F4378" s="29" t="s">
        <v>989</v>
      </c>
    </row>
    <row r="4379" spans="1:10" ht="14.25" customHeight="1" x14ac:dyDescent="0.25">
      <c r="A4379" s="25" t="s">
        <v>168</v>
      </c>
      <c r="B4379" s="26" t="str">
        <f ca="1">IFERROR(INDEX(UNSPSCDes,MATCH(INDIRECT(ADDRESS(ROW(),COLUMN()-1,4)),UNSPSCCode,0)),IF(INDIRECT(ADDRESS(ROW(),COLUMN()-1,4))="14111806","Formularios o cuestionarios de negocios",""))</f>
        <v>Formularios o cuestionarios de negocios</v>
      </c>
      <c r="C4379" s="58" t="str">
        <f>IFERROR(VLOOKUP("UD",'Informacion '!P:Q,2,FALSE),"")</f>
        <v>Unidad</v>
      </c>
      <c r="D4379" s="25">
        <v>3000</v>
      </c>
      <c r="E4379" s="28">
        <v>77.75</v>
      </c>
      <c r="F4379" s="27">
        <f ca="1">INDIRECT(ADDRESS(ROW(),COLUMN()-2,4))*INDIRECT(ADDRESS(ROW(),COLUMN()-1,4))</f>
        <v>233250</v>
      </c>
    </row>
    <row r="4380" spans="1:10" ht="14.25" customHeight="1" x14ac:dyDescent="0.25">
      <c r="A4380" s="25" t="s">
        <v>168</v>
      </c>
      <c r="B4380" s="26" t="str">
        <f ca="1">IFERROR(INDEX(UNSPSCDes,MATCH(INDIRECT(ADDRESS(ROW(),COLUMN()-1,4)),UNSPSCCode,0)),IF(INDIRECT(ADDRESS(ROW(),COLUMN()-1,4))="14111806","Formularios o cuestionarios de negocios",""))</f>
        <v>Formularios o cuestionarios de negocios</v>
      </c>
      <c r="C4380" s="58" t="str">
        <f>IFERROR(VLOOKUP("UD",'Informacion '!P:Q,2,FALSE),"")</f>
        <v>Unidad</v>
      </c>
      <c r="D4380" s="25">
        <v>400</v>
      </c>
      <c r="E4380" s="28">
        <v>545</v>
      </c>
      <c r="F4380" s="27">
        <f ca="1">INDIRECT(ADDRESS(ROW(),COLUMN()-2,4))*INDIRECT(ADDRESS(ROW(),COLUMN()-1,4))</f>
        <v>218000</v>
      </c>
    </row>
    <row r="4381" spans="1:10" ht="14.25" customHeight="1" x14ac:dyDescent="0.25">
      <c r="A4381" s="25" t="s">
        <v>845</v>
      </c>
      <c r="B4381" s="26" t="str">
        <f ca="1">IFERROR(INDEX(UNSPSCDes,MATCH(INDIRECT(ADDRESS(ROW(),COLUMN()-1,4)),UNSPSCCode,0)),IF(INDIRECT(ADDRESS(ROW(),COLUMN()-1,4))="14111805","Cheques o chequeras",""))</f>
        <v>Cheques o chequeras</v>
      </c>
      <c r="C4381" s="58" t="str">
        <f>IFERROR(VLOOKUP("UD",'Informacion '!P:Q,2,FALSE),"")</f>
        <v>Unidad</v>
      </c>
      <c r="D4381" s="25">
        <v>100</v>
      </c>
      <c r="E4381" s="28">
        <v>545</v>
      </c>
      <c r="F4381" s="27">
        <f ca="1">INDIRECT(ADDRESS(ROW(),COLUMN()-2,4))*INDIRECT(ADDRESS(ROW(),COLUMN()-1,4))</f>
        <v>54500</v>
      </c>
    </row>
    <row r="4382" spans="1:10" ht="14.25" customHeight="1" x14ac:dyDescent="0.25">
      <c r="A4382" s="25" t="s">
        <v>845</v>
      </c>
      <c r="B4382" s="26" t="str">
        <f ca="1">IFERROR(INDEX(UNSPSCDes,MATCH(INDIRECT(ADDRESS(ROW(),COLUMN()-1,4)),UNSPSCCode,0)),IF(INDIRECT(ADDRESS(ROW(),COLUMN()-1,4))="14111805","Cheques o chequeras",""))</f>
        <v>Cheques o chequeras</v>
      </c>
      <c r="C4382" s="58" t="str">
        <f>IFERROR(VLOOKUP("UD",'Informacion '!P:Q,2,FALSE),"")</f>
        <v>Unidad</v>
      </c>
      <c r="D4382" s="25">
        <v>100</v>
      </c>
      <c r="E4382" s="28">
        <v>275</v>
      </c>
      <c r="F4382" s="27">
        <f ca="1">INDIRECT(ADDRESS(ROW(),COLUMN()-2,4))*INDIRECT(ADDRESS(ROW(),COLUMN()-1,4))</f>
        <v>27500</v>
      </c>
    </row>
    <row r="4383" spans="1:10" ht="14.25" customHeight="1" x14ac:dyDescent="0.25">
      <c r="E4383" s="30" t="s">
        <v>816</v>
      </c>
      <c r="F4383" s="31">
        <f ca="1">SUM(Table227[MONTO TOTAL ESTIMADO])</f>
        <v>533250</v>
      </c>
      <c r="H4383" s="21" t="str">
        <f>C4372</f>
        <v>Bienes</v>
      </c>
      <c r="I4383" s="21" t="str">
        <f>E4372</f>
        <v>Sí</v>
      </c>
      <c r="J4383" s="21" t="str">
        <f>D4372</f>
        <v>Compras Menores</v>
      </c>
    </row>
    <row r="4385" spans="1:6" ht="33.950000000000003" customHeight="1" x14ac:dyDescent="0.25">
      <c r="A4385" s="22" t="s">
        <v>1051</v>
      </c>
      <c r="B4385" s="22" t="s">
        <v>11</v>
      </c>
      <c r="C4385" s="22" t="s">
        <v>751</v>
      </c>
      <c r="D4385" s="22" t="s">
        <v>930</v>
      </c>
      <c r="E4385" s="22" t="s">
        <v>699</v>
      </c>
      <c r="F4385" s="22" t="s">
        <v>710</v>
      </c>
    </row>
    <row r="4386" spans="1:6" ht="14.25" customHeight="1" x14ac:dyDescent="0.25">
      <c r="A4386" s="23" t="s">
        <v>491</v>
      </c>
      <c r="B4386" s="23" t="s">
        <v>491</v>
      </c>
      <c r="C4386" s="23" t="s">
        <v>1155</v>
      </c>
      <c r="D4386" s="23" t="s">
        <v>1128</v>
      </c>
      <c r="E4386" s="23" t="s">
        <v>561</v>
      </c>
      <c r="F4386" s="23" t="s">
        <v>436</v>
      </c>
    </row>
    <row r="4387" spans="1:6" ht="14.25" customHeight="1" x14ac:dyDescent="0.25">
      <c r="A4387" s="68" t="s">
        <v>965</v>
      </c>
      <c r="B4387" s="24" t="s">
        <v>543</v>
      </c>
      <c r="C4387" s="54">
        <v>46296</v>
      </c>
      <c r="D4387" s="68" t="s">
        <v>598</v>
      </c>
      <c r="E4387" s="56" t="s">
        <v>858</v>
      </c>
      <c r="F4387" s="57" t="s">
        <v>184</v>
      </c>
    </row>
    <row r="4388" spans="1:6" ht="14.25" customHeight="1" x14ac:dyDescent="0.25">
      <c r="A4388" s="69"/>
      <c r="B4388" s="24" t="s">
        <v>112</v>
      </c>
      <c r="C4388" s="55">
        <f>IF(C4387="","",IF(AND(MONTH(C4387)&gt;=1,MONTH(C4387)&lt;=3),1,IF(AND(MONTH(C4387)&gt;=4,MONTH(C4387)&lt;=6),2,IF(AND(MONTH(C4387)&gt;=7,MONTH(C4387)&lt;=9),3,4))))</f>
        <v>4</v>
      </c>
      <c r="D4388" s="69"/>
      <c r="E4388" s="56" t="s">
        <v>143</v>
      </c>
      <c r="F4388" s="57"/>
    </row>
    <row r="4389" spans="1:6" ht="14.25" customHeight="1" x14ac:dyDescent="0.25">
      <c r="A4389" s="69"/>
      <c r="B4389" s="24" t="s">
        <v>844</v>
      </c>
      <c r="C4389" s="54">
        <v>46337</v>
      </c>
      <c r="D4389" s="69"/>
      <c r="E4389" s="56" t="s">
        <v>183</v>
      </c>
      <c r="F4389" s="57"/>
    </row>
    <row r="4390" spans="1:6" ht="14.25" customHeight="1" x14ac:dyDescent="0.25">
      <c r="A4390" s="69"/>
      <c r="B4390" s="24" t="s">
        <v>112</v>
      </c>
      <c r="C4390" s="55">
        <f>IF(C4389="","",IF(AND(MONTH(C4389)&gt;=1,MONTH(C4389)&lt;=3),1,IF(AND(MONTH(C4389)&gt;=4,MONTH(C4389)&lt;=6),2,IF(AND(MONTH(C4389)&gt;=7,MONTH(C4389)&lt;=9),3,4))))</f>
        <v>4</v>
      </c>
      <c r="D4390" s="69"/>
      <c r="E4390" s="56" t="s">
        <v>865</v>
      </c>
      <c r="F4390" s="57"/>
    </row>
    <row r="4392" spans="1:6" ht="14.25" customHeight="1" x14ac:dyDescent="0.25">
      <c r="A4392" s="29" t="s">
        <v>1017</v>
      </c>
      <c r="B4392" s="29" t="s">
        <v>1042</v>
      </c>
      <c r="C4392" s="29" t="s">
        <v>1011</v>
      </c>
      <c r="D4392" s="29" t="s">
        <v>985</v>
      </c>
      <c r="E4392" s="29" t="s">
        <v>449</v>
      </c>
      <c r="F4392" s="29" t="s">
        <v>989</v>
      </c>
    </row>
    <row r="4393" spans="1:6" ht="14.25" customHeight="1" x14ac:dyDescent="0.25">
      <c r="A4393" s="25" t="s">
        <v>1070</v>
      </c>
      <c r="B4393" s="26" t="str">
        <f ca="1">IFERROR(INDEX(UNSPSCDes,MATCH(INDIRECT(ADDRESS(ROW(),COLUMN()-1,4)),UNSPSCCode,0)),IF(INDIRECT(ADDRESS(ROW(),COLUMN()-1,4))="39101628","Lámpara Led",""))</f>
        <v>Lámpara Led</v>
      </c>
      <c r="C4393" s="58" t="str">
        <f>IFERROR(VLOOKUP("UD",'Informacion '!P:Q,2,FALSE),"")</f>
        <v>Unidad</v>
      </c>
      <c r="D4393" s="25">
        <v>30</v>
      </c>
      <c r="E4393" s="28">
        <v>105</v>
      </c>
      <c r="F4393" s="27">
        <f t="shared" ref="F4393:F4424" ca="1" si="130">INDIRECT(ADDRESS(ROW(),COLUMN()-2,4))*INDIRECT(ADDRESS(ROW(),COLUMN()-1,4))</f>
        <v>3150</v>
      </c>
    </row>
    <row r="4394" spans="1:6" ht="14.25" customHeight="1" x14ac:dyDescent="0.25">
      <c r="A4394" s="25" t="s">
        <v>1070</v>
      </c>
      <c r="B4394" s="26" t="str">
        <f ca="1">IFERROR(INDEX(UNSPSCDes,MATCH(INDIRECT(ADDRESS(ROW(),COLUMN()-1,4)),UNSPSCCode,0)),IF(INDIRECT(ADDRESS(ROW(),COLUMN()-1,4))="39101628","Lámpara Led",""))</f>
        <v>Lámpara Led</v>
      </c>
      <c r="C4394" s="58" t="str">
        <f>IFERROR(VLOOKUP("UD",'Informacion '!P:Q,2,FALSE),"")</f>
        <v>Unidad</v>
      </c>
      <c r="D4394" s="25">
        <v>30</v>
      </c>
      <c r="E4394" s="28">
        <v>110</v>
      </c>
      <c r="F4394" s="27">
        <f t="shared" ca="1" si="130"/>
        <v>3300</v>
      </c>
    </row>
    <row r="4395" spans="1:6" ht="14.25" customHeight="1" x14ac:dyDescent="0.25">
      <c r="A4395" s="25" t="s">
        <v>1070</v>
      </c>
      <c r="B4395" s="26" t="str">
        <f ca="1">IFERROR(INDEX(UNSPSCDes,MATCH(INDIRECT(ADDRESS(ROW(),COLUMN()-1,4)),UNSPSCCode,0)),IF(INDIRECT(ADDRESS(ROW(),COLUMN()-1,4))="39101628","Lámpara Led",""))</f>
        <v>Lámpara Led</v>
      </c>
      <c r="C4395" s="58" t="str">
        <f>IFERROR(VLOOKUP("UD",'Informacion '!P:Q,2,FALSE),"")</f>
        <v>Unidad</v>
      </c>
      <c r="D4395" s="25">
        <v>50</v>
      </c>
      <c r="E4395" s="28">
        <v>110</v>
      </c>
      <c r="F4395" s="27">
        <f t="shared" ca="1" si="130"/>
        <v>5500</v>
      </c>
    </row>
    <row r="4396" spans="1:6" ht="14.25" customHeight="1" x14ac:dyDescent="0.25">
      <c r="A4396" s="25" t="s">
        <v>1070</v>
      </c>
      <c r="B4396" s="26" t="str">
        <f ca="1">IFERROR(INDEX(UNSPSCDes,MATCH(INDIRECT(ADDRESS(ROW(),COLUMN()-1,4)),UNSPSCCode,0)),IF(INDIRECT(ADDRESS(ROW(),COLUMN()-1,4))="39101628","Lámpara Led",""))</f>
        <v>Lámpara Led</v>
      </c>
      <c r="C4396" s="58" t="str">
        <f>IFERROR(VLOOKUP("UD",'Informacion '!P:Q,2,FALSE),"")</f>
        <v>Unidad</v>
      </c>
      <c r="D4396" s="25">
        <v>100</v>
      </c>
      <c r="E4396" s="28">
        <v>325</v>
      </c>
      <c r="F4396" s="27">
        <f t="shared" ca="1" si="130"/>
        <v>32500</v>
      </c>
    </row>
    <row r="4397" spans="1:6" ht="14.25" customHeight="1" x14ac:dyDescent="0.25">
      <c r="A4397" s="25" t="s">
        <v>635</v>
      </c>
      <c r="B4397" s="26" t="str">
        <f ca="1">IFERROR(INDEX(UNSPSCDes,MATCH(INDIRECT(ADDRESS(ROW(),COLUMN()-1,4)),UNSPSCCode,0)),IF(INDIRECT(ADDRESS(ROW(),COLUMN()-1,4))="39121601","Breakers de circuito",""))</f>
        <v>Breakers de circuito</v>
      </c>
      <c r="C4397" s="58" t="str">
        <f>IFERROR(VLOOKUP("UD",'Informacion '!P:Q,2,FALSE),"")</f>
        <v>Unidad</v>
      </c>
      <c r="D4397" s="25">
        <v>20</v>
      </c>
      <c r="E4397" s="28">
        <v>111</v>
      </c>
      <c r="F4397" s="27">
        <f t="shared" ca="1" si="130"/>
        <v>2220</v>
      </c>
    </row>
    <row r="4398" spans="1:6" ht="14.25" customHeight="1" x14ac:dyDescent="0.25">
      <c r="A4398" s="25" t="s">
        <v>857</v>
      </c>
      <c r="B4398" s="26" t="str">
        <f ca="1">IFERROR(INDEX(UNSPSCDes,MATCH(INDIRECT(ADDRESS(ROW(),COLUMN()-1,4)),UNSPSCCode,0)),IF(INDIRECT(ADDRESS(ROW(),COLUMN()-1,4))="30151703","Canaletas",""))</f>
        <v>Canaletas</v>
      </c>
      <c r="C4398" s="58" t="str">
        <f>IFERROR(VLOOKUP("FT",'Informacion '!P:Q,2,FALSE),"")</f>
        <v>Pie</v>
      </c>
      <c r="D4398" s="25">
        <v>200</v>
      </c>
      <c r="E4398" s="28">
        <v>35</v>
      </c>
      <c r="F4398" s="27">
        <f t="shared" ca="1" si="130"/>
        <v>7000</v>
      </c>
    </row>
    <row r="4399" spans="1:6" ht="14.25" customHeight="1" x14ac:dyDescent="0.25">
      <c r="A4399" s="25" t="s">
        <v>653</v>
      </c>
      <c r="B4399" s="26" t="str">
        <f ca="1">IFERROR(INDEX(UNSPSCDes,MATCH(INDIRECT(ADDRESS(ROW(),COLUMN()-1,4)),UNSPSCCode,0)),IF(INDIRECT(ADDRESS(ROW(),COLUMN()-1,4))="40142110","Tubería de cobre",""))</f>
        <v>Tubería de cobre</v>
      </c>
      <c r="C4399" s="58" t="str">
        <f>IFERROR(VLOOKUP("FT",'Informacion '!P:Q,2,FALSE),"")</f>
        <v>Pie</v>
      </c>
      <c r="D4399" s="25">
        <v>200</v>
      </c>
      <c r="E4399" s="28">
        <v>150</v>
      </c>
      <c r="F4399" s="27">
        <f t="shared" ca="1" si="130"/>
        <v>30000</v>
      </c>
    </row>
    <row r="4400" spans="1:6" ht="14.25" customHeight="1" x14ac:dyDescent="0.25">
      <c r="A4400" s="25" t="s">
        <v>786</v>
      </c>
      <c r="B4400" s="26" t="str">
        <f ca="1">IFERROR(INDEX(UNSPSCDes,MATCH(INDIRECT(ADDRESS(ROW(),COLUMN()-1,4)),UNSPSCCode,0)),IF(INDIRECT(ADDRESS(ROW(),COLUMN()-1,4))="39101605","Lámparas fluorescentes",""))</f>
        <v>Lámparas fluorescentes</v>
      </c>
      <c r="C4400" s="58" t="str">
        <f>IFERROR(VLOOKUP("UD",'Informacion '!P:Q,2,FALSE),"")</f>
        <v>Unidad</v>
      </c>
      <c r="D4400" s="25">
        <v>60</v>
      </c>
      <c r="E4400" s="28">
        <v>2132.77</v>
      </c>
      <c r="F4400" s="27">
        <f t="shared" ca="1" si="130"/>
        <v>127966.2</v>
      </c>
    </row>
    <row r="4401" spans="1:6" ht="14.25" customHeight="1" x14ac:dyDescent="0.25">
      <c r="A4401" s="25" t="s">
        <v>786</v>
      </c>
      <c r="B4401" s="26" t="str">
        <f ca="1">IFERROR(INDEX(UNSPSCDes,MATCH(INDIRECT(ADDRESS(ROW(),COLUMN()-1,4)),UNSPSCCode,0)),IF(INDIRECT(ADDRESS(ROW(),COLUMN()-1,4))="39101605","Lámparas fluorescentes",""))</f>
        <v>Lámparas fluorescentes</v>
      </c>
      <c r="C4401" s="58" t="str">
        <f>IFERROR(VLOOKUP("UD",'Informacion '!P:Q,2,FALSE),"")</f>
        <v>Unidad</v>
      </c>
      <c r="D4401" s="25">
        <v>40</v>
      </c>
      <c r="E4401" s="28">
        <v>1680.78</v>
      </c>
      <c r="F4401" s="27">
        <f t="shared" ca="1" si="130"/>
        <v>67231.199999999997</v>
      </c>
    </row>
    <row r="4402" spans="1:6" ht="14.25" customHeight="1" x14ac:dyDescent="0.25">
      <c r="A4402" s="25" t="s">
        <v>1072</v>
      </c>
      <c r="B4402" s="26" t="str">
        <f ca="1">IFERROR(INDEX(UNSPSCDes,MATCH(INDIRECT(ADDRESS(ROW(),COLUMN()-1,4)),UNSPSCCode,0)),IF(INDIRECT(ADDRESS(ROW(),COLUMN()-1,4))="39121402","Enchufes eléctricos",""))</f>
        <v>Enchufes eléctricos</v>
      </c>
      <c r="C4402" s="58" t="str">
        <f>IFERROR(VLOOKUP("UD",'Informacion '!P:Q,2,FALSE),"")</f>
        <v>Unidad</v>
      </c>
      <c r="D4402" s="25">
        <v>15</v>
      </c>
      <c r="E4402" s="28">
        <v>1092.1600000000001</v>
      </c>
      <c r="F4402" s="27">
        <f t="shared" ca="1" si="130"/>
        <v>16382.400000000001</v>
      </c>
    </row>
    <row r="4403" spans="1:6" ht="14.25" customHeight="1" x14ac:dyDescent="0.25">
      <c r="A4403" s="25" t="s">
        <v>579</v>
      </c>
      <c r="B4403" s="26" t="str">
        <f ca="1">IFERROR(INDEX(UNSPSCDes,MATCH(INDIRECT(ADDRESS(ROW(),COLUMN()-1,4)),UNSPSCCode,0)),IF(INDIRECT(ADDRESS(ROW(),COLUMN()-1,4))="39121406","Receptáculos eléctricos",""))</f>
        <v>Receptáculos eléctricos</v>
      </c>
      <c r="C4403" s="58" t="str">
        <f>IFERROR(VLOOKUP("UD",'Informacion '!P:Q,2,FALSE),"")</f>
        <v>Unidad</v>
      </c>
      <c r="D4403" s="25">
        <v>50</v>
      </c>
      <c r="E4403" s="28">
        <v>185</v>
      </c>
      <c r="F4403" s="27">
        <f t="shared" ca="1" si="130"/>
        <v>9250</v>
      </c>
    </row>
    <row r="4404" spans="1:6" ht="14.25" customHeight="1" x14ac:dyDescent="0.25">
      <c r="A4404" s="25" t="s">
        <v>635</v>
      </c>
      <c r="B4404" s="26" t="str">
        <f ca="1">IFERROR(INDEX(UNSPSCDes,MATCH(INDIRECT(ADDRESS(ROW(),COLUMN()-1,4)),UNSPSCCode,0)),IF(INDIRECT(ADDRESS(ROW(),COLUMN()-1,4))="39121601","Breakers de circuito",""))</f>
        <v>Breakers de circuito</v>
      </c>
      <c r="C4404" s="58" t="str">
        <f>IFERROR(VLOOKUP("CAJ",'Informacion '!P:Q,2,FALSE),"")</f>
        <v>Caja</v>
      </c>
      <c r="D4404" s="25">
        <v>5</v>
      </c>
      <c r="E4404" s="28">
        <v>45.35</v>
      </c>
      <c r="F4404" s="27">
        <f t="shared" ca="1" si="130"/>
        <v>226.75</v>
      </c>
    </row>
    <row r="4405" spans="1:6" ht="14.25" customHeight="1" x14ac:dyDescent="0.25">
      <c r="A4405" s="25" t="s">
        <v>1072</v>
      </c>
      <c r="B4405" s="26" t="str">
        <f ca="1">IFERROR(INDEX(UNSPSCDes,MATCH(INDIRECT(ADDRESS(ROW(),COLUMN()-1,4)),UNSPSCCode,0)),IF(INDIRECT(ADDRESS(ROW(),COLUMN()-1,4))="39121402","Enchufes eléctricos",""))</f>
        <v>Enchufes eléctricos</v>
      </c>
      <c r="C4405" s="58" t="str">
        <f>IFERROR(VLOOKUP("UD",'Informacion '!P:Q,2,FALSE),"")</f>
        <v>Unidad</v>
      </c>
      <c r="D4405" s="25">
        <v>30</v>
      </c>
      <c r="E4405" s="28">
        <v>240.53</v>
      </c>
      <c r="F4405" s="27">
        <f t="shared" ca="1" si="130"/>
        <v>7215.9</v>
      </c>
    </row>
    <row r="4406" spans="1:6" ht="14.25" customHeight="1" x14ac:dyDescent="0.25">
      <c r="A4406" s="25" t="s">
        <v>579</v>
      </c>
      <c r="B4406" s="26" t="str">
        <f ca="1">IFERROR(INDEX(UNSPSCDes,MATCH(INDIRECT(ADDRESS(ROW(),COLUMN()-1,4)),UNSPSCCode,0)),IF(INDIRECT(ADDRESS(ROW(),COLUMN()-1,4))="39121406","Receptáculos eléctricos",""))</f>
        <v>Receptáculos eléctricos</v>
      </c>
      <c r="C4406" s="58" t="str">
        <f>IFERROR(VLOOKUP("UD",'Informacion '!P:Q,2,FALSE),"")</f>
        <v>Unidad</v>
      </c>
      <c r="D4406" s="25">
        <v>10</v>
      </c>
      <c r="E4406" s="28">
        <v>235.83</v>
      </c>
      <c r="F4406" s="27">
        <f t="shared" ca="1" si="130"/>
        <v>2358.3000000000002</v>
      </c>
    </row>
    <row r="4407" spans="1:6" ht="14.25" customHeight="1" x14ac:dyDescent="0.25">
      <c r="A4407" s="25" t="s">
        <v>428</v>
      </c>
      <c r="B4407" s="26" t="str">
        <f t="shared" ref="B4407:B4412" ca="1" si="131">IFERROR(INDEX(UNSPSCDes,MATCH(INDIRECT(ADDRESS(ROW(),COLUMN()-1,4)),UNSPSCCode,0)),IF(INDIRECT(ADDRESS(ROW(),COLUMN()-1,4))="39101603","Lámparas solares",""))</f>
        <v>Lámparas solares</v>
      </c>
      <c r="C4407" s="58" t="str">
        <f>IFERROR(VLOOKUP("UD",'Informacion '!P:Q,2,FALSE),"")</f>
        <v>Unidad</v>
      </c>
      <c r="D4407" s="25">
        <v>50</v>
      </c>
      <c r="E4407" s="28">
        <v>1300</v>
      </c>
      <c r="F4407" s="27">
        <f t="shared" ca="1" si="130"/>
        <v>65000</v>
      </c>
    </row>
    <row r="4408" spans="1:6" ht="14.25" customHeight="1" x14ac:dyDescent="0.25">
      <c r="A4408" s="25" t="s">
        <v>428</v>
      </c>
      <c r="B4408" s="26" t="str">
        <f t="shared" ca="1" si="131"/>
        <v>Lámparas solares</v>
      </c>
      <c r="C4408" s="58" t="str">
        <f>IFERROR(VLOOKUP("UD",'Informacion '!P:Q,2,FALSE),"")</f>
        <v>Unidad</v>
      </c>
      <c r="D4408" s="25">
        <v>50</v>
      </c>
      <c r="E4408" s="28">
        <v>1250.1199999999999</v>
      </c>
      <c r="F4408" s="27">
        <f t="shared" ca="1" si="130"/>
        <v>62505.999999999993</v>
      </c>
    </row>
    <row r="4409" spans="1:6" ht="14.25" customHeight="1" x14ac:dyDescent="0.25">
      <c r="A4409" s="25" t="s">
        <v>428</v>
      </c>
      <c r="B4409" s="26" t="str">
        <f t="shared" ca="1" si="131"/>
        <v>Lámparas solares</v>
      </c>
      <c r="C4409" s="58" t="str">
        <f>IFERROR(VLOOKUP("UD",'Informacion '!P:Q,2,FALSE),"")</f>
        <v>Unidad</v>
      </c>
      <c r="D4409" s="25">
        <v>50</v>
      </c>
      <c r="E4409" s="28">
        <v>1059.97</v>
      </c>
      <c r="F4409" s="27">
        <f t="shared" ca="1" si="130"/>
        <v>52998.5</v>
      </c>
    </row>
    <row r="4410" spans="1:6" ht="14.25" customHeight="1" x14ac:dyDescent="0.25">
      <c r="A4410" s="25" t="s">
        <v>428</v>
      </c>
      <c r="B4410" s="26" t="str">
        <f t="shared" ca="1" si="131"/>
        <v>Lámparas solares</v>
      </c>
      <c r="C4410" s="58" t="str">
        <f>IFERROR(VLOOKUP("UD",'Informacion '!P:Q,2,FALSE),"")</f>
        <v>Unidad</v>
      </c>
      <c r="D4410" s="25">
        <v>50</v>
      </c>
      <c r="E4410" s="28">
        <v>280</v>
      </c>
      <c r="F4410" s="27">
        <f t="shared" ca="1" si="130"/>
        <v>14000</v>
      </c>
    </row>
    <row r="4411" spans="1:6" ht="14.25" customHeight="1" x14ac:dyDescent="0.25">
      <c r="A4411" s="25" t="s">
        <v>428</v>
      </c>
      <c r="B4411" s="26" t="str">
        <f t="shared" ca="1" si="131"/>
        <v>Lámparas solares</v>
      </c>
      <c r="C4411" s="58" t="str">
        <f>IFERROR(VLOOKUP("UD",'Informacion '!P:Q,2,FALSE),"")</f>
        <v>Unidad</v>
      </c>
      <c r="D4411" s="25">
        <v>50</v>
      </c>
      <c r="E4411" s="28">
        <v>1059.97</v>
      </c>
      <c r="F4411" s="27">
        <f t="shared" ca="1" si="130"/>
        <v>52998.5</v>
      </c>
    </row>
    <row r="4412" spans="1:6" ht="14.25" customHeight="1" x14ac:dyDescent="0.25">
      <c r="A4412" s="25" t="s">
        <v>428</v>
      </c>
      <c r="B4412" s="26" t="str">
        <f t="shared" ca="1" si="131"/>
        <v>Lámparas solares</v>
      </c>
      <c r="C4412" s="58" t="str">
        <f>IFERROR(VLOOKUP("UD",'Informacion '!P:Q,2,FALSE),"")</f>
        <v>Unidad</v>
      </c>
      <c r="D4412" s="25">
        <v>20</v>
      </c>
      <c r="E4412" s="28">
        <v>1059.97</v>
      </c>
      <c r="F4412" s="27">
        <f t="shared" ca="1" si="130"/>
        <v>21199.4</v>
      </c>
    </row>
    <row r="4413" spans="1:6" ht="14.25" customHeight="1" x14ac:dyDescent="0.25">
      <c r="A4413" s="25" t="s">
        <v>635</v>
      </c>
      <c r="B4413" s="26" t="str">
        <f t="shared" ref="B4413:B4431" ca="1" si="132">IFERROR(INDEX(UNSPSCDes,MATCH(INDIRECT(ADDRESS(ROW(),COLUMN()-1,4)),UNSPSCCode,0)),IF(INDIRECT(ADDRESS(ROW(),COLUMN()-1,4))="39121601","Breakers de circuito",""))</f>
        <v>Breakers de circuito</v>
      </c>
      <c r="C4413" s="58" t="str">
        <f>IFERROR(VLOOKUP("UD",'Informacion '!P:Q,2,FALSE),"")</f>
        <v>Unidad</v>
      </c>
      <c r="D4413" s="25">
        <v>5</v>
      </c>
      <c r="E4413" s="28">
        <v>678.96</v>
      </c>
      <c r="F4413" s="27">
        <f t="shared" ca="1" si="130"/>
        <v>3394.8</v>
      </c>
    </row>
    <row r="4414" spans="1:6" ht="14.25" customHeight="1" x14ac:dyDescent="0.25">
      <c r="A4414" s="25" t="s">
        <v>635</v>
      </c>
      <c r="B4414" s="26" t="str">
        <f t="shared" ca="1" si="132"/>
        <v>Breakers de circuito</v>
      </c>
      <c r="C4414" s="58" t="str">
        <f>IFERROR(VLOOKUP("UD",'Informacion '!P:Q,2,FALSE),"")</f>
        <v>Unidad</v>
      </c>
      <c r="D4414" s="25">
        <v>5</v>
      </c>
      <c r="E4414" s="28">
        <v>3500</v>
      </c>
      <c r="F4414" s="27">
        <f t="shared" ca="1" si="130"/>
        <v>17500</v>
      </c>
    </row>
    <row r="4415" spans="1:6" ht="14.25" customHeight="1" x14ac:dyDescent="0.25">
      <c r="A4415" s="25" t="s">
        <v>635</v>
      </c>
      <c r="B4415" s="26" t="str">
        <f t="shared" ca="1" si="132"/>
        <v>Breakers de circuito</v>
      </c>
      <c r="C4415" s="58" t="str">
        <f>IFERROR(VLOOKUP("UD",'Informacion '!P:Q,2,FALSE),"")</f>
        <v>Unidad</v>
      </c>
      <c r="D4415" s="25">
        <v>10</v>
      </c>
      <c r="E4415" s="28">
        <v>30000</v>
      </c>
      <c r="F4415" s="27">
        <f t="shared" ca="1" si="130"/>
        <v>300000</v>
      </c>
    </row>
    <row r="4416" spans="1:6" ht="14.25" customHeight="1" x14ac:dyDescent="0.25">
      <c r="A4416" s="25" t="s">
        <v>635</v>
      </c>
      <c r="B4416" s="26" t="str">
        <f t="shared" ca="1" si="132"/>
        <v>Breakers de circuito</v>
      </c>
      <c r="C4416" s="58" t="str">
        <f>IFERROR(VLOOKUP("UD",'Informacion '!P:Q,2,FALSE),"")</f>
        <v>Unidad</v>
      </c>
      <c r="D4416" s="25">
        <v>20</v>
      </c>
      <c r="E4416" s="28">
        <v>800</v>
      </c>
      <c r="F4416" s="27">
        <f t="shared" ca="1" si="130"/>
        <v>16000</v>
      </c>
    </row>
    <row r="4417" spans="1:6" ht="14.25" customHeight="1" x14ac:dyDescent="0.25">
      <c r="A4417" s="25" t="s">
        <v>635</v>
      </c>
      <c r="B4417" s="26" t="str">
        <f t="shared" ca="1" si="132"/>
        <v>Breakers de circuito</v>
      </c>
      <c r="C4417" s="58" t="str">
        <f>IFERROR(VLOOKUP("UD",'Informacion '!P:Q,2,FALSE),"")</f>
        <v>Unidad</v>
      </c>
      <c r="D4417" s="25">
        <v>20</v>
      </c>
      <c r="E4417" s="28">
        <v>1002</v>
      </c>
      <c r="F4417" s="27">
        <f t="shared" ca="1" si="130"/>
        <v>20040</v>
      </c>
    </row>
    <row r="4418" spans="1:6" ht="14.25" customHeight="1" x14ac:dyDescent="0.25">
      <c r="A4418" s="25" t="s">
        <v>635</v>
      </c>
      <c r="B4418" s="26" t="str">
        <f t="shared" ca="1" si="132"/>
        <v>Breakers de circuito</v>
      </c>
      <c r="C4418" s="58" t="str">
        <f>IFERROR(VLOOKUP("UD",'Informacion '!P:Q,2,FALSE),"")</f>
        <v>Unidad</v>
      </c>
      <c r="D4418" s="25">
        <v>20</v>
      </c>
      <c r="E4418" s="28">
        <v>2030</v>
      </c>
      <c r="F4418" s="27">
        <f t="shared" ca="1" si="130"/>
        <v>40600</v>
      </c>
    </row>
    <row r="4419" spans="1:6" ht="14.25" customHeight="1" x14ac:dyDescent="0.25">
      <c r="A4419" s="25" t="s">
        <v>635</v>
      </c>
      <c r="B4419" s="26" t="str">
        <f t="shared" ca="1" si="132"/>
        <v>Breakers de circuito</v>
      </c>
      <c r="C4419" s="58" t="str">
        <f>IFERROR(VLOOKUP("UD",'Informacion '!P:Q,2,FALSE),"")</f>
        <v>Unidad</v>
      </c>
      <c r="D4419" s="25">
        <v>10</v>
      </c>
      <c r="E4419" s="28">
        <v>401</v>
      </c>
      <c r="F4419" s="27">
        <f t="shared" ca="1" si="130"/>
        <v>4010</v>
      </c>
    </row>
    <row r="4420" spans="1:6" ht="14.25" customHeight="1" x14ac:dyDescent="0.25">
      <c r="A4420" s="25" t="s">
        <v>635</v>
      </c>
      <c r="B4420" s="26" t="str">
        <f t="shared" ca="1" si="132"/>
        <v>Breakers de circuito</v>
      </c>
      <c r="C4420" s="58" t="str">
        <f>IFERROR(VLOOKUP("UD",'Informacion '!P:Q,2,FALSE),"")</f>
        <v>Unidad</v>
      </c>
      <c r="D4420" s="25">
        <v>15</v>
      </c>
      <c r="E4420" s="28">
        <v>450</v>
      </c>
      <c r="F4420" s="27">
        <f t="shared" ca="1" si="130"/>
        <v>6750</v>
      </c>
    </row>
    <row r="4421" spans="1:6" ht="14.25" customHeight="1" x14ac:dyDescent="0.25">
      <c r="A4421" s="25" t="s">
        <v>635</v>
      </c>
      <c r="B4421" s="26" t="str">
        <f t="shared" ca="1" si="132"/>
        <v>Breakers de circuito</v>
      </c>
      <c r="C4421" s="58" t="str">
        <f>IFERROR(VLOOKUP("UD",'Informacion '!P:Q,2,FALSE),"")</f>
        <v>Unidad</v>
      </c>
      <c r="D4421" s="25">
        <v>10</v>
      </c>
      <c r="E4421" s="28">
        <v>450</v>
      </c>
      <c r="F4421" s="27">
        <f t="shared" ca="1" si="130"/>
        <v>4500</v>
      </c>
    </row>
    <row r="4422" spans="1:6" ht="14.25" customHeight="1" x14ac:dyDescent="0.25">
      <c r="A4422" s="25" t="s">
        <v>635</v>
      </c>
      <c r="B4422" s="26" t="str">
        <f t="shared" ca="1" si="132"/>
        <v>Breakers de circuito</v>
      </c>
      <c r="C4422" s="58" t="str">
        <f>IFERROR(VLOOKUP("UD",'Informacion '!P:Q,2,FALSE),"")</f>
        <v>Unidad</v>
      </c>
      <c r="D4422" s="25">
        <v>15</v>
      </c>
      <c r="E4422" s="28">
        <v>435</v>
      </c>
      <c r="F4422" s="27">
        <f t="shared" ca="1" si="130"/>
        <v>6525</v>
      </c>
    </row>
    <row r="4423" spans="1:6" ht="14.25" customHeight="1" x14ac:dyDescent="0.25">
      <c r="A4423" s="25" t="s">
        <v>635</v>
      </c>
      <c r="B4423" s="26" t="str">
        <f t="shared" ca="1" si="132"/>
        <v>Breakers de circuito</v>
      </c>
      <c r="C4423" s="58" t="str">
        <f>IFERROR(VLOOKUP("UD",'Informacion '!P:Q,2,FALSE),"")</f>
        <v>Unidad</v>
      </c>
      <c r="D4423" s="25">
        <v>15</v>
      </c>
      <c r="E4423" s="28">
        <v>681.52</v>
      </c>
      <c r="F4423" s="27">
        <f t="shared" ca="1" si="130"/>
        <v>10222.799999999999</v>
      </c>
    </row>
    <row r="4424" spans="1:6" ht="14.25" customHeight="1" x14ac:dyDescent="0.25">
      <c r="A4424" s="25" t="s">
        <v>635</v>
      </c>
      <c r="B4424" s="26" t="str">
        <f t="shared" ca="1" si="132"/>
        <v>Breakers de circuito</v>
      </c>
      <c r="C4424" s="58" t="str">
        <f>IFERROR(VLOOKUP("UD",'Informacion '!P:Q,2,FALSE),"")</f>
        <v>Unidad</v>
      </c>
      <c r="D4424" s="25">
        <v>10</v>
      </c>
      <c r="E4424" s="28">
        <v>307.69</v>
      </c>
      <c r="F4424" s="27">
        <f t="shared" ca="1" si="130"/>
        <v>3076.9</v>
      </c>
    </row>
    <row r="4425" spans="1:6" ht="14.25" customHeight="1" x14ac:dyDescent="0.25">
      <c r="A4425" s="25" t="s">
        <v>635</v>
      </c>
      <c r="B4425" s="26" t="str">
        <f t="shared" ca="1" si="132"/>
        <v>Breakers de circuito</v>
      </c>
      <c r="C4425" s="58" t="str">
        <f>IFERROR(VLOOKUP("UD",'Informacion '!P:Q,2,FALSE),"")</f>
        <v>Unidad</v>
      </c>
      <c r="D4425" s="25">
        <v>20</v>
      </c>
      <c r="E4425" s="28">
        <v>155.29</v>
      </c>
      <c r="F4425" s="27">
        <f t="shared" ref="F4425:F4449" ca="1" si="133">INDIRECT(ADDRESS(ROW(),COLUMN()-2,4))*INDIRECT(ADDRESS(ROW(),COLUMN()-1,4))</f>
        <v>3105.7999999999997</v>
      </c>
    </row>
    <row r="4426" spans="1:6" ht="14.25" customHeight="1" x14ac:dyDescent="0.25">
      <c r="A4426" s="25" t="s">
        <v>635</v>
      </c>
      <c r="B4426" s="26" t="str">
        <f t="shared" ca="1" si="132"/>
        <v>Breakers de circuito</v>
      </c>
      <c r="C4426" s="58" t="str">
        <f>IFERROR(VLOOKUP("UD",'Informacion '!P:Q,2,FALSE),"")</f>
        <v>Unidad</v>
      </c>
      <c r="D4426" s="25">
        <v>20</v>
      </c>
      <c r="E4426" s="28">
        <v>250.5</v>
      </c>
      <c r="F4426" s="27">
        <f t="shared" ca="1" si="133"/>
        <v>5010</v>
      </c>
    </row>
    <row r="4427" spans="1:6" ht="14.25" customHeight="1" x14ac:dyDescent="0.25">
      <c r="A4427" s="25" t="s">
        <v>635</v>
      </c>
      <c r="B4427" s="26" t="str">
        <f t="shared" ca="1" si="132"/>
        <v>Breakers de circuito</v>
      </c>
      <c r="C4427" s="58" t="str">
        <f>IFERROR(VLOOKUP("UD",'Informacion '!P:Q,2,FALSE),"")</f>
        <v>Unidad</v>
      </c>
      <c r="D4427" s="25">
        <v>20</v>
      </c>
      <c r="E4427" s="28">
        <v>307.69</v>
      </c>
      <c r="F4427" s="27">
        <f t="shared" ca="1" si="133"/>
        <v>6153.8</v>
      </c>
    </row>
    <row r="4428" spans="1:6" ht="14.25" customHeight="1" x14ac:dyDescent="0.25">
      <c r="A4428" s="25" t="s">
        <v>635</v>
      </c>
      <c r="B4428" s="26" t="str">
        <f t="shared" ca="1" si="132"/>
        <v>Breakers de circuito</v>
      </c>
      <c r="C4428" s="58" t="str">
        <f>IFERROR(VLOOKUP("UD",'Informacion '!P:Q,2,FALSE),"")</f>
        <v>Unidad</v>
      </c>
      <c r="D4428" s="25">
        <v>20</v>
      </c>
      <c r="E4428" s="28">
        <v>2052.48</v>
      </c>
      <c r="F4428" s="27">
        <f t="shared" ca="1" si="133"/>
        <v>41049.599999999999</v>
      </c>
    </row>
    <row r="4429" spans="1:6" ht="14.25" customHeight="1" x14ac:dyDescent="0.25">
      <c r="A4429" s="25" t="s">
        <v>635</v>
      </c>
      <c r="B4429" s="26" t="str">
        <f t="shared" ca="1" si="132"/>
        <v>Breakers de circuito</v>
      </c>
      <c r="C4429" s="58" t="str">
        <f>IFERROR(VLOOKUP("UD",'Informacion '!P:Q,2,FALSE),"")</f>
        <v>Unidad</v>
      </c>
      <c r="D4429" s="25">
        <v>20</v>
      </c>
      <c r="E4429" s="28">
        <v>2052.48</v>
      </c>
      <c r="F4429" s="27">
        <f t="shared" ca="1" si="133"/>
        <v>41049.599999999999</v>
      </c>
    </row>
    <row r="4430" spans="1:6" ht="14.25" customHeight="1" x14ac:dyDescent="0.25">
      <c r="A4430" s="25" t="s">
        <v>635</v>
      </c>
      <c r="B4430" s="26" t="str">
        <f t="shared" ca="1" si="132"/>
        <v>Breakers de circuito</v>
      </c>
      <c r="C4430" s="58" t="str">
        <f>IFERROR(VLOOKUP("UD",'Informacion '!P:Q,2,FALSE),"")</f>
        <v>Unidad</v>
      </c>
      <c r="D4430" s="25">
        <v>5</v>
      </c>
      <c r="E4430" s="28">
        <v>510</v>
      </c>
      <c r="F4430" s="27">
        <f t="shared" ca="1" si="133"/>
        <v>2550</v>
      </c>
    </row>
    <row r="4431" spans="1:6" ht="14.25" customHeight="1" x14ac:dyDescent="0.25">
      <c r="A4431" s="25" t="s">
        <v>635</v>
      </c>
      <c r="B4431" s="26" t="str">
        <f t="shared" ca="1" si="132"/>
        <v>Breakers de circuito</v>
      </c>
      <c r="C4431" s="58" t="str">
        <f>IFERROR(VLOOKUP("UD",'Informacion '!P:Q,2,FALSE),"")</f>
        <v>Unidad</v>
      </c>
      <c r="D4431" s="25">
        <v>2</v>
      </c>
      <c r="E4431" s="28">
        <v>205</v>
      </c>
      <c r="F4431" s="27">
        <f t="shared" ca="1" si="133"/>
        <v>410</v>
      </c>
    </row>
    <row r="4432" spans="1:6" ht="14.25" customHeight="1" x14ac:dyDescent="0.25">
      <c r="A4432" s="25" t="s">
        <v>653</v>
      </c>
      <c r="B4432" s="26" t="str">
        <f ca="1">IFERROR(INDEX(UNSPSCDes,MATCH(INDIRECT(ADDRESS(ROW(),COLUMN()-1,4)),UNSPSCCode,0)),IF(INDIRECT(ADDRESS(ROW(),COLUMN()-1,4))="40142110","Tubería de cobre",""))</f>
        <v>Tubería de cobre</v>
      </c>
      <c r="C4432" s="58" t="str">
        <f>IFERROR(VLOOKUP("UD",'Informacion '!P:Q,2,FALSE),"")</f>
        <v>Unidad</v>
      </c>
      <c r="D4432" s="25">
        <v>5</v>
      </c>
      <c r="E4432" s="28">
        <v>550.02</v>
      </c>
      <c r="F4432" s="27">
        <f t="shared" ca="1" si="133"/>
        <v>2750.1</v>
      </c>
    </row>
    <row r="4433" spans="1:6" ht="14.25" customHeight="1" x14ac:dyDescent="0.25">
      <c r="A4433" s="25" t="s">
        <v>743</v>
      </c>
      <c r="B4433" s="26" t="str">
        <f ca="1">IFERROR(INDEX(UNSPSCDes,MATCH(INDIRECT(ADDRESS(ROW(),COLUMN()-1,4)),UNSPSCCode,0)),IF(INDIRECT(ADDRESS(ROW(),COLUMN()-1,4))="31162906","Abrazaderas de manguera o tubo",""))</f>
        <v>Abrazaderas de manguera o tubo</v>
      </c>
      <c r="C4433" s="58" t="str">
        <f>IFERROR(VLOOKUP("UD",'Informacion '!P:Q,2,FALSE),"")</f>
        <v>Unidad</v>
      </c>
      <c r="D4433" s="25">
        <v>50</v>
      </c>
      <c r="E4433" s="28">
        <v>79.400000000000006</v>
      </c>
      <c r="F4433" s="27">
        <f t="shared" ca="1" si="133"/>
        <v>3970.0000000000005</v>
      </c>
    </row>
    <row r="4434" spans="1:6" ht="14.25" customHeight="1" x14ac:dyDescent="0.25">
      <c r="A4434" s="25" t="s">
        <v>743</v>
      </c>
      <c r="B4434" s="26" t="str">
        <f ca="1">IFERROR(INDEX(UNSPSCDes,MATCH(INDIRECT(ADDRESS(ROW(),COLUMN()-1,4)),UNSPSCCode,0)),IF(INDIRECT(ADDRESS(ROW(),COLUMN()-1,4))="31162906","Abrazaderas de manguera o tubo",""))</f>
        <v>Abrazaderas de manguera o tubo</v>
      </c>
      <c r="C4434" s="58" t="str">
        <f>IFERROR(VLOOKUP("UD",'Informacion '!P:Q,2,FALSE),"")</f>
        <v>Unidad</v>
      </c>
      <c r="D4434" s="25">
        <v>100</v>
      </c>
      <c r="E4434" s="28">
        <v>79.41</v>
      </c>
      <c r="F4434" s="27">
        <f t="shared" ca="1" si="133"/>
        <v>7941</v>
      </c>
    </row>
    <row r="4435" spans="1:6" ht="14.25" customHeight="1" x14ac:dyDescent="0.25">
      <c r="A4435" s="25" t="s">
        <v>743</v>
      </c>
      <c r="B4435" s="26" t="str">
        <f ca="1">IFERROR(INDEX(UNSPSCDes,MATCH(INDIRECT(ADDRESS(ROW(),COLUMN()-1,4)),UNSPSCCode,0)),IF(INDIRECT(ADDRESS(ROW(),COLUMN()-1,4))="31162906","Abrazaderas de manguera o tubo",""))</f>
        <v>Abrazaderas de manguera o tubo</v>
      </c>
      <c r="C4435" s="58" t="str">
        <f>IFERROR(VLOOKUP("UD",'Informacion '!P:Q,2,FALSE),"")</f>
        <v>Unidad</v>
      </c>
      <c r="D4435" s="25">
        <v>50</v>
      </c>
      <c r="E4435" s="28">
        <v>79.41</v>
      </c>
      <c r="F4435" s="27">
        <f t="shared" ca="1" si="133"/>
        <v>3970.5</v>
      </c>
    </row>
    <row r="4436" spans="1:6" ht="14.25" customHeight="1" x14ac:dyDescent="0.25">
      <c r="A4436" s="25" t="s">
        <v>909</v>
      </c>
      <c r="B4436" s="26" t="str">
        <f ca="1">IFERROR(INDEX(UNSPSCDes,MATCH(INDIRECT(ADDRESS(ROW(),COLUMN()-1,4)),UNSPSCCode,0)),IF(INDIRECT(ADDRESS(ROW(),COLUMN()-1,4))="39121434","Conectores de tubos metálicos eléctricos (emt)",""))</f>
        <v>Conectores de tubos metálicos eléctricos (emt)</v>
      </c>
      <c r="C4436" s="58" t="str">
        <f>IFERROR(VLOOKUP("UD",'Informacion '!P:Q,2,FALSE),"")</f>
        <v>Unidad</v>
      </c>
      <c r="D4436" s="25">
        <v>20</v>
      </c>
      <c r="E4436" s="28">
        <v>299</v>
      </c>
      <c r="F4436" s="27">
        <f t="shared" ca="1" si="133"/>
        <v>5980</v>
      </c>
    </row>
    <row r="4437" spans="1:6" ht="14.25" customHeight="1" x14ac:dyDescent="0.25">
      <c r="A4437" s="25" t="s">
        <v>653</v>
      </c>
      <c r="B4437" s="26" t="str">
        <f ca="1">IFERROR(INDEX(UNSPSCDes,MATCH(INDIRECT(ADDRESS(ROW(),COLUMN()-1,4)),UNSPSCCode,0)),IF(INDIRECT(ADDRESS(ROW(),COLUMN()-1,4))="40142110","Tubería de cobre",""))</f>
        <v>Tubería de cobre</v>
      </c>
      <c r="C4437" s="58" t="str">
        <f>IFERROR(VLOOKUP("UD",'Informacion '!P:Q,2,FALSE),"")</f>
        <v>Unidad</v>
      </c>
      <c r="D4437" s="25">
        <v>10</v>
      </c>
      <c r="E4437" s="28">
        <v>299</v>
      </c>
      <c r="F4437" s="27">
        <f t="shared" ca="1" si="133"/>
        <v>2990</v>
      </c>
    </row>
    <row r="4438" spans="1:6" ht="14.25" customHeight="1" x14ac:dyDescent="0.25">
      <c r="A4438" s="25" t="s">
        <v>909</v>
      </c>
      <c r="B4438" s="26" t="str">
        <f ca="1">IFERROR(INDEX(UNSPSCDes,MATCH(INDIRECT(ADDRESS(ROW(),COLUMN()-1,4)),UNSPSCCode,0)),IF(INDIRECT(ADDRESS(ROW(),COLUMN()-1,4))="39121434","Conectores de tubos metálicos eléctricos (emt)",""))</f>
        <v>Conectores de tubos metálicos eléctricos (emt)</v>
      </c>
      <c r="C4438" s="58" t="str">
        <f>IFERROR(VLOOKUP("UD",'Informacion '!P:Q,2,FALSE),"")</f>
        <v>Unidad</v>
      </c>
      <c r="D4438" s="25">
        <v>30</v>
      </c>
      <c r="E4438" s="28">
        <v>116.95</v>
      </c>
      <c r="F4438" s="27">
        <f t="shared" ca="1" si="133"/>
        <v>3508.5</v>
      </c>
    </row>
    <row r="4439" spans="1:6" ht="14.25" customHeight="1" x14ac:dyDescent="0.25">
      <c r="A4439" s="25" t="s">
        <v>909</v>
      </c>
      <c r="B4439" s="26" t="str">
        <f ca="1">IFERROR(INDEX(UNSPSCDes,MATCH(INDIRECT(ADDRESS(ROW(),COLUMN()-1,4)),UNSPSCCode,0)),IF(INDIRECT(ADDRESS(ROW(),COLUMN()-1,4))="39121434","Conectores de tubos metálicos eléctricos (emt)",""))</f>
        <v>Conectores de tubos metálicos eléctricos (emt)</v>
      </c>
      <c r="C4439" s="58" t="str">
        <f>IFERROR(VLOOKUP("UD",'Informacion '!P:Q,2,FALSE),"")</f>
        <v>Unidad</v>
      </c>
      <c r="D4439" s="25">
        <v>30</v>
      </c>
      <c r="E4439" s="28">
        <v>116.95</v>
      </c>
      <c r="F4439" s="27">
        <f t="shared" ca="1" si="133"/>
        <v>3508.5</v>
      </c>
    </row>
    <row r="4440" spans="1:6" ht="14.25" customHeight="1" x14ac:dyDescent="0.25">
      <c r="A4440" s="25" t="s">
        <v>909</v>
      </c>
      <c r="B4440" s="26" t="str">
        <f ca="1">IFERROR(INDEX(UNSPSCDes,MATCH(INDIRECT(ADDRESS(ROW(),COLUMN()-1,4)),UNSPSCCode,0)),IF(INDIRECT(ADDRESS(ROW(),COLUMN()-1,4))="39121434","Conectores de tubos metálicos eléctricos (emt)",""))</f>
        <v>Conectores de tubos metálicos eléctricos (emt)</v>
      </c>
      <c r="C4440" s="58" t="str">
        <f>IFERROR(VLOOKUP("UD",'Informacion '!P:Q,2,FALSE),"")</f>
        <v>Unidad</v>
      </c>
      <c r="D4440" s="25">
        <v>30</v>
      </c>
      <c r="E4440" s="28">
        <v>116.95</v>
      </c>
      <c r="F4440" s="27">
        <f t="shared" ca="1" si="133"/>
        <v>3508.5</v>
      </c>
    </row>
    <row r="4441" spans="1:6" ht="14.25" customHeight="1" x14ac:dyDescent="0.25">
      <c r="A4441" s="25" t="s">
        <v>653</v>
      </c>
      <c r="B4441" s="26" t="str">
        <f ca="1">IFERROR(INDEX(UNSPSCDes,MATCH(INDIRECT(ADDRESS(ROW(),COLUMN()-1,4)),UNSPSCCode,0)),IF(INDIRECT(ADDRESS(ROW(),COLUMN()-1,4))="40142110","Tubería de cobre",""))</f>
        <v>Tubería de cobre</v>
      </c>
      <c r="C4441" s="58" t="str">
        <f>IFERROR(VLOOKUP("UD",'Informacion '!P:Q,2,FALSE),"")</f>
        <v>Unidad</v>
      </c>
      <c r="D4441" s="25">
        <v>10</v>
      </c>
      <c r="E4441" s="28">
        <v>147.5</v>
      </c>
      <c r="F4441" s="27">
        <f t="shared" ca="1" si="133"/>
        <v>1475</v>
      </c>
    </row>
    <row r="4442" spans="1:6" ht="14.25" customHeight="1" x14ac:dyDescent="0.25">
      <c r="A4442" s="25" t="s">
        <v>743</v>
      </c>
      <c r="B4442" s="26" t="str">
        <f ca="1">IFERROR(INDEX(UNSPSCDes,MATCH(INDIRECT(ADDRESS(ROW(),COLUMN()-1,4)),UNSPSCCode,0)),IF(INDIRECT(ADDRESS(ROW(),COLUMN()-1,4))="31162906","Abrazaderas de manguera o tubo",""))</f>
        <v>Abrazaderas de manguera o tubo</v>
      </c>
      <c r="C4442" s="58" t="str">
        <f>IFERROR(VLOOKUP("UD",'Informacion '!P:Q,2,FALSE),"")</f>
        <v>Unidad</v>
      </c>
      <c r="D4442" s="25">
        <v>50</v>
      </c>
      <c r="E4442" s="28">
        <v>79.41</v>
      </c>
      <c r="F4442" s="27">
        <f t="shared" ca="1" si="133"/>
        <v>3970.5</v>
      </c>
    </row>
    <row r="4443" spans="1:6" ht="14.25" customHeight="1" x14ac:dyDescent="0.25">
      <c r="A4443" s="25" t="s">
        <v>743</v>
      </c>
      <c r="B4443" s="26" t="str">
        <f ca="1">IFERROR(INDEX(UNSPSCDes,MATCH(INDIRECT(ADDRESS(ROW(),COLUMN()-1,4)),UNSPSCCode,0)),IF(INDIRECT(ADDRESS(ROW(),COLUMN()-1,4))="31162906","Abrazaderas de manguera o tubo",""))</f>
        <v>Abrazaderas de manguera o tubo</v>
      </c>
      <c r="C4443" s="58" t="str">
        <f>IFERROR(VLOOKUP("UD",'Informacion '!P:Q,2,FALSE),"")</f>
        <v>Unidad</v>
      </c>
      <c r="D4443" s="25">
        <v>100</v>
      </c>
      <c r="E4443" s="28">
        <v>77.42</v>
      </c>
      <c r="F4443" s="27">
        <f t="shared" ca="1" si="133"/>
        <v>7742</v>
      </c>
    </row>
    <row r="4444" spans="1:6" ht="14.25" customHeight="1" x14ac:dyDescent="0.25">
      <c r="A4444" s="25" t="s">
        <v>909</v>
      </c>
      <c r="B4444" s="26" t="str">
        <f ca="1">IFERROR(INDEX(UNSPSCDes,MATCH(INDIRECT(ADDRESS(ROW(),COLUMN()-1,4)),UNSPSCCode,0)),IF(INDIRECT(ADDRESS(ROW(),COLUMN()-1,4))="39121434","Conectores de tubos metálicos eléctricos (emt)",""))</f>
        <v>Conectores de tubos metálicos eléctricos (emt)</v>
      </c>
      <c r="C4444" s="58" t="str">
        <f>IFERROR(VLOOKUP("UD",'Informacion '!P:Q,2,FALSE),"")</f>
        <v>Unidad</v>
      </c>
      <c r="D4444" s="25">
        <v>30</v>
      </c>
      <c r="E4444" s="28">
        <v>56.13</v>
      </c>
      <c r="F4444" s="27">
        <f t="shared" ca="1" si="133"/>
        <v>1683.9</v>
      </c>
    </row>
    <row r="4445" spans="1:6" ht="14.25" customHeight="1" x14ac:dyDescent="0.25">
      <c r="A4445" s="25" t="s">
        <v>909</v>
      </c>
      <c r="B4445" s="26" t="str">
        <f ca="1">IFERROR(INDEX(UNSPSCDes,MATCH(INDIRECT(ADDRESS(ROW(),COLUMN()-1,4)),UNSPSCCode,0)),IF(INDIRECT(ADDRESS(ROW(),COLUMN()-1,4))="39121434","Conectores de tubos metálicos eléctricos (emt)",""))</f>
        <v>Conectores de tubos metálicos eléctricos (emt)</v>
      </c>
      <c r="C4445" s="58" t="str">
        <f>IFERROR(VLOOKUP("UD",'Informacion '!P:Q,2,FALSE),"")</f>
        <v>Unidad</v>
      </c>
      <c r="D4445" s="25">
        <v>30</v>
      </c>
      <c r="E4445" s="28">
        <v>166.89</v>
      </c>
      <c r="F4445" s="27">
        <f t="shared" ca="1" si="133"/>
        <v>5006.7</v>
      </c>
    </row>
    <row r="4446" spans="1:6" ht="14.25" customHeight="1" x14ac:dyDescent="0.25">
      <c r="A4446" s="25" t="s">
        <v>428</v>
      </c>
      <c r="B4446" s="26" t="str">
        <f ca="1">IFERROR(INDEX(UNSPSCDes,MATCH(INDIRECT(ADDRESS(ROW(),COLUMN()-1,4)),UNSPSCCode,0)),IF(INDIRECT(ADDRESS(ROW(),COLUMN()-1,4))="39101603","Lámparas solares",""))</f>
        <v>Lámparas solares</v>
      </c>
      <c r="C4446" s="58" t="str">
        <f>IFERROR(VLOOKUP("UD",'Informacion '!P:Q,2,FALSE),"")</f>
        <v>Unidad</v>
      </c>
      <c r="D4446" s="25">
        <v>20</v>
      </c>
      <c r="E4446" s="28">
        <v>312.45999999999998</v>
      </c>
      <c r="F4446" s="27">
        <f t="shared" ca="1" si="133"/>
        <v>6249.2</v>
      </c>
    </row>
    <row r="4447" spans="1:6" ht="14.25" customHeight="1" x14ac:dyDescent="0.25">
      <c r="A4447" s="25" t="s">
        <v>428</v>
      </c>
      <c r="B4447" s="26" t="str">
        <f ca="1">IFERROR(INDEX(UNSPSCDes,MATCH(INDIRECT(ADDRESS(ROW(),COLUMN()-1,4)),UNSPSCCode,0)),IF(INDIRECT(ADDRESS(ROW(),COLUMN()-1,4))="39101603","Lámparas solares",""))</f>
        <v>Lámparas solares</v>
      </c>
      <c r="C4447" s="58" t="str">
        <f>IFERROR(VLOOKUP("UD",'Informacion '!P:Q,2,FALSE),"")</f>
        <v>Unidad</v>
      </c>
      <c r="D4447" s="25">
        <v>30</v>
      </c>
      <c r="E4447" s="28">
        <v>3500</v>
      </c>
      <c r="F4447" s="27">
        <f t="shared" ca="1" si="133"/>
        <v>105000</v>
      </c>
    </row>
    <row r="4448" spans="1:6" ht="14.25" customHeight="1" x14ac:dyDescent="0.25">
      <c r="A4448" s="25" t="s">
        <v>428</v>
      </c>
      <c r="B4448" s="26" t="str">
        <f ca="1">IFERROR(INDEX(UNSPSCDes,MATCH(INDIRECT(ADDRESS(ROW(),COLUMN()-1,4)),UNSPSCCode,0)),IF(INDIRECT(ADDRESS(ROW(),COLUMN()-1,4))="39101603","Lámparas solares",""))</f>
        <v>Lámparas solares</v>
      </c>
      <c r="C4448" s="58" t="str">
        <f>IFERROR(VLOOKUP("UD",'Informacion '!P:Q,2,FALSE),"")</f>
        <v>Unidad</v>
      </c>
      <c r="D4448" s="25">
        <v>30</v>
      </c>
      <c r="E4448" s="28">
        <v>3500</v>
      </c>
      <c r="F4448" s="27">
        <f t="shared" ca="1" si="133"/>
        <v>105000</v>
      </c>
    </row>
    <row r="4449" spans="1:10" ht="14.25" customHeight="1" x14ac:dyDescent="0.25">
      <c r="A4449" s="25" t="s">
        <v>743</v>
      </c>
      <c r="B4449" s="26" t="str">
        <f ca="1">IFERROR(INDEX(UNSPSCDes,MATCH(INDIRECT(ADDRESS(ROW(),COLUMN()-1,4)),UNSPSCCode,0)),IF(INDIRECT(ADDRESS(ROW(),COLUMN()-1,4))="31162906","Abrazaderas de manguera o tubo",""))</f>
        <v>Abrazaderas de manguera o tubo</v>
      </c>
      <c r="C4449" s="58" t="str">
        <f>IFERROR(VLOOKUP("UD",'Informacion '!P:Q,2,FALSE),"")</f>
        <v>Unidad</v>
      </c>
      <c r="D4449" s="25">
        <v>10</v>
      </c>
      <c r="E4449" s="28">
        <v>1206.33</v>
      </c>
      <c r="F4449" s="27">
        <f t="shared" ca="1" si="133"/>
        <v>12063.3</v>
      </c>
    </row>
    <row r="4450" spans="1:10" ht="14.25" customHeight="1" x14ac:dyDescent="0.25">
      <c r="E4450" s="30" t="s">
        <v>816</v>
      </c>
      <c r="F4450" s="31">
        <f ca="1">SUM(Table228[MONTO TOTAL ESTIMADO])</f>
        <v>1401269.1500000004</v>
      </c>
      <c r="H4450" s="21" t="str">
        <f>C4386</f>
        <v>Bienes</v>
      </c>
      <c r="I4450" s="21" t="str">
        <f>E4386</f>
        <v>Sí</v>
      </c>
      <c r="J4450" s="21" t="str">
        <f>D4386</f>
        <v>Compras Menores</v>
      </c>
    </row>
    <row r="4452" spans="1:10" ht="33.950000000000003" customHeight="1" x14ac:dyDescent="0.25">
      <c r="A4452" s="22" t="s">
        <v>1051</v>
      </c>
      <c r="B4452" s="22" t="s">
        <v>11</v>
      </c>
      <c r="C4452" s="22" t="s">
        <v>751</v>
      </c>
      <c r="D4452" s="22" t="s">
        <v>930</v>
      </c>
      <c r="E4452" s="22" t="s">
        <v>699</v>
      </c>
      <c r="F4452" s="22" t="s">
        <v>710</v>
      </c>
    </row>
    <row r="4453" spans="1:10" ht="14.25" customHeight="1" x14ac:dyDescent="0.25">
      <c r="A4453" s="23" t="s">
        <v>501</v>
      </c>
      <c r="B4453" s="23" t="s">
        <v>501</v>
      </c>
      <c r="C4453" s="23" t="s">
        <v>1155</v>
      </c>
      <c r="D4453" s="23" t="s">
        <v>1128</v>
      </c>
      <c r="E4453" s="23" t="s">
        <v>1156</v>
      </c>
      <c r="F4453" s="23" t="s">
        <v>436</v>
      </c>
    </row>
    <row r="4454" spans="1:10" ht="14.25" customHeight="1" x14ac:dyDescent="0.25">
      <c r="A4454" s="68" t="s">
        <v>965</v>
      </c>
      <c r="B4454" s="24" t="s">
        <v>543</v>
      </c>
      <c r="C4454" s="54">
        <v>46267</v>
      </c>
      <c r="D4454" s="68" t="s">
        <v>598</v>
      </c>
      <c r="E4454" s="56" t="s">
        <v>858</v>
      </c>
      <c r="F4454" s="57"/>
    </row>
    <row r="4455" spans="1:10" ht="14.25" customHeight="1" x14ac:dyDescent="0.25">
      <c r="A4455" s="69"/>
      <c r="B4455" s="24" t="s">
        <v>112</v>
      </c>
      <c r="C4455" s="55">
        <f>IF(C4454="","",IF(AND(MONTH(C4454)&gt;=1,MONTH(C4454)&lt;=3),1,IF(AND(MONTH(C4454)&gt;=4,MONTH(C4454)&lt;=6),2,IF(AND(MONTH(C4454)&gt;=7,MONTH(C4454)&lt;=9),3,4))))</f>
        <v>3</v>
      </c>
      <c r="D4455" s="69"/>
      <c r="E4455" s="56" t="s">
        <v>143</v>
      </c>
      <c r="F4455" s="57"/>
    </row>
    <row r="4456" spans="1:10" ht="14.25" customHeight="1" x14ac:dyDescent="0.25">
      <c r="A4456" s="69"/>
      <c r="B4456" s="24" t="s">
        <v>844</v>
      </c>
      <c r="C4456" s="54">
        <v>46293</v>
      </c>
      <c r="D4456" s="69"/>
      <c r="E4456" s="56" t="s">
        <v>183</v>
      </c>
      <c r="F4456" s="57"/>
    </row>
    <row r="4457" spans="1:10" ht="14.25" customHeight="1" x14ac:dyDescent="0.25">
      <c r="A4457" s="69"/>
      <c r="B4457" s="24" t="s">
        <v>112</v>
      </c>
      <c r="C4457" s="55">
        <f>IF(C4456="","",IF(AND(MONTH(C4456)&gt;=1,MONTH(C4456)&lt;=3),1,IF(AND(MONTH(C4456)&gt;=4,MONTH(C4456)&lt;=6),2,IF(AND(MONTH(C4456)&gt;=7,MONTH(C4456)&lt;=9),3,4))))</f>
        <v>3</v>
      </c>
      <c r="D4457" s="69"/>
      <c r="E4457" s="56" t="s">
        <v>865</v>
      </c>
      <c r="F4457" s="57"/>
    </row>
    <row r="4459" spans="1:10" ht="14.25" customHeight="1" x14ac:dyDescent="0.25">
      <c r="A4459" s="29" t="s">
        <v>1017</v>
      </c>
      <c r="B4459" s="29" t="s">
        <v>1042</v>
      </c>
      <c r="C4459" s="29" t="s">
        <v>1011</v>
      </c>
      <c r="D4459" s="29" t="s">
        <v>985</v>
      </c>
      <c r="E4459" s="29" t="s">
        <v>449</v>
      </c>
      <c r="F4459" s="29" t="s">
        <v>989</v>
      </c>
    </row>
    <row r="4460" spans="1:10" ht="14.25" customHeight="1" x14ac:dyDescent="0.25">
      <c r="A4460" s="25" t="s">
        <v>936</v>
      </c>
      <c r="B4460" s="26" t="str">
        <f ca="1">IFERROR(INDEX(UNSPSCDes,MATCH(INDIRECT(ADDRESS(ROW(),COLUMN()-1,4)),UNSPSCCode,0)),IF(INDIRECT(ADDRESS(ROW(),COLUMN()-1,4))="40101604","Ventiladores",""))</f>
        <v>Ventiladores</v>
      </c>
      <c r="C4460" s="58" t="str">
        <f>IFERROR(VLOOKUP("UD",'Informacion '!P:Q,2,FALSE),"")</f>
        <v>Unidad</v>
      </c>
      <c r="D4460" s="25">
        <v>5</v>
      </c>
      <c r="E4460" s="28">
        <v>60000</v>
      </c>
      <c r="F4460" s="27">
        <f t="shared" ref="F4460:F4465" ca="1" si="134">INDIRECT(ADDRESS(ROW(),COLUMN()-2,4))*INDIRECT(ADDRESS(ROW(),COLUMN()-1,4))</f>
        <v>300000</v>
      </c>
    </row>
    <row r="4461" spans="1:10" ht="14.25" customHeight="1" x14ac:dyDescent="0.25">
      <c r="A4461" s="25" t="s">
        <v>890</v>
      </c>
      <c r="B4461" s="26" t="str">
        <f ca="1">IFERROR(INDEX(UNSPSCDes,MATCH(INDIRECT(ADDRESS(ROW(),COLUMN()-1,4)),UNSPSCCode,0)),IF(INDIRECT(ADDRESS(ROW(),COLUMN()-1,4))="40151601","Compresores de aire",""))</f>
        <v>Compresores de aire</v>
      </c>
      <c r="C4461" s="58" t="str">
        <f>IFERROR(VLOOKUP("UD",'Informacion '!P:Q,2,FALSE),"")</f>
        <v>Unidad</v>
      </c>
      <c r="D4461" s="25">
        <v>5</v>
      </c>
      <c r="E4461" s="28">
        <v>18000</v>
      </c>
      <c r="F4461" s="27">
        <f t="shared" ca="1" si="134"/>
        <v>90000</v>
      </c>
    </row>
    <row r="4462" spans="1:10" ht="14.25" customHeight="1" x14ac:dyDescent="0.25">
      <c r="A4462" s="25" t="s">
        <v>1123</v>
      </c>
      <c r="B4462" s="26" t="str">
        <f ca="1">IFERROR(INDEX(UNSPSCDes,MATCH(INDIRECT(ADDRESS(ROW(),COLUMN()-1,4)),UNSPSCCode,0)),IF(INDIRECT(ADDRESS(ROW(),COLUMN()-1,4))="40151607","Compresores refrigerantes",""))</f>
        <v>Compresores refrigerantes</v>
      </c>
      <c r="C4462" s="58" t="str">
        <f>IFERROR(VLOOKUP("UD",'Informacion '!P:Q,2,FALSE),"")</f>
        <v>Unidad</v>
      </c>
      <c r="D4462" s="25">
        <v>5</v>
      </c>
      <c r="E4462" s="28">
        <v>24629.19</v>
      </c>
      <c r="F4462" s="27">
        <f t="shared" ca="1" si="134"/>
        <v>123145.95</v>
      </c>
    </row>
    <row r="4463" spans="1:10" ht="14.25" customHeight="1" x14ac:dyDescent="0.25">
      <c r="A4463" s="25" t="s">
        <v>180</v>
      </c>
      <c r="B4463" s="26" t="str">
        <f ca="1">IFERROR(INDEX(UNSPSCDes,MATCH(INDIRECT(ADDRESS(ROW(),COLUMN()-1,4)),UNSPSCCode,0)),IF(INDIRECT(ADDRESS(ROW(),COLUMN()-1,4))="39121549","Termostato",""))</f>
        <v>Termostato</v>
      </c>
      <c r="C4463" s="58" t="str">
        <f>IFERROR(VLOOKUP("UD",'Informacion '!P:Q,2,FALSE),"")</f>
        <v>Unidad</v>
      </c>
      <c r="D4463" s="25">
        <v>15</v>
      </c>
      <c r="E4463" s="28">
        <v>13400</v>
      </c>
      <c r="F4463" s="27">
        <f t="shared" ca="1" si="134"/>
        <v>201000</v>
      </c>
    </row>
    <row r="4464" spans="1:10" ht="14.25" customHeight="1" x14ac:dyDescent="0.25">
      <c r="A4464" s="25" t="s">
        <v>25</v>
      </c>
      <c r="B4464" s="26" t="str">
        <f ca="1">IFERROR(INDEX(UNSPSCDes,MATCH(INDIRECT(ADDRESS(ROW(),COLUMN()-1,4)),UNSPSCCode,0)),IF(INDIRECT(ADDRESS(ROW(),COLUMN()-1,4))="41103311","Manómetros",""))</f>
        <v>Manómetros</v>
      </c>
      <c r="C4464" s="58" t="str">
        <f>IFERROR(VLOOKUP("UD",'Informacion '!P:Q,2,FALSE),"")</f>
        <v>Unidad</v>
      </c>
      <c r="D4464" s="25">
        <v>4</v>
      </c>
      <c r="E4464" s="28">
        <v>6000</v>
      </c>
      <c r="F4464" s="27">
        <f t="shared" ca="1" si="134"/>
        <v>24000</v>
      </c>
    </row>
    <row r="4465" spans="1:10" ht="14.25" customHeight="1" x14ac:dyDescent="0.25">
      <c r="A4465" s="25" t="s">
        <v>728</v>
      </c>
      <c r="B4465" s="26" t="str">
        <f ca="1">IFERROR(INDEX(UNSPSCDes,MATCH(INDIRECT(ADDRESS(ROW(),COLUMN()-1,4)),UNSPSCCode,0)),IF(INDIRECT(ADDRESS(ROW(),COLUMN()-1,4))="40101704","Unidades de condensación",""))</f>
        <v>Unidades de condensación</v>
      </c>
      <c r="C4465" s="58" t="str">
        <f>IFERROR(VLOOKUP("UD",'Informacion '!P:Q,2,FALSE),"")</f>
        <v>Unidad</v>
      </c>
      <c r="D4465" s="25">
        <v>5</v>
      </c>
      <c r="E4465" s="28">
        <v>70000</v>
      </c>
      <c r="F4465" s="27">
        <f t="shared" ca="1" si="134"/>
        <v>350000</v>
      </c>
    </row>
    <row r="4466" spans="1:10" ht="14.25" customHeight="1" x14ac:dyDescent="0.25">
      <c r="E4466" s="30" t="s">
        <v>816</v>
      </c>
      <c r="F4466" s="31">
        <f ca="1">SUM(Table229[MONTO TOTAL ESTIMADO])</f>
        <v>1088145.95</v>
      </c>
      <c r="H4466" s="21" t="str">
        <f>C4453</f>
        <v>Bienes</v>
      </c>
      <c r="I4466" s="21" t="str">
        <f>E4453</f>
        <v>No</v>
      </c>
      <c r="J4466" s="21" t="str">
        <f>D4453</f>
        <v>Compras Menores</v>
      </c>
    </row>
    <row r="4468" spans="1:10" ht="33.950000000000003" customHeight="1" x14ac:dyDescent="0.25">
      <c r="A4468" s="22" t="s">
        <v>1051</v>
      </c>
      <c r="B4468" s="22" t="s">
        <v>11</v>
      </c>
      <c r="C4468" s="22" t="s">
        <v>751</v>
      </c>
      <c r="D4468" s="22" t="s">
        <v>930</v>
      </c>
      <c r="E4468" s="22" t="s">
        <v>699</v>
      </c>
      <c r="F4468" s="22" t="s">
        <v>710</v>
      </c>
    </row>
    <row r="4469" spans="1:10" ht="14.25" customHeight="1" x14ac:dyDescent="0.25">
      <c r="A4469" s="23" t="s">
        <v>175</v>
      </c>
      <c r="B4469" s="23" t="s">
        <v>175</v>
      </c>
      <c r="C4469" s="23" t="s">
        <v>438</v>
      </c>
      <c r="D4469" s="23" t="s">
        <v>146</v>
      </c>
      <c r="E4469" s="23" t="s">
        <v>1156</v>
      </c>
      <c r="F4469" s="23"/>
    </row>
    <row r="4470" spans="1:10" ht="14.25" customHeight="1" x14ac:dyDescent="0.25">
      <c r="A4470" s="68" t="s">
        <v>965</v>
      </c>
      <c r="B4470" s="24" t="s">
        <v>543</v>
      </c>
      <c r="C4470" s="54">
        <v>46056</v>
      </c>
      <c r="D4470" s="68" t="s">
        <v>598</v>
      </c>
      <c r="E4470" s="56" t="s">
        <v>858</v>
      </c>
      <c r="F4470" s="57" t="s">
        <v>184</v>
      </c>
    </row>
    <row r="4471" spans="1:10" ht="14.25" customHeight="1" x14ac:dyDescent="0.25">
      <c r="A4471" s="69"/>
      <c r="B4471" s="24" t="s">
        <v>112</v>
      </c>
      <c r="C4471" s="55">
        <f>IF(C4470="","",IF(AND(MONTH(C4470)&gt;=1,MONTH(C4470)&lt;=3),1,IF(AND(MONTH(C4470)&gt;=4,MONTH(C4470)&lt;=6),2,IF(AND(MONTH(C4470)&gt;=7,MONTH(C4470)&lt;=9),3,4))))</f>
        <v>1</v>
      </c>
      <c r="D4471" s="69"/>
      <c r="E4471" s="56" t="s">
        <v>143</v>
      </c>
      <c r="F4471" s="57"/>
    </row>
    <row r="4472" spans="1:10" ht="14.25" customHeight="1" x14ac:dyDescent="0.25">
      <c r="A4472" s="69"/>
      <c r="B4472" s="24" t="s">
        <v>844</v>
      </c>
      <c r="C4472" s="54">
        <v>46138</v>
      </c>
      <c r="D4472" s="69"/>
      <c r="E4472" s="56" t="s">
        <v>183</v>
      </c>
      <c r="F4472" s="57"/>
    </row>
    <row r="4473" spans="1:10" ht="14.25" customHeight="1" x14ac:dyDescent="0.25">
      <c r="A4473" s="69"/>
      <c r="B4473" s="24" t="s">
        <v>112</v>
      </c>
      <c r="C4473" s="55">
        <f>IF(C4472="","",IF(AND(MONTH(C4472)&gt;=1,MONTH(C4472)&lt;=3),1,IF(AND(MONTH(C4472)&gt;=4,MONTH(C4472)&lt;=6),2,IF(AND(MONTH(C4472)&gt;=7,MONTH(C4472)&lt;=9),3,4))))</f>
        <v>2</v>
      </c>
      <c r="D4473" s="69"/>
      <c r="E4473" s="56" t="s">
        <v>865</v>
      </c>
      <c r="F4473" s="57"/>
    </row>
    <row r="4475" spans="1:10" ht="14.25" customHeight="1" x14ac:dyDescent="0.25">
      <c r="A4475" s="29" t="s">
        <v>1017</v>
      </c>
      <c r="B4475" s="29" t="s">
        <v>1042</v>
      </c>
      <c r="C4475" s="29" t="s">
        <v>1011</v>
      </c>
      <c r="D4475" s="29" t="s">
        <v>985</v>
      </c>
      <c r="E4475" s="29" t="s">
        <v>449</v>
      </c>
      <c r="F4475" s="29" t="s">
        <v>989</v>
      </c>
    </row>
    <row r="4476" spans="1:10" ht="14.25" customHeight="1" x14ac:dyDescent="0.25">
      <c r="A4476" s="25" t="s">
        <v>1165</v>
      </c>
      <c r="B4476" s="26" t="str">
        <f ca="1">IFERROR(INDEX(UNSPSCDes,MATCH(INDIRECT(ADDRESS(ROW(),COLUMN()-1,4)),UNSPSCCode,0)),IF(INDIRECT(ADDRESS(ROW(),COLUMN()-1,4))="43211503","Computadores notebook",""))</f>
        <v>Computadores notebook</v>
      </c>
      <c r="C4476" s="58" t="str">
        <f>IFERROR(VLOOKUP("UD",'Informacion '!P:Q,2,FALSE),"")</f>
        <v>Unidad</v>
      </c>
      <c r="D4476" s="25">
        <v>5</v>
      </c>
      <c r="E4476" s="28">
        <v>80000</v>
      </c>
      <c r="F4476" s="27">
        <f t="shared" ref="F4476:F4508" ca="1" si="135">INDIRECT(ADDRESS(ROW(),COLUMN()-2,4))*INDIRECT(ADDRESS(ROW(),COLUMN()-1,4))</f>
        <v>400000</v>
      </c>
    </row>
    <row r="4477" spans="1:10" ht="14.25" customHeight="1" x14ac:dyDescent="0.25">
      <c r="A4477" s="25" t="s">
        <v>1165</v>
      </c>
      <c r="B4477" s="26" t="str">
        <f ca="1">IFERROR(INDEX(UNSPSCDes,MATCH(INDIRECT(ADDRESS(ROW(),COLUMN()-1,4)),UNSPSCCode,0)),IF(INDIRECT(ADDRESS(ROW(),COLUMN()-1,4))="43211503","Computadores notebook",""))</f>
        <v>Computadores notebook</v>
      </c>
      <c r="C4477" s="58" t="str">
        <f>IFERROR(VLOOKUP("UD",'Informacion '!P:Q,2,FALSE),"")</f>
        <v>Unidad</v>
      </c>
      <c r="D4477" s="25">
        <v>5</v>
      </c>
      <c r="E4477" s="28">
        <v>80000</v>
      </c>
      <c r="F4477" s="27">
        <f t="shared" ca="1" si="135"/>
        <v>400000</v>
      </c>
    </row>
    <row r="4478" spans="1:10" ht="14.25" customHeight="1" x14ac:dyDescent="0.25">
      <c r="A4478" s="25" t="s">
        <v>1165</v>
      </c>
      <c r="B4478" s="26" t="str">
        <f ca="1">IFERROR(INDEX(UNSPSCDes,MATCH(INDIRECT(ADDRESS(ROW(),COLUMN()-1,4)),UNSPSCCode,0)),IF(INDIRECT(ADDRESS(ROW(),COLUMN()-1,4))="43211503","Computadores notebook",""))</f>
        <v>Computadores notebook</v>
      </c>
      <c r="C4478" s="58" t="str">
        <f>IFERROR(VLOOKUP("UD",'Informacion '!P:Q,2,FALSE),"")</f>
        <v>Unidad</v>
      </c>
      <c r="D4478" s="25">
        <v>2</v>
      </c>
      <c r="E4478" s="28">
        <v>185000</v>
      </c>
      <c r="F4478" s="27">
        <f t="shared" ca="1" si="135"/>
        <v>370000</v>
      </c>
    </row>
    <row r="4479" spans="1:10" ht="14.25" customHeight="1" x14ac:dyDescent="0.25">
      <c r="A4479" s="25" t="s">
        <v>708</v>
      </c>
      <c r="B4479" s="26" t="str">
        <f ca="1">IFERROR(INDEX(UNSPSCDes,MATCH(INDIRECT(ADDRESS(ROW(),COLUMN()-1,4)),UNSPSCCode,0)),IF(INDIRECT(ADDRESS(ROW(),COLUMN()-1,4))="43211507","Computadores de escritorio",""))</f>
        <v>Computadores de escritorio</v>
      </c>
      <c r="C4479" s="58" t="str">
        <f>IFERROR(VLOOKUP("UD",'Informacion '!P:Q,2,FALSE),"")</f>
        <v>Unidad</v>
      </c>
      <c r="D4479" s="25">
        <v>5</v>
      </c>
      <c r="E4479" s="28">
        <v>72000</v>
      </c>
      <c r="F4479" s="27">
        <f t="shared" ca="1" si="135"/>
        <v>360000</v>
      </c>
    </row>
    <row r="4480" spans="1:10" ht="14.25" customHeight="1" x14ac:dyDescent="0.25">
      <c r="A4480" s="25" t="s">
        <v>708</v>
      </c>
      <c r="B4480" s="26" t="str">
        <f ca="1">IFERROR(INDEX(UNSPSCDes,MATCH(INDIRECT(ADDRESS(ROW(),COLUMN()-1,4)),UNSPSCCode,0)),IF(INDIRECT(ADDRESS(ROW(),COLUMN()-1,4))="43211507","Computadores de escritorio",""))</f>
        <v>Computadores de escritorio</v>
      </c>
      <c r="C4480" s="58" t="str">
        <f>IFERROR(VLOOKUP("UD",'Informacion '!P:Q,2,FALSE),"")</f>
        <v>Unidad</v>
      </c>
      <c r="D4480" s="25">
        <v>5</v>
      </c>
      <c r="E4480" s="28">
        <v>72000</v>
      </c>
      <c r="F4480" s="27">
        <f t="shared" ca="1" si="135"/>
        <v>360000</v>
      </c>
    </row>
    <row r="4481" spans="1:6" ht="14.25" customHeight="1" x14ac:dyDescent="0.25">
      <c r="A4481" s="25" t="s">
        <v>708</v>
      </c>
      <c r="B4481" s="26" t="str">
        <f ca="1">IFERROR(INDEX(UNSPSCDes,MATCH(INDIRECT(ADDRESS(ROW(),COLUMN()-1,4)),UNSPSCCode,0)),IF(INDIRECT(ADDRESS(ROW(),COLUMN()-1,4))="43211507","Computadores de escritorio",""))</f>
        <v>Computadores de escritorio</v>
      </c>
      <c r="C4481" s="58" t="str">
        <f>IFERROR(VLOOKUP("UD",'Informacion '!P:Q,2,FALSE),"")</f>
        <v>Unidad</v>
      </c>
      <c r="D4481" s="25">
        <v>5</v>
      </c>
      <c r="E4481" s="28">
        <v>72000</v>
      </c>
      <c r="F4481" s="27">
        <f t="shared" ca="1" si="135"/>
        <v>360000</v>
      </c>
    </row>
    <row r="4482" spans="1:6" ht="14.25" customHeight="1" x14ac:dyDescent="0.25">
      <c r="A4482" s="25" t="s">
        <v>1165</v>
      </c>
      <c r="B4482" s="26" t="str">
        <f t="shared" ref="B4482:B4490" ca="1" si="136">IFERROR(INDEX(UNSPSCDes,MATCH(INDIRECT(ADDRESS(ROW(),COLUMN()-1,4)),UNSPSCCode,0)),IF(INDIRECT(ADDRESS(ROW(),COLUMN()-1,4))="43211503","Computadores notebook",""))</f>
        <v>Computadores notebook</v>
      </c>
      <c r="C4482" s="58" t="str">
        <f>IFERROR(VLOOKUP("UD",'Informacion '!P:Q,2,FALSE),"")</f>
        <v>Unidad</v>
      </c>
      <c r="D4482" s="25">
        <v>3</v>
      </c>
      <c r="E4482" s="28">
        <v>80000</v>
      </c>
      <c r="F4482" s="27">
        <f t="shared" ca="1" si="135"/>
        <v>240000</v>
      </c>
    </row>
    <row r="4483" spans="1:6" ht="14.25" customHeight="1" x14ac:dyDescent="0.25">
      <c r="A4483" s="25" t="s">
        <v>1165</v>
      </c>
      <c r="B4483" s="26" t="str">
        <f t="shared" ca="1" si="136"/>
        <v>Computadores notebook</v>
      </c>
      <c r="C4483" s="58" t="str">
        <f>IFERROR(VLOOKUP("UD",'Informacion '!P:Q,2,FALSE),"")</f>
        <v>Unidad</v>
      </c>
      <c r="D4483" s="25">
        <v>3</v>
      </c>
      <c r="E4483" s="28">
        <v>80000</v>
      </c>
      <c r="F4483" s="27">
        <f t="shared" ca="1" si="135"/>
        <v>240000</v>
      </c>
    </row>
    <row r="4484" spans="1:6" ht="14.25" customHeight="1" x14ac:dyDescent="0.25">
      <c r="A4484" s="25" t="s">
        <v>1165</v>
      </c>
      <c r="B4484" s="26" t="str">
        <f t="shared" ca="1" si="136"/>
        <v>Computadores notebook</v>
      </c>
      <c r="C4484" s="58" t="str">
        <f>IFERROR(VLOOKUP("UD",'Informacion '!P:Q,2,FALSE),"")</f>
        <v>Unidad</v>
      </c>
      <c r="D4484" s="25">
        <v>3</v>
      </c>
      <c r="E4484" s="28">
        <v>80000</v>
      </c>
      <c r="F4484" s="27">
        <f t="shared" ca="1" si="135"/>
        <v>240000</v>
      </c>
    </row>
    <row r="4485" spans="1:6" ht="14.25" customHeight="1" x14ac:dyDescent="0.25">
      <c r="A4485" s="25" t="s">
        <v>1165</v>
      </c>
      <c r="B4485" s="26" t="str">
        <f t="shared" ca="1" si="136"/>
        <v>Computadores notebook</v>
      </c>
      <c r="C4485" s="58" t="str">
        <f>IFERROR(VLOOKUP("UD",'Informacion '!P:Q,2,FALSE),"")</f>
        <v>Unidad</v>
      </c>
      <c r="D4485" s="25">
        <v>3</v>
      </c>
      <c r="E4485" s="28">
        <v>80000</v>
      </c>
      <c r="F4485" s="27">
        <f t="shared" ca="1" si="135"/>
        <v>240000</v>
      </c>
    </row>
    <row r="4486" spans="1:6" ht="14.25" customHeight="1" x14ac:dyDescent="0.25">
      <c r="A4486" s="25" t="s">
        <v>1165</v>
      </c>
      <c r="B4486" s="26" t="str">
        <f t="shared" ca="1" si="136"/>
        <v>Computadores notebook</v>
      </c>
      <c r="C4486" s="58" t="str">
        <f>IFERROR(VLOOKUP("UD",'Informacion '!P:Q,2,FALSE),"")</f>
        <v>Unidad</v>
      </c>
      <c r="D4486" s="25">
        <v>3</v>
      </c>
      <c r="E4486" s="28">
        <v>80000</v>
      </c>
      <c r="F4486" s="27">
        <f t="shared" ca="1" si="135"/>
        <v>240000</v>
      </c>
    </row>
    <row r="4487" spans="1:6" ht="14.25" customHeight="1" x14ac:dyDescent="0.25">
      <c r="A4487" s="25" t="s">
        <v>1165</v>
      </c>
      <c r="B4487" s="26" t="str">
        <f t="shared" ca="1" si="136"/>
        <v>Computadores notebook</v>
      </c>
      <c r="C4487" s="58" t="str">
        <f>IFERROR(VLOOKUP("UD",'Informacion '!P:Q,2,FALSE),"")</f>
        <v>Unidad</v>
      </c>
      <c r="D4487" s="25">
        <v>3</v>
      </c>
      <c r="E4487" s="28">
        <v>80000</v>
      </c>
      <c r="F4487" s="27">
        <f t="shared" ca="1" si="135"/>
        <v>240000</v>
      </c>
    </row>
    <row r="4488" spans="1:6" ht="14.25" customHeight="1" x14ac:dyDescent="0.25">
      <c r="A4488" s="25" t="s">
        <v>1165</v>
      </c>
      <c r="B4488" s="26" t="str">
        <f t="shared" ca="1" si="136"/>
        <v>Computadores notebook</v>
      </c>
      <c r="C4488" s="58" t="str">
        <f>IFERROR(VLOOKUP("UD",'Informacion '!P:Q,2,FALSE),"")</f>
        <v>Unidad</v>
      </c>
      <c r="D4488" s="25">
        <v>3</v>
      </c>
      <c r="E4488" s="28">
        <v>80000</v>
      </c>
      <c r="F4488" s="27">
        <f t="shared" ca="1" si="135"/>
        <v>240000</v>
      </c>
    </row>
    <row r="4489" spans="1:6" ht="14.25" customHeight="1" x14ac:dyDescent="0.25">
      <c r="A4489" s="25" t="s">
        <v>1165</v>
      </c>
      <c r="B4489" s="26" t="str">
        <f t="shared" ca="1" si="136"/>
        <v>Computadores notebook</v>
      </c>
      <c r="C4489" s="58" t="str">
        <f>IFERROR(VLOOKUP("UD",'Informacion '!P:Q,2,FALSE),"")</f>
        <v>Unidad</v>
      </c>
      <c r="D4489" s="25">
        <v>3</v>
      </c>
      <c r="E4489" s="28">
        <v>80000</v>
      </c>
      <c r="F4489" s="27">
        <f t="shared" ca="1" si="135"/>
        <v>240000</v>
      </c>
    </row>
    <row r="4490" spans="1:6" ht="14.25" customHeight="1" x14ac:dyDescent="0.25">
      <c r="A4490" s="25" t="s">
        <v>1165</v>
      </c>
      <c r="B4490" s="26" t="str">
        <f t="shared" ca="1" si="136"/>
        <v>Computadores notebook</v>
      </c>
      <c r="C4490" s="58" t="str">
        <f>IFERROR(VLOOKUP("UD",'Informacion '!P:Q,2,FALSE),"")</f>
        <v>Unidad</v>
      </c>
      <c r="D4490" s="25">
        <v>3</v>
      </c>
      <c r="E4490" s="28">
        <v>80000</v>
      </c>
      <c r="F4490" s="27">
        <f t="shared" ca="1" si="135"/>
        <v>240000</v>
      </c>
    </row>
    <row r="4491" spans="1:6" ht="14.25" customHeight="1" x14ac:dyDescent="0.25">
      <c r="A4491" s="25" t="s">
        <v>708</v>
      </c>
      <c r="B4491" s="26" t="str">
        <f t="shared" ref="B4491:B4502" ca="1" si="137">IFERROR(INDEX(UNSPSCDes,MATCH(INDIRECT(ADDRESS(ROW(),COLUMN()-1,4)),UNSPSCCode,0)),IF(INDIRECT(ADDRESS(ROW(),COLUMN()-1,4))="43211507","Computadores de escritorio",""))</f>
        <v>Computadores de escritorio</v>
      </c>
      <c r="C4491" s="58" t="str">
        <f>IFERROR(VLOOKUP("UD",'Informacion '!P:Q,2,FALSE),"")</f>
        <v>Unidad</v>
      </c>
      <c r="D4491" s="25">
        <v>3</v>
      </c>
      <c r="E4491" s="28">
        <v>72000</v>
      </c>
      <c r="F4491" s="27">
        <f t="shared" ca="1" si="135"/>
        <v>216000</v>
      </c>
    </row>
    <row r="4492" spans="1:6" ht="14.25" customHeight="1" x14ac:dyDescent="0.25">
      <c r="A4492" s="25" t="s">
        <v>708</v>
      </c>
      <c r="B4492" s="26" t="str">
        <f t="shared" ca="1" si="137"/>
        <v>Computadores de escritorio</v>
      </c>
      <c r="C4492" s="58" t="str">
        <f>IFERROR(VLOOKUP("UD",'Informacion '!P:Q,2,FALSE),"")</f>
        <v>Unidad</v>
      </c>
      <c r="D4492" s="25">
        <v>3</v>
      </c>
      <c r="E4492" s="28">
        <v>72000</v>
      </c>
      <c r="F4492" s="27">
        <f t="shared" ca="1" si="135"/>
        <v>216000</v>
      </c>
    </row>
    <row r="4493" spans="1:6" ht="14.25" customHeight="1" x14ac:dyDescent="0.25">
      <c r="A4493" s="25" t="s">
        <v>708</v>
      </c>
      <c r="B4493" s="26" t="str">
        <f t="shared" ca="1" si="137"/>
        <v>Computadores de escritorio</v>
      </c>
      <c r="C4493" s="58" t="str">
        <f>IFERROR(VLOOKUP("UD",'Informacion '!P:Q,2,FALSE),"")</f>
        <v>Unidad</v>
      </c>
      <c r="D4493" s="25">
        <v>3</v>
      </c>
      <c r="E4493" s="28">
        <v>72000</v>
      </c>
      <c r="F4493" s="27">
        <f t="shared" ca="1" si="135"/>
        <v>216000</v>
      </c>
    </row>
    <row r="4494" spans="1:6" ht="14.25" customHeight="1" x14ac:dyDescent="0.25">
      <c r="A4494" s="25" t="s">
        <v>708</v>
      </c>
      <c r="B4494" s="26" t="str">
        <f t="shared" ca="1" si="137"/>
        <v>Computadores de escritorio</v>
      </c>
      <c r="C4494" s="58" t="str">
        <f>IFERROR(VLOOKUP("UD",'Informacion '!P:Q,2,FALSE),"")</f>
        <v>Unidad</v>
      </c>
      <c r="D4494" s="25">
        <v>3</v>
      </c>
      <c r="E4494" s="28">
        <v>72000</v>
      </c>
      <c r="F4494" s="27">
        <f t="shared" ca="1" si="135"/>
        <v>216000</v>
      </c>
    </row>
    <row r="4495" spans="1:6" ht="14.25" customHeight="1" x14ac:dyDescent="0.25">
      <c r="A4495" s="25" t="s">
        <v>708</v>
      </c>
      <c r="B4495" s="26" t="str">
        <f t="shared" ca="1" si="137"/>
        <v>Computadores de escritorio</v>
      </c>
      <c r="C4495" s="58" t="str">
        <f>IFERROR(VLOOKUP("UD",'Informacion '!P:Q,2,FALSE),"")</f>
        <v>Unidad</v>
      </c>
      <c r="D4495" s="25">
        <v>3</v>
      </c>
      <c r="E4495" s="28">
        <v>72000</v>
      </c>
      <c r="F4495" s="27">
        <f t="shared" ca="1" si="135"/>
        <v>216000</v>
      </c>
    </row>
    <row r="4496" spans="1:6" ht="14.25" customHeight="1" x14ac:dyDescent="0.25">
      <c r="A4496" s="25" t="s">
        <v>708</v>
      </c>
      <c r="B4496" s="26" t="str">
        <f t="shared" ca="1" si="137"/>
        <v>Computadores de escritorio</v>
      </c>
      <c r="C4496" s="58" t="str">
        <f>IFERROR(VLOOKUP("UD",'Informacion '!P:Q,2,FALSE),"")</f>
        <v>Unidad</v>
      </c>
      <c r="D4496" s="25">
        <v>3</v>
      </c>
      <c r="E4496" s="28">
        <v>72000</v>
      </c>
      <c r="F4496" s="27">
        <f t="shared" ca="1" si="135"/>
        <v>216000</v>
      </c>
    </row>
    <row r="4497" spans="1:10" ht="14.25" customHeight="1" x14ac:dyDescent="0.25">
      <c r="A4497" s="25" t="s">
        <v>708</v>
      </c>
      <c r="B4497" s="26" t="str">
        <f t="shared" ca="1" si="137"/>
        <v>Computadores de escritorio</v>
      </c>
      <c r="C4497" s="58" t="str">
        <f>IFERROR(VLOOKUP("UD",'Informacion '!P:Q,2,FALSE),"")</f>
        <v>Unidad</v>
      </c>
      <c r="D4497" s="25">
        <v>3</v>
      </c>
      <c r="E4497" s="28">
        <v>72000</v>
      </c>
      <c r="F4497" s="27">
        <f t="shared" ca="1" si="135"/>
        <v>216000</v>
      </c>
    </row>
    <row r="4498" spans="1:10" ht="14.25" customHeight="1" x14ac:dyDescent="0.25">
      <c r="A4498" s="25" t="s">
        <v>708</v>
      </c>
      <c r="B4498" s="26" t="str">
        <f t="shared" ca="1" si="137"/>
        <v>Computadores de escritorio</v>
      </c>
      <c r="C4498" s="58" t="str">
        <f>IFERROR(VLOOKUP("UD",'Informacion '!P:Q,2,FALSE),"")</f>
        <v>Unidad</v>
      </c>
      <c r="D4498" s="25">
        <v>3</v>
      </c>
      <c r="E4498" s="28">
        <v>72000</v>
      </c>
      <c r="F4498" s="27">
        <f t="shared" ca="1" si="135"/>
        <v>216000</v>
      </c>
    </row>
    <row r="4499" spans="1:10" ht="14.25" customHeight="1" x14ac:dyDescent="0.25">
      <c r="A4499" s="25" t="s">
        <v>708</v>
      </c>
      <c r="B4499" s="26" t="str">
        <f t="shared" ca="1" si="137"/>
        <v>Computadores de escritorio</v>
      </c>
      <c r="C4499" s="58" t="str">
        <f>IFERROR(VLOOKUP("UD",'Informacion '!P:Q,2,FALSE),"")</f>
        <v>Unidad</v>
      </c>
      <c r="D4499" s="25">
        <v>3</v>
      </c>
      <c r="E4499" s="28">
        <v>72000</v>
      </c>
      <c r="F4499" s="27">
        <f t="shared" ca="1" si="135"/>
        <v>216000</v>
      </c>
    </row>
    <row r="4500" spans="1:10" ht="14.25" customHeight="1" x14ac:dyDescent="0.25">
      <c r="A4500" s="25" t="s">
        <v>708</v>
      </c>
      <c r="B4500" s="26" t="str">
        <f t="shared" ca="1" si="137"/>
        <v>Computadores de escritorio</v>
      </c>
      <c r="C4500" s="58" t="str">
        <f>IFERROR(VLOOKUP("UD",'Informacion '!P:Q,2,FALSE),"")</f>
        <v>Unidad</v>
      </c>
      <c r="D4500" s="25">
        <v>3</v>
      </c>
      <c r="E4500" s="28">
        <v>72000</v>
      </c>
      <c r="F4500" s="27">
        <f t="shared" ca="1" si="135"/>
        <v>216000</v>
      </c>
    </row>
    <row r="4501" spans="1:10" ht="14.25" customHeight="1" x14ac:dyDescent="0.25">
      <c r="A4501" s="25" t="s">
        <v>708</v>
      </c>
      <c r="B4501" s="26" t="str">
        <f t="shared" ca="1" si="137"/>
        <v>Computadores de escritorio</v>
      </c>
      <c r="C4501" s="58" t="str">
        <f>IFERROR(VLOOKUP("UD",'Informacion '!P:Q,2,FALSE),"")</f>
        <v>Unidad</v>
      </c>
      <c r="D4501" s="25">
        <v>3</v>
      </c>
      <c r="E4501" s="28">
        <v>72000</v>
      </c>
      <c r="F4501" s="27">
        <f t="shared" ca="1" si="135"/>
        <v>216000</v>
      </c>
    </row>
    <row r="4502" spans="1:10" ht="14.25" customHeight="1" x14ac:dyDescent="0.25">
      <c r="A4502" s="25" t="s">
        <v>708</v>
      </c>
      <c r="B4502" s="26" t="str">
        <f t="shared" ca="1" si="137"/>
        <v>Computadores de escritorio</v>
      </c>
      <c r="C4502" s="58" t="str">
        <f>IFERROR(VLOOKUP("UD",'Informacion '!P:Q,2,FALSE),"")</f>
        <v>Unidad</v>
      </c>
      <c r="D4502" s="25">
        <v>3</v>
      </c>
      <c r="E4502" s="28">
        <v>72000</v>
      </c>
      <c r="F4502" s="27">
        <f t="shared" ca="1" si="135"/>
        <v>216000</v>
      </c>
    </row>
    <row r="4503" spans="1:10" ht="14.25" customHeight="1" x14ac:dyDescent="0.25">
      <c r="A4503" s="25" t="s">
        <v>1165</v>
      </c>
      <c r="B4503" s="26" t="str">
        <f ca="1">IFERROR(INDEX(UNSPSCDes,MATCH(INDIRECT(ADDRESS(ROW(),COLUMN()-1,4)),UNSPSCCode,0)),IF(INDIRECT(ADDRESS(ROW(),COLUMN()-1,4))="43211503","Computadores notebook",""))</f>
        <v>Computadores notebook</v>
      </c>
      <c r="C4503" s="58" t="str">
        <f>IFERROR(VLOOKUP("UD",'Informacion '!P:Q,2,FALSE),"")</f>
        <v>Unidad</v>
      </c>
      <c r="D4503" s="25">
        <v>2</v>
      </c>
      <c r="E4503" s="28">
        <v>80000</v>
      </c>
      <c r="F4503" s="27">
        <f t="shared" ca="1" si="135"/>
        <v>160000</v>
      </c>
    </row>
    <row r="4504" spans="1:10" ht="14.25" customHeight="1" x14ac:dyDescent="0.25">
      <c r="A4504" s="25" t="s">
        <v>488</v>
      </c>
      <c r="B4504" s="26" t="str">
        <f ca="1">IFERROR(INDEX(UNSPSCDes,MATCH(INDIRECT(ADDRESS(ROW(),COLUMN()-1,4)),UNSPSCCode,0)),IF(INDIRECT(ADDRESS(ROW(),COLUMN()-1,4))="43211902","Paneles o monitores de pantalla de cristal líquido lcd",""))</f>
        <v>Paneles o monitores de pantalla de cristal líquido lcd</v>
      </c>
      <c r="C4504" s="58" t="str">
        <f>IFERROR(VLOOKUP("UD",'Informacion '!P:Q,2,FALSE),"")</f>
        <v>Unidad</v>
      </c>
      <c r="D4504" s="25">
        <v>5</v>
      </c>
      <c r="E4504" s="28">
        <v>13000</v>
      </c>
      <c r="F4504" s="27">
        <f t="shared" ca="1" si="135"/>
        <v>65000</v>
      </c>
    </row>
    <row r="4505" spans="1:10" ht="14.25" customHeight="1" x14ac:dyDescent="0.25">
      <c r="A4505" s="25" t="s">
        <v>651</v>
      </c>
      <c r="B4505" s="26" t="str">
        <f ca="1">IFERROR(INDEX(UNSPSCDes,MATCH(INDIRECT(ADDRESS(ROW(),COLUMN()-1,4)),UNSPSCCode,0)),IF(INDIRECT(ADDRESS(ROW(),COLUMN()-1,4))="43211711","Escáneres",""))</f>
        <v>Escáneres</v>
      </c>
      <c r="C4505" s="58" t="str">
        <f>IFERROR(VLOOKUP("UD",'Informacion '!P:Q,2,FALSE),"")</f>
        <v>Unidad</v>
      </c>
      <c r="D4505" s="25">
        <v>6</v>
      </c>
      <c r="E4505" s="28">
        <v>20000</v>
      </c>
      <c r="F4505" s="27">
        <f t="shared" ca="1" si="135"/>
        <v>120000</v>
      </c>
    </row>
    <row r="4506" spans="1:10" ht="14.25" customHeight="1" x14ac:dyDescent="0.25">
      <c r="A4506" s="25" t="s">
        <v>708</v>
      </c>
      <c r="B4506" s="26" t="str">
        <f ca="1">IFERROR(INDEX(UNSPSCDes,MATCH(INDIRECT(ADDRESS(ROW(),COLUMN()-1,4)),UNSPSCCode,0)),IF(INDIRECT(ADDRESS(ROW(),COLUMN()-1,4))="43211507","Computadores de escritorio",""))</f>
        <v>Computadores de escritorio</v>
      </c>
      <c r="C4506" s="58" t="str">
        <f>IFERROR(VLOOKUP("UD",'Informacion '!P:Q,2,FALSE),"")</f>
        <v>Unidad</v>
      </c>
      <c r="D4506" s="25">
        <v>5</v>
      </c>
      <c r="E4506" s="28">
        <v>8000</v>
      </c>
      <c r="F4506" s="27">
        <f t="shared" ca="1" si="135"/>
        <v>40000</v>
      </c>
    </row>
    <row r="4507" spans="1:10" ht="14.25" customHeight="1" x14ac:dyDescent="0.25">
      <c r="A4507" s="25" t="s">
        <v>1165</v>
      </c>
      <c r="B4507" s="26" t="str">
        <f ca="1">IFERROR(INDEX(UNSPSCDes,MATCH(INDIRECT(ADDRESS(ROW(),COLUMN()-1,4)),UNSPSCCode,0)),IF(INDIRECT(ADDRESS(ROW(),COLUMN()-1,4))="43211503","Computadores notebook",""))</f>
        <v>Computadores notebook</v>
      </c>
      <c r="C4507" s="58" t="str">
        <f>IFERROR(VLOOKUP("UD",'Informacion '!P:Q,2,FALSE),"")</f>
        <v>Unidad</v>
      </c>
      <c r="D4507" s="25">
        <v>2</v>
      </c>
      <c r="E4507" s="28">
        <v>83200</v>
      </c>
      <c r="F4507" s="27">
        <f t="shared" ca="1" si="135"/>
        <v>166400</v>
      </c>
    </row>
    <row r="4508" spans="1:10" ht="14.25" customHeight="1" x14ac:dyDescent="0.25">
      <c r="A4508" s="25" t="s">
        <v>708</v>
      </c>
      <c r="B4508" s="26" t="str">
        <f ca="1">IFERROR(INDEX(UNSPSCDes,MATCH(INDIRECT(ADDRESS(ROW(),COLUMN()-1,4)),UNSPSCCode,0)),IF(INDIRECT(ADDRESS(ROW(),COLUMN()-1,4))="43211507","Computadores de escritorio",""))</f>
        <v>Computadores de escritorio</v>
      </c>
      <c r="C4508" s="58" t="str">
        <f>IFERROR(VLOOKUP("UD",'Informacion '!P:Q,2,FALSE),"")</f>
        <v>Unidad</v>
      </c>
      <c r="D4508" s="25">
        <v>5</v>
      </c>
      <c r="E4508" s="28">
        <v>30000</v>
      </c>
      <c r="F4508" s="27">
        <f t="shared" ca="1" si="135"/>
        <v>150000</v>
      </c>
    </row>
    <row r="4509" spans="1:10" ht="14.25" customHeight="1" x14ac:dyDescent="0.25">
      <c r="E4509" s="30" t="s">
        <v>816</v>
      </c>
      <c r="F4509" s="31">
        <f ca="1">SUM(Table230[MONTO TOTAL ESTIMADO])</f>
        <v>7703400</v>
      </c>
      <c r="H4509" s="21" t="str">
        <f>C4469</f>
        <v>Servicios</v>
      </c>
      <c r="I4509" s="21" t="str">
        <f>E4469</f>
        <v>No</v>
      </c>
      <c r="J4509" s="21" t="str">
        <f>D4469</f>
        <v>Licitacion Publica</v>
      </c>
    </row>
    <row r="4511" spans="1:10" ht="33.950000000000003" customHeight="1" x14ac:dyDescent="0.25">
      <c r="A4511" s="22" t="s">
        <v>1051</v>
      </c>
      <c r="B4511" s="22" t="s">
        <v>11</v>
      </c>
      <c r="C4511" s="22" t="s">
        <v>751</v>
      </c>
      <c r="D4511" s="22" t="s">
        <v>930</v>
      </c>
      <c r="E4511" s="22" t="s">
        <v>699</v>
      </c>
      <c r="F4511" s="22" t="s">
        <v>710</v>
      </c>
    </row>
    <row r="4512" spans="1:10" ht="14.25" customHeight="1" x14ac:dyDescent="0.25">
      <c r="A4512" s="23" t="s">
        <v>427</v>
      </c>
      <c r="B4512" s="23" t="s">
        <v>892</v>
      </c>
      <c r="C4512" s="23" t="s">
        <v>438</v>
      </c>
      <c r="D4512" s="23" t="s">
        <v>1128</v>
      </c>
      <c r="E4512" s="23" t="s">
        <v>1156</v>
      </c>
      <c r="F4512" s="23"/>
    </row>
    <row r="4513" spans="1:10" ht="14.25" customHeight="1" x14ac:dyDescent="0.25">
      <c r="A4513" s="68" t="s">
        <v>965</v>
      </c>
      <c r="B4513" s="24" t="s">
        <v>543</v>
      </c>
      <c r="C4513" s="54">
        <v>46057</v>
      </c>
      <c r="D4513" s="68" t="s">
        <v>598</v>
      </c>
      <c r="E4513" s="56" t="s">
        <v>858</v>
      </c>
      <c r="F4513" s="57" t="s">
        <v>184</v>
      </c>
    </row>
    <row r="4514" spans="1:10" ht="14.25" customHeight="1" x14ac:dyDescent="0.25">
      <c r="A4514" s="69"/>
      <c r="B4514" s="24" t="s">
        <v>112</v>
      </c>
      <c r="C4514" s="55">
        <f>IF(C4513="","",IF(AND(MONTH(C4513)&gt;=1,MONTH(C4513)&lt;=3),1,IF(AND(MONTH(C4513)&gt;=4,MONTH(C4513)&lt;=6),2,IF(AND(MONTH(C4513)&gt;=7,MONTH(C4513)&lt;=9),3,4))))</f>
        <v>1</v>
      </c>
      <c r="D4514" s="69"/>
      <c r="E4514" s="56" t="s">
        <v>143</v>
      </c>
      <c r="F4514" s="57"/>
    </row>
    <row r="4515" spans="1:10" ht="14.25" customHeight="1" x14ac:dyDescent="0.25">
      <c r="A4515" s="69"/>
      <c r="B4515" s="24" t="s">
        <v>844</v>
      </c>
      <c r="C4515" s="54">
        <v>46085</v>
      </c>
      <c r="D4515" s="69"/>
      <c r="E4515" s="56" t="s">
        <v>183</v>
      </c>
      <c r="F4515" s="57"/>
    </row>
    <row r="4516" spans="1:10" ht="14.25" customHeight="1" x14ac:dyDescent="0.25">
      <c r="A4516" s="69"/>
      <c r="B4516" s="24" t="s">
        <v>112</v>
      </c>
      <c r="C4516" s="55">
        <f>IF(C4515="","",IF(AND(MONTH(C4515)&gt;=1,MONTH(C4515)&lt;=3),1,IF(AND(MONTH(C4515)&gt;=4,MONTH(C4515)&lt;=6),2,IF(AND(MONTH(C4515)&gt;=7,MONTH(C4515)&lt;=9),3,4))))</f>
        <v>1</v>
      </c>
      <c r="D4516" s="69"/>
      <c r="E4516" s="56" t="s">
        <v>865</v>
      </c>
      <c r="F4516" s="57"/>
    </row>
    <row r="4518" spans="1:10" ht="14.25" customHeight="1" x14ac:dyDescent="0.25">
      <c r="A4518" s="29" t="s">
        <v>1017</v>
      </c>
      <c r="B4518" s="29" t="s">
        <v>1042</v>
      </c>
      <c r="C4518" s="29" t="s">
        <v>1011</v>
      </c>
      <c r="D4518" s="29" t="s">
        <v>985</v>
      </c>
      <c r="E4518" s="29" t="s">
        <v>449</v>
      </c>
      <c r="F4518" s="29" t="s">
        <v>989</v>
      </c>
    </row>
    <row r="4519" spans="1:10" ht="14.25" customHeight="1" x14ac:dyDescent="0.25">
      <c r="A4519" s="25" t="s">
        <v>552</v>
      </c>
      <c r="B4519" s="26" t="str">
        <f ca="1">IFERROR(INDEX(UNSPSCDes,MATCH(INDIRECT(ADDRESS(ROW(),COLUMN()-1,4)),UNSPSCCode,0)),IF(INDIRECT(ADDRESS(ROW(),COLUMN()-1,4))="80141602","Servicios de relaciones públicas",""))</f>
        <v>Servicios de relaciones públicas</v>
      </c>
      <c r="C4519" s="58" t="str">
        <f>IFERROR(VLOOKUP("UD",'Informacion '!P:Q,2,FALSE),"")</f>
        <v>Unidad</v>
      </c>
      <c r="D4519" s="25">
        <v>5</v>
      </c>
      <c r="E4519" s="28">
        <v>250000</v>
      </c>
      <c r="F4519" s="27">
        <f ca="1">INDIRECT(ADDRESS(ROW(),COLUMN()-2,4))*INDIRECT(ADDRESS(ROW(),COLUMN()-1,4))</f>
        <v>1250000</v>
      </c>
    </row>
    <row r="4520" spans="1:10" ht="14.25" customHeight="1" x14ac:dyDescent="0.25">
      <c r="E4520" s="30" t="s">
        <v>816</v>
      </c>
      <c r="F4520" s="31">
        <f ca="1">SUM(Table231[MONTO TOTAL ESTIMADO])</f>
        <v>1250000</v>
      </c>
      <c r="H4520" s="21" t="str">
        <f>C4512</f>
        <v>Servicios</v>
      </c>
      <c r="I4520" s="21" t="str">
        <f>E4512</f>
        <v>No</v>
      </c>
      <c r="J4520" s="21" t="str">
        <f>D4512</f>
        <v>Compras Menores</v>
      </c>
    </row>
    <row r="4522" spans="1:10" ht="33.950000000000003" customHeight="1" x14ac:dyDescent="0.25">
      <c r="A4522" s="22" t="s">
        <v>1051</v>
      </c>
      <c r="B4522" s="22" t="s">
        <v>11</v>
      </c>
      <c r="C4522" s="22" t="s">
        <v>751</v>
      </c>
      <c r="D4522" s="22" t="s">
        <v>930</v>
      </c>
      <c r="E4522" s="22" t="s">
        <v>699</v>
      </c>
      <c r="F4522" s="22" t="s">
        <v>710</v>
      </c>
    </row>
    <row r="4523" spans="1:10" ht="14.25" customHeight="1" x14ac:dyDescent="0.25">
      <c r="A4523" s="23" t="s">
        <v>427</v>
      </c>
      <c r="B4523" s="23" t="s">
        <v>892</v>
      </c>
      <c r="C4523" s="23" t="s">
        <v>438</v>
      </c>
      <c r="D4523" s="23" t="s">
        <v>1128</v>
      </c>
      <c r="E4523" s="23" t="s">
        <v>1156</v>
      </c>
      <c r="F4523" s="23" t="s">
        <v>436</v>
      </c>
    </row>
    <row r="4524" spans="1:10" ht="14.25" customHeight="1" x14ac:dyDescent="0.25">
      <c r="A4524" s="68" t="s">
        <v>965</v>
      </c>
      <c r="B4524" s="24" t="s">
        <v>543</v>
      </c>
      <c r="C4524" s="54">
        <v>46117</v>
      </c>
      <c r="D4524" s="68" t="s">
        <v>598</v>
      </c>
      <c r="E4524" s="56" t="s">
        <v>858</v>
      </c>
      <c r="F4524" s="57"/>
    </row>
    <row r="4525" spans="1:10" ht="14.25" customHeight="1" x14ac:dyDescent="0.25">
      <c r="A4525" s="69"/>
      <c r="B4525" s="24" t="s">
        <v>112</v>
      </c>
      <c r="C4525" s="55">
        <f>IF(C4524="","",IF(AND(MONTH(C4524)&gt;=1,MONTH(C4524)&lt;=3),1,IF(AND(MONTH(C4524)&gt;=4,MONTH(C4524)&lt;=6),2,IF(AND(MONTH(C4524)&gt;=7,MONTH(C4524)&lt;=9),3,4))))</f>
        <v>2</v>
      </c>
      <c r="D4525" s="69"/>
      <c r="E4525" s="56" t="s">
        <v>143</v>
      </c>
      <c r="F4525" s="57"/>
    </row>
    <row r="4526" spans="1:10" ht="14.25" customHeight="1" x14ac:dyDescent="0.25">
      <c r="A4526" s="69"/>
      <c r="B4526" s="24" t="s">
        <v>844</v>
      </c>
      <c r="C4526" s="54">
        <v>46147</v>
      </c>
      <c r="D4526" s="69"/>
      <c r="E4526" s="56" t="s">
        <v>183</v>
      </c>
      <c r="F4526" s="57"/>
    </row>
    <row r="4527" spans="1:10" ht="14.25" customHeight="1" x14ac:dyDescent="0.25">
      <c r="A4527" s="69"/>
      <c r="B4527" s="24" t="s">
        <v>112</v>
      </c>
      <c r="C4527" s="55">
        <f>IF(C4526="","",IF(AND(MONTH(C4526)&gt;=1,MONTH(C4526)&lt;=3),1,IF(AND(MONTH(C4526)&gt;=4,MONTH(C4526)&lt;=6),2,IF(AND(MONTH(C4526)&gt;=7,MONTH(C4526)&lt;=9),3,4))))</f>
        <v>2</v>
      </c>
      <c r="D4527" s="69"/>
      <c r="E4527" s="56" t="s">
        <v>865</v>
      </c>
      <c r="F4527" s="57"/>
    </row>
    <row r="4529" spans="1:10" ht="14.25" customHeight="1" x14ac:dyDescent="0.25">
      <c r="A4529" s="29" t="s">
        <v>1017</v>
      </c>
      <c r="B4529" s="29" t="s">
        <v>1042</v>
      </c>
      <c r="C4529" s="29" t="s">
        <v>1011</v>
      </c>
      <c r="D4529" s="29" t="s">
        <v>985</v>
      </c>
      <c r="E4529" s="29" t="s">
        <v>449</v>
      </c>
      <c r="F4529" s="29" t="s">
        <v>989</v>
      </c>
    </row>
    <row r="4530" spans="1:10" ht="14.25" customHeight="1" x14ac:dyDescent="0.25">
      <c r="A4530" s="25" t="s">
        <v>552</v>
      </c>
      <c r="B4530" s="26" t="str">
        <f ca="1">IFERROR(INDEX(UNSPSCDes,MATCH(INDIRECT(ADDRESS(ROW(),COLUMN()-1,4)),UNSPSCCode,0)),IF(INDIRECT(ADDRESS(ROW(),COLUMN()-1,4))="80141602","Servicios de relaciones públicas",""))</f>
        <v>Servicios de relaciones públicas</v>
      </c>
      <c r="C4530" s="58" t="str">
        <f>IFERROR(VLOOKUP("UD",'Informacion '!P:Q,2,FALSE),"")</f>
        <v>Unidad</v>
      </c>
      <c r="D4530" s="25">
        <v>5</v>
      </c>
      <c r="E4530" s="28">
        <v>250000</v>
      </c>
      <c r="F4530" s="27">
        <f ca="1">INDIRECT(ADDRESS(ROW(),COLUMN()-2,4))*INDIRECT(ADDRESS(ROW(),COLUMN()-1,4))</f>
        <v>1250000</v>
      </c>
    </row>
    <row r="4531" spans="1:10" ht="14.25" customHeight="1" x14ac:dyDescent="0.25">
      <c r="E4531" s="30" t="s">
        <v>816</v>
      </c>
      <c r="F4531" s="31">
        <f ca="1">SUM(Table232[MONTO TOTAL ESTIMADO])</f>
        <v>1250000</v>
      </c>
      <c r="H4531" s="21" t="str">
        <f>C4523</f>
        <v>Servicios</v>
      </c>
      <c r="I4531" s="21" t="str">
        <f>E4523</f>
        <v>No</v>
      </c>
      <c r="J4531" s="21" t="str">
        <f>D4523</f>
        <v>Compras Menores</v>
      </c>
    </row>
  </sheetData>
  <protectedRanges>
    <protectedRange sqref="F5:G5" name="Rango3"/>
    <protectedRange sqref="E11:E12" name="Rango2"/>
  </protectedRanges>
  <mergeCells count="468">
    <mergeCell ref="A4454:A4457"/>
    <mergeCell ref="D4454:D4457"/>
    <mergeCell ref="A4470:A4473"/>
    <mergeCell ref="D4470:D4473"/>
    <mergeCell ref="A4513:A4516"/>
    <mergeCell ref="D4513:D4516"/>
    <mergeCell ref="A4524:A4527"/>
    <mergeCell ref="D4524:D4527"/>
    <mergeCell ref="A4212:A4215"/>
    <mergeCell ref="D4212:D4215"/>
    <mergeCell ref="A4266:A4269"/>
    <mergeCell ref="D4266:D4269"/>
    <mergeCell ref="A4319:A4322"/>
    <mergeCell ref="D4319:D4322"/>
    <mergeCell ref="A4373:A4376"/>
    <mergeCell ref="D4373:D4376"/>
    <mergeCell ref="A4387:A4390"/>
    <mergeCell ref="D4387:D4390"/>
    <mergeCell ref="A4044:A4047"/>
    <mergeCell ref="D4044:D4047"/>
    <mergeCell ref="A4078:A4081"/>
    <mergeCell ref="D4078:D4081"/>
    <mergeCell ref="A4132:A4135"/>
    <mergeCell ref="D4132:D4135"/>
    <mergeCell ref="A4147:A4150"/>
    <mergeCell ref="D4147:D4150"/>
    <mergeCell ref="A4158:A4161"/>
    <mergeCell ref="D4158:D4161"/>
    <mergeCell ref="A3892:A3895"/>
    <mergeCell ref="D3892:D3895"/>
    <mergeCell ref="A3984:A3987"/>
    <mergeCell ref="D3984:D3987"/>
    <mergeCell ref="A3998:A4001"/>
    <mergeCell ref="D3998:D4001"/>
    <mergeCell ref="A4009:A4012"/>
    <mergeCell ref="D4009:D4012"/>
    <mergeCell ref="A4033:A4036"/>
    <mergeCell ref="D4033:D4036"/>
    <mergeCell ref="A3811:A3814"/>
    <mergeCell ref="D3811:D3814"/>
    <mergeCell ref="A3822:A3825"/>
    <mergeCell ref="D3822:D3825"/>
    <mergeCell ref="A3852:A3855"/>
    <mergeCell ref="D3852:D3855"/>
    <mergeCell ref="A3863:A3866"/>
    <mergeCell ref="D3863:D3866"/>
    <mergeCell ref="A3881:A3884"/>
    <mergeCell ref="D3881:D3884"/>
    <mergeCell ref="A3712:A3715"/>
    <mergeCell ref="D3712:D3715"/>
    <mergeCell ref="A3765:A3768"/>
    <mergeCell ref="D3765:D3768"/>
    <mergeCell ref="A3777:A3780"/>
    <mergeCell ref="D3777:D3780"/>
    <mergeCell ref="A3788:A3791"/>
    <mergeCell ref="D3788:D3791"/>
    <mergeCell ref="A3799:A3802"/>
    <mergeCell ref="D3799:D3802"/>
    <mergeCell ref="A3538:A3541"/>
    <mergeCell ref="D3538:D3541"/>
    <mergeCell ref="A3549:A3552"/>
    <mergeCell ref="D3549:D3552"/>
    <mergeCell ref="A3560:A3563"/>
    <mergeCell ref="D3560:D3563"/>
    <mergeCell ref="A3686:A3689"/>
    <mergeCell ref="D3686:D3689"/>
    <mergeCell ref="A3698:A3701"/>
    <mergeCell ref="D3698:D3701"/>
    <mergeCell ref="A3482:A3485"/>
    <mergeCell ref="D3482:D3485"/>
    <mergeCell ref="A3493:A3496"/>
    <mergeCell ref="D3493:D3496"/>
    <mergeCell ref="A3504:A3507"/>
    <mergeCell ref="D3504:D3507"/>
    <mergeCell ref="A3515:A3518"/>
    <mergeCell ref="D3515:D3518"/>
    <mergeCell ref="A3526:A3529"/>
    <mergeCell ref="D3526:D3529"/>
    <mergeCell ref="A3424:A3427"/>
    <mergeCell ref="D3424:D3427"/>
    <mergeCell ref="A3436:A3439"/>
    <mergeCell ref="D3436:D3439"/>
    <mergeCell ref="A3447:A3450"/>
    <mergeCell ref="D3447:D3450"/>
    <mergeCell ref="A3459:A3462"/>
    <mergeCell ref="D3459:D3462"/>
    <mergeCell ref="A3471:A3474"/>
    <mergeCell ref="D3471:D3474"/>
    <mergeCell ref="A3367:A3370"/>
    <mergeCell ref="D3367:D3370"/>
    <mergeCell ref="A3378:A3381"/>
    <mergeCell ref="D3378:D3381"/>
    <mergeCell ref="A3389:A3392"/>
    <mergeCell ref="D3389:D3392"/>
    <mergeCell ref="A3400:A3403"/>
    <mergeCell ref="D3400:D3403"/>
    <mergeCell ref="A3412:A3415"/>
    <mergeCell ref="D3412:D3415"/>
    <mergeCell ref="A3312:A3315"/>
    <mergeCell ref="D3312:D3315"/>
    <mergeCell ref="A3323:A3326"/>
    <mergeCell ref="D3323:D3326"/>
    <mergeCell ref="A3334:A3337"/>
    <mergeCell ref="D3334:D3337"/>
    <mergeCell ref="A3345:A3348"/>
    <mergeCell ref="D3345:D3348"/>
    <mergeCell ref="A3356:A3359"/>
    <mergeCell ref="D3356:D3359"/>
    <mergeCell ref="A3246:A3249"/>
    <mergeCell ref="D3246:D3249"/>
    <mergeCell ref="A3268:A3271"/>
    <mergeCell ref="D3268:D3271"/>
    <mergeCell ref="A3279:A3282"/>
    <mergeCell ref="D3279:D3282"/>
    <mergeCell ref="A3290:A3293"/>
    <mergeCell ref="D3290:D3293"/>
    <mergeCell ref="A3301:A3304"/>
    <mergeCell ref="D3301:D3304"/>
    <mergeCell ref="A3135:A3138"/>
    <mergeCell ref="D3135:D3138"/>
    <mergeCell ref="A3149:A3152"/>
    <mergeCell ref="D3149:D3152"/>
    <mergeCell ref="A3210:A3213"/>
    <mergeCell ref="D3210:D3213"/>
    <mergeCell ref="A3222:A3225"/>
    <mergeCell ref="D3222:D3225"/>
    <mergeCell ref="A3235:A3238"/>
    <mergeCell ref="D3235:D3238"/>
    <mergeCell ref="A3067:A3070"/>
    <mergeCell ref="D3067:D3070"/>
    <mergeCell ref="A3083:A3086"/>
    <mergeCell ref="D3083:D3086"/>
    <mergeCell ref="A3094:A3097"/>
    <mergeCell ref="D3094:D3097"/>
    <mergeCell ref="A3113:A3116"/>
    <mergeCell ref="D3113:D3116"/>
    <mergeCell ref="A3124:A3127"/>
    <mergeCell ref="D3124:D3127"/>
    <mergeCell ref="A2985:A2988"/>
    <mergeCell ref="D2985:D2988"/>
    <mergeCell ref="A3006:A3009"/>
    <mergeCell ref="D3006:D3009"/>
    <mergeCell ref="A3018:A3021"/>
    <mergeCell ref="D3018:D3021"/>
    <mergeCell ref="A3029:A3032"/>
    <mergeCell ref="D3029:D3032"/>
    <mergeCell ref="A3041:A3044"/>
    <mergeCell ref="D3041:D3044"/>
    <mergeCell ref="A2826:A2829"/>
    <mergeCell ref="D2826:D2829"/>
    <mergeCell ref="A2837:A2840"/>
    <mergeCell ref="D2837:D2840"/>
    <mergeCell ref="A2850:A2853"/>
    <mergeCell ref="D2850:D2853"/>
    <mergeCell ref="A2915:A2918"/>
    <mergeCell ref="D2915:D2918"/>
    <mergeCell ref="A2941:A2944"/>
    <mergeCell ref="D2941:D2944"/>
    <mergeCell ref="A2742:A2745"/>
    <mergeCell ref="D2742:D2745"/>
    <mergeCell ref="A2776:A2779"/>
    <mergeCell ref="D2776:D2779"/>
    <mergeCell ref="A2787:A2790"/>
    <mergeCell ref="D2787:D2790"/>
    <mergeCell ref="A2798:A2801"/>
    <mergeCell ref="D2798:D2801"/>
    <mergeCell ref="A2810:A2813"/>
    <mergeCell ref="D2810:D2813"/>
    <mergeCell ref="A2612:A2615"/>
    <mergeCell ref="D2612:D2615"/>
    <mergeCell ref="A2694:A2697"/>
    <mergeCell ref="D2694:D2697"/>
    <mergeCell ref="A2707:A2710"/>
    <mergeCell ref="D2707:D2710"/>
    <mergeCell ref="A2720:A2723"/>
    <mergeCell ref="D2720:D2723"/>
    <mergeCell ref="A2731:A2734"/>
    <mergeCell ref="D2731:D2734"/>
    <mergeCell ref="A2545:A2548"/>
    <mergeCell ref="D2545:D2548"/>
    <mergeCell ref="A2556:A2559"/>
    <mergeCell ref="D2556:D2559"/>
    <mergeCell ref="A2569:A2572"/>
    <mergeCell ref="D2569:D2572"/>
    <mergeCell ref="A2580:A2583"/>
    <mergeCell ref="D2580:D2583"/>
    <mergeCell ref="A2592:A2595"/>
    <mergeCell ref="D2592:D2595"/>
    <mergeCell ref="A2476:A2479"/>
    <mergeCell ref="D2476:D2479"/>
    <mergeCell ref="A2487:A2490"/>
    <mergeCell ref="D2487:D2490"/>
    <mergeCell ref="A2510:A2513"/>
    <mergeCell ref="D2510:D2513"/>
    <mergeCell ref="A2523:A2526"/>
    <mergeCell ref="D2523:D2526"/>
    <mergeCell ref="A2534:A2537"/>
    <mergeCell ref="D2534:D2537"/>
    <mergeCell ref="A2395:A2398"/>
    <mergeCell ref="D2395:D2398"/>
    <mergeCell ref="A2409:A2412"/>
    <mergeCell ref="D2409:D2412"/>
    <mergeCell ref="A2420:A2423"/>
    <mergeCell ref="D2420:D2423"/>
    <mergeCell ref="A2454:A2457"/>
    <mergeCell ref="D2454:D2457"/>
    <mergeCell ref="A2465:A2468"/>
    <mergeCell ref="D2465:D2468"/>
    <mergeCell ref="A2332:A2335"/>
    <mergeCell ref="D2332:D2335"/>
    <mergeCell ref="A2343:A2346"/>
    <mergeCell ref="D2343:D2346"/>
    <mergeCell ref="A2354:A2357"/>
    <mergeCell ref="D2354:D2357"/>
    <mergeCell ref="A2373:A2376"/>
    <mergeCell ref="D2373:D2376"/>
    <mergeCell ref="A2384:A2387"/>
    <mergeCell ref="D2384:D2387"/>
    <mergeCell ref="A2252:A2255"/>
    <mergeCell ref="D2252:D2255"/>
    <mergeCell ref="A2263:A2266"/>
    <mergeCell ref="D2263:D2266"/>
    <mergeCell ref="A2274:A2277"/>
    <mergeCell ref="D2274:D2277"/>
    <mergeCell ref="A2299:A2302"/>
    <mergeCell ref="D2299:D2302"/>
    <mergeCell ref="A2320:A2323"/>
    <mergeCell ref="D2320:D2323"/>
    <mergeCell ref="A2196:A2199"/>
    <mergeCell ref="D2196:D2199"/>
    <mergeCell ref="A2207:A2210"/>
    <mergeCell ref="D2207:D2210"/>
    <mergeCell ref="A2218:A2221"/>
    <mergeCell ref="D2218:D2221"/>
    <mergeCell ref="A2229:A2232"/>
    <mergeCell ref="D2229:D2232"/>
    <mergeCell ref="A2241:A2244"/>
    <mergeCell ref="D2241:D2244"/>
    <mergeCell ref="A2101:A2104"/>
    <mergeCell ref="D2101:D2104"/>
    <mergeCell ref="A2112:A2115"/>
    <mergeCell ref="D2112:D2115"/>
    <mergeCell ref="A2123:A2126"/>
    <mergeCell ref="D2123:D2126"/>
    <mergeCell ref="A2134:A2137"/>
    <mergeCell ref="D2134:D2137"/>
    <mergeCell ref="A2145:A2148"/>
    <mergeCell ref="D2145:D2148"/>
    <mergeCell ref="A2046:A2049"/>
    <mergeCell ref="D2046:D2049"/>
    <mergeCell ref="A2057:A2060"/>
    <mergeCell ref="D2057:D2060"/>
    <mergeCell ref="A2068:A2071"/>
    <mergeCell ref="D2068:D2071"/>
    <mergeCell ref="A2079:A2082"/>
    <mergeCell ref="D2079:D2082"/>
    <mergeCell ref="A2090:A2093"/>
    <mergeCell ref="D2090:D2093"/>
    <mergeCell ref="A1989:A1992"/>
    <mergeCell ref="D1989:D1992"/>
    <mergeCell ref="A2000:A2003"/>
    <mergeCell ref="D2000:D2003"/>
    <mergeCell ref="A2013:A2016"/>
    <mergeCell ref="D2013:D2016"/>
    <mergeCell ref="A2024:A2027"/>
    <mergeCell ref="D2024:D2027"/>
    <mergeCell ref="A2035:A2038"/>
    <mergeCell ref="D2035:D2038"/>
    <mergeCell ref="A1908:A1911"/>
    <mergeCell ref="D1908:D1911"/>
    <mergeCell ref="A1919:A1922"/>
    <mergeCell ref="D1919:D1922"/>
    <mergeCell ref="A1940:A1943"/>
    <mergeCell ref="D1940:D1943"/>
    <mergeCell ref="A1962:A1965"/>
    <mergeCell ref="D1962:D1965"/>
    <mergeCell ref="A1978:A1981"/>
    <mergeCell ref="D1978:D1981"/>
    <mergeCell ref="A1846:A1849"/>
    <mergeCell ref="D1846:D1849"/>
    <mergeCell ref="A1858:A1861"/>
    <mergeCell ref="D1858:D1861"/>
    <mergeCell ref="A1873:A1876"/>
    <mergeCell ref="D1873:D1876"/>
    <mergeCell ref="A1884:A1887"/>
    <mergeCell ref="D1884:D1887"/>
    <mergeCell ref="A1897:A1900"/>
    <mergeCell ref="D1897:D1900"/>
    <mergeCell ref="A1680:A1683"/>
    <mergeCell ref="D1680:D1683"/>
    <mergeCell ref="A1691:A1694"/>
    <mergeCell ref="D1691:D1694"/>
    <mergeCell ref="A1760:A1763"/>
    <mergeCell ref="D1760:D1763"/>
    <mergeCell ref="A1803:A1806"/>
    <mergeCell ref="D1803:D1806"/>
    <mergeCell ref="A1829:A1832"/>
    <mergeCell ref="D1829:D1832"/>
    <mergeCell ref="A1591:A1594"/>
    <mergeCell ref="D1591:D1594"/>
    <mergeCell ref="A1610:A1613"/>
    <mergeCell ref="D1610:D1613"/>
    <mergeCell ref="A1624:A1627"/>
    <mergeCell ref="D1624:D1627"/>
    <mergeCell ref="A1635:A1638"/>
    <mergeCell ref="D1635:D1638"/>
    <mergeCell ref="A1646:A1649"/>
    <mergeCell ref="D1646:D1649"/>
    <mergeCell ref="A1494:A1497"/>
    <mergeCell ref="D1494:D1497"/>
    <mergeCell ref="A1524:A1527"/>
    <mergeCell ref="D1524:D1527"/>
    <mergeCell ref="A1541:A1544"/>
    <mergeCell ref="D1541:D1544"/>
    <mergeCell ref="A1556:A1559"/>
    <mergeCell ref="D1556:D1559"/>
    <mergeCell ref="A1567:A1570"/>
    <mergeCell ref="D1567:D1570"/>
    <mergeCell ref="A1425:A1428"/>
    <mergeCell ref="D1425:D1428"/>
    <mergeCell ref="A1436:A1439"/>
    <mergeCell ref="D1436:D1439"/>
    <mergeCell ref="A1453:A1456"/>
    <mergeCell ref="D1453:D1456"/>
    <mergeCell ref="A1464:A1467"/>
    <mergeCell ref="D1464:D1467"/>
    <mergeCell ref="A1483:A1486"/>
    <mergeCell ref="D1483:D1486"/>
    <mergeCell ref="A1370:A1373"/>
    <mergeCell ref="D1370:D1373"/>
    <mergeCell ref="A1381:A1384"/>
    <mergeCell ref="D1381:D1384"/>
    <mergeCell ref="A1392:A1395"/>
    <mergeCell ref="D1392:D1395"/>
    <mergeCell ref="A1403:A1406"/>
    <mergeCell ref="D1403:D1406"/>
    <mergeCell ref="A1414:A1417"/>
    <mergeCell ref="D1414:D1417"/>
    <mergeCell ref="A1294:A1297"/>
    <mergeCell ref="D1294:D1297"/>
    <mergeCell ref="A1319:A1322"/>
    <mergeCell ref="D1319:D1322"/>
    <mergeCell ref="A1335:A1338"/>
    <mergeCell ref="D1335:D1338"/>
    <mergeCell ref="A1346:A1349"/>
    <mergeCell ref="D1346:D1349"/>
    <mergeCell ref="A1359:A1362"/>
    <mergeCell ref="D1359:D1362"/>
    <mergeCell ref="A1180:A1183"/>
    <mergeCell ref="D1180:D1183"/>
    <mergeCell ref="A1202:A1205"/>
    <mergeCell ref="D1202:D1205"/>
    <mergeCell ref="A1213:A1216"/>
    <mergeCell ref="D1213:D1216"/>
    <mergeCell ref="A1224:A1227"/>
    <mergeCell ref="D1224:D1227"/>
    <mergeCell ref="A1274:A1277"/>
    <mergeCell ref="D1274:D1277"/>
    <mergeCell ref="A1101:A1104"/>
    <mergeCell ref="D1101:D1104"/>
    <mergeCell ref="A1127:A1130"/>
    <mergeCell ref="D1127:D1130"/>
    <mergeCell ref="A1139:A1142"/>
    <mergeCell ref="D1139:D1142"/>
    <mergeCell ref="A1154:A1157"/>
    <mergeCell ref="D1154:D1157"/>
    <mergeCell ref="A1165:A1168"/>
    <mergeCell ref="D1165:D1168"/>
    <mergeCell ref="A994:A997"/>
    <mergeCell ref="D994:D997"/>
    <mergeCell ref="A1006:A1009"/>
    <mergeCell ref="D1006:D1009"/>
    <mergeCell ref="A1017:A1020"/>
    <mergeCell ref="D1017:D1020"/>
    <mergeCell ref="A1028:A1031"/>
    <mergeCell ref="D1028:D1031"/>
    <mergeCell ref="A1043:A1046"/>
    <mergeCell ref="D1043:D1046"/>
    <mergeCell ref="A920:A923"/>
    <mergeCell ref="D920:D923"/>
    <mergeCell ref="A947:A950"/>
    <mergeCell ref="D947:D950"/>
    <mergeCell ref="A958:A961"/>
    <mergeCell ref="D958:D961"/>
    <mergeCell ref="A969:A972"/>
    <mergeCell ref="D969:D972"/>
    <mergeCell ref="A983:A986"/>
    <mergeCell ref="D983:D986"/>
    <mergeCell ref="A860:A863"/>
    <mergeCell ref="D860:D863"/>
    <mergeCell ref="A871:A874"/>
    <mergeCell ref="D871:D874"/>
    <mergeCell ref="A883:A886"/>
    <mergeCell ref="D883:D886"/>
    <mergeCell ref="A895:A898"/>
    <mergeCell ref="D895:D898"/>
    <mergeCell ref="A907:A910"/>
    <mergeCell ref="D907:D910"/>
    <mergeCell ref="A713:A716"/>
    <mergeCell ref="D713:D716"/>
    <mergeCell ref="A728:A731"/>
    <mergeCell ref="D728:D731"/>
    <mergeCell ref="A766:A769"/>
    <mergeCell ref="D766:D769"/>
    <mergeCell ref="A784:A787"/>
    <mergeCell ref="D784:D787"/>
    <mergeCell ref="A844:A847"/>
    <mergeCell ref="D844:D847"/>
    <mergeCell ref="A526:A529"/>
    <mergeCell ref="D526:D529"/>
    <mergeCell ref="A579:A582"/>
    <mergeCell ref="D579:D582"/>
    <mergeCell ref="A608:A611"/>
    <mergeCell ref="D608:D611"/>
    <mergeCell ref="A619:A622"/>
    <mergeCell ref="D619:D622"/>
    <mergeCell ref="A668:A671"/>
    <mergeCell ref="D668:D671"/>
    <mergeCell ref="A312:A315"/>
    <mergeCell ref="D312:D315"/>
    <mergeCell ref="A323:A326"/>
    <mergeCell ref="D323:D326"/>
    <mergeCell ref="A378:A381"/>
    <mergeCell ref="D378:D381"/>
    <mergeCell ref="A398:A401"/>
    <mergeCell ref="D398:D401"/>
    <mergeCell ref="A439:A442"/>
    <mergeCell ref="D439:D442"/>
    <mergeCell ref="A176:A179"/>
    <mergeCell ref="D176:D179"/>
    <mergeCell ref="A249:A252"/>
    <mergeCell ref="D249:D252"/>
    <mergeCell ref="A260:A263"/>
    <mergeCell ref="D260:D263"/>
    <mergeCell ref="A271:A274"/>
    <mergeCell ref="D271:D274"/>
    <mergeCell ref="A282:A285"/>
    <mergeCell ref="D282:D285"/>
    <mergeCell ref="A72:A75"/>
    <mergeCell ref="D72:D75"/>
    <mergeCell ref="A106:A109"/>
    <mergeCell ref="D106:D109"/>
    <mergeCell ref="A123:A126"/>
    <mergeCell ref="D123:D126"/>
    <mergeCell ref="A145:A148"/>
    <mergeCell ref="D145:D148"/>
    <mergeCell ref="A156:A159"/>
    <mergeCell ref="D156:D159"/>
    <mergeCell ref="A17:A20"/>
    <mergeCell ref="D17:D20"/>
    <mergeCell ref="A28:A31"/>
    <mergeCell ref="D28:D31"/>
    <mergeCell ref="A39:A42"/>
    <mergeCell ref="D39:D42"/>
    <mergeCell ref="A50:A53"/>
    <mergeCell ref="D50:D53"/>
    <mergeCell ref="A61:A64"/>
    <mergeCell ref="D61:D64"/>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4524 C4513 C4470 C4454 C4387 C4373 C4319 C4266 C4212 C4158 C4147 C4132 C4078 C4044 C4033 C4009 C3998 C3984 C3892 C3881 C3863 C3852 C3822 C3811 C3799 C3788 C3777 C3765 C3712 C3698 C3686 C3560 C3549 C3538 C3526 C3515 C3504 C3493 C3482 C3471 C3459 C3447 C3436 C3424 C3412 C3400 C3389 C3378 C3367 C3356 C3345 C3334 C3323 C3312 C3301 C3290 C3279 C3268 C3246 C3235 C3222 C3210 C3149 C3135 C3124 C3113 C3094 C3083 C3067 C3041 C3029 C3018 C3006 C2985 C2941 C2915 C2850 C2837 C2826 C2810 C2798 C2787 C2776 C2742 C2731 C2720 C2707 C2694 C2612 C2592 C2580 C2569 C2556 C2545 C2534 C2523 C2510 C2487 C2476 C2465 C2454 C2420 C2409 C2395 C2384 C2373 C2354 C2343 C2332 C2320 C2299 C2274 C2263 C2252 C2241 C2229 C2218 C2207 C2196 C2145 C2134 C2123 C2112 C2101 C2090 C2079 C2068 C2057 C2046 C2035 C2024 C2013 C2000 C1989 C1978 C1962 C1940 C1919 C1908 C1897 C1884 C1873 C1858 C1846 C1829 C1803 C1760 C1691 C1680 C1646 C1635 C1624 C1610 C1591 C1567 C1556 C1541 C1524 C1494 C1483 C1464 C1453 C1436 C1425 C1414 C1403 C1392 C1381 C1370 C1359 C1346 C1335 C1319 C1294 C1274 C1224 C1213 C1202 C1180 C1165 C1154 C1139 C1127 C1101 C1043 C1028 C1017 C1006 C994 C983 C969 C958 C947 C920 C907 C895 C883 C871 C860 C844 C784 C766 C728 C713 C668 C619 C608 C579 C526 C439 C398 C378 C323 C312 C282 C271 C260 C249 C176 C156 C145 C123 C106 C72 C61 C50 C39 C28" xr:uid="{00000000-0002-0000-0100-000006000000}">
      <formula1>C19</formula1>
    </dataValidation>
    <dataValidation type="date" operator="greaterThanOrEqual" allowBlank="1" showInputMessage="1" showErrorMessage="1" sqref="C19 C4526 C4515 C4472 C4456 C4389 C4375 C4321 C4268 C4214 C4160 C4149 C4134 C4080 C4046 C4035 C4011 C4000 C3986 C3894 C3883 C3865 C3854 C3824 C3813 C3801 C3790 C3779 C3767 C3714 C3700 C3688 C3562 C3551 C3540 C3528 C3517 C3506 C3495 C3484 C3473 C3461 C3449 C3438 C3426 C3414 C3402 C3391 C3380 C3369 C3358 C3347 C3336 C3325 C3314 C3303 C3292 C3281 C3270 C3248 C3237 C3224 C3212 C3151 C3137 C3126 C3115 C3096 C3085 C3069 C3043 C3031 C3020 C3008 C2987 C2943 C2917 C2852 C2839 C2828 C2812 C2800 C2789 C2778 C2744 C2733 C2722 C2709 C2696 C2614 C2594 C2582 C2571 C2558 C2547 C2536 C2525 C2512 C2489 C2478 C2467 C2456 C2422 C2411 C2397 C2386 C2375 C2356 C2345 C2334 C2322 C2301 C2276 C2265 C2254 C2243 C2231 C2220 C2209 C2198 C2147 C2136 C2125 C2114 C2103 C2092 C2081 C2070 C2059 C2048 C2037 C2026 C2015 C2002 C1991 C1980 C1964 C1942 C1921 C1910 C1899 C1886 C1875 C1860 C1848 C1831 C1805 C1762 C1693 C1682 C1648 C1637 C1626 C1612 C1593 C1569 C1558 C1543 C1526 C1496 C1485 C1466 C1455 C1438 C1427 C1416 C1405 C1394 C1383 C1372 C1361 C1348 C1337 C1321 C1296 C1276 C1226 C1215 C1204 C1182 C1167 C1156 C1141 C1129 C1103 C1045 C1030 C1019 C1008 C996 C985 C971 C960 C949 C922 C909 C897 C885 C873 C862 C846 C786 C768 C730 C715 C670 C621 C610 C581 C528 C441 C400 C380 C325 C314 C284 C273 C262 C251 C178 C158 C147 C125 C108 C74 C63 C52 C41 C30" xr:uid="{00000000-0002-0000-0100-000007000000}">
      <formula1>C17</formula1>
    </dataValidation>
    <dataValidation type="list" allowBlank="1" showInputMessage="1" showErrorMessage="1" sqref="F17 F4524 F4513 F4470 F4454 F4387 F4373 F4319 F4266 F4212 F4158 F4147 F4132 F4078 F4044 F4033 F4009 F3998 F3984 F3892 F3881 F3863 F3852 F3822 F3811 F3799 F3788 F3777 F3765 F3712 F3698 F3686 F3560 F3549 F3538 F3526 F3515 F3504 F3493 F3482 F3471 F3459 F3447 F3436 F3424 F3412 F3400 F3389 F3378 F3367 F3356 F3345 F3334 F3323 F3312 F3301 F3290 F3279 F3268 F3246 F3235 F3222 F3210 F3149 F3135 F3124 F3113 F3094 F3083 F3067 F3041 F3029 F3018 F3006 F2985 F2941 F2915 F2850 F2837 F2826 F2810 F2798 F2787 F2776 F2742 F2731 F2720 F2707 F2694 F2612 F2592 F2580 F2569 F2556 F2545 F2534 F2523 F2510 F2487 F2476 F2465 F2454 F2420 F2409 F2395 F2384 F2373 F2354 F2343 F2332 F2320 F2299 F2274 F2263 F2252 F2241 F2229 F2218 F2207 F2196 F2145 F2134 F2123 F2112 F2101 F2090 F2079 F2068 F2057 F2046 F2035 F2024 F2013 F2000 F1989 F1978 F1962 F1940 F1919 F1908 F1897 F1884 F1873 F1858 F1846 F1829 F1803 F1760 F1691 F1680 F1646 F1635 F1624 F1610 F1591 F1567 F1556 F1541 F1524 F1494 F1483 F1464 F1453 F1436 F1425 F1414 F1403 F1392 F1381 F1370 F1359 F1346 F1335 F1319 F1294 F1274 F1224 F1213 F1202 F1180 F1165 F1154 F1139 F1127 F1101 F1043 F1028 F1017 F1006 F994 F983 F969 F958 F947 F920 F907 F895 F883 F871 F860 F844 F784 F766 F728 F713 F668 F619 F608 F579 F526 F439 F398 F378 F323 F312 F282 F271 F260 F249 F176 F156 F145 F123 F106 F72 F61 F50 F39 F28" xr:uid="{00000000-0002-0000-0100-000008000000}">
      <formula1>IF(INDIRECT(ADDRESS(ROW()+1,COLUMN(),4))="",RegionList,INDEX(RegionColumn,MATCH(INDIRECT(ADDRESS(ROW()+1,COLUMN(),4)),ProvinciaList,0)))</formula1>
    </dataValidation>
    <dataValidation type="list" allowBlank="1" showInputMessage="1" showErrorMessage="1" sqref="F18 F4525 F4514 F4471 F4455 F4388 F4374 F4320 F4267 F4213 F4159 F4148 F4133 F4079 F4045 F4034 F4010 F3999 F3985 F3893 F3882 F3864 F3853 F3823 F3812 F3800 F3789 F3778 F3766 F3713 F3699 F3687 F3561 F3550 F3539 F3527 F3516 F3505 F3494 F3483 F3472 F3460 F3448 F3437 F3425 F3413 F3401 F3390 F3379 F3368 F3357 F3346 F3335 F3324 F3313 F3302 F3291 F3280 F3269 F3247 F3236 F3223 F3211 F3150 F3136 F3125 F3114 F3095 F3084 F3068 F3042 F3030 F3019 F3007 F2986 F2942 F2916 F2851 F2838 F2827 F2811 F2799 F2788 F2777 F2743 F2732 F2721 F2708 F2695 F2613 F2593 F2581 F2570 F2557 F2546 F2535 F2524 F2511 F2488 F2477 F2466 F2455 F2421 F2410 F2396 F2385 F2374 F2355 F2344 F2333 F2321 F2300 F2275 F2264 F2253 F2242 F2230 F2219 F2208 F2197 F2146 F2135 F2124 F2113 F2102 F2091 F2080 F2069 F2058 F2047 F2036 F2025 F2014 F2001 F1990 F1979 F1963 F1941 F1920 F1909 F1898 F1885 F1874 F1859 F1847 F1830 F1804 F1761 F1692 F1681 F1647 F1636 F1625 F1611 F1592 F1568 F1557 F1542 F1525 F1495 F1484 F1465 F1454 F1437 F1426 F1415 F1404 F1393 F1382 F1371 F1360 F1347 F1336 F1320 F1295 F1275 F1225 F1214 F1203 F1181 F1166 F1155 F1140 F1128 F1102 F1044 F1029 F1018 F1007 F995 F984 F970 F959 F948 F921 F908 F896 F884 F872 F861 F845 F785 F767 F729 F714 F669 F620 F609 F580 F527 F440 F399 F379 F324 F313 F283 F272 F261 F250 F177 F157 F146 F124 F107 F73 F62 F51 F40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4526 F4515 F4472 F4456 F4389 F4375 F4321 F4268 F4214 F4160 F4149 F4134 F4080 F4046 F4035 F4011 F4000 F3986 F3894 F3883 F3865 F3854 F3824 F3813 F3801 F3790 F3779 F3767 F3714 F3700 F3688 F3562 F3551 F3540 F3528 F3517 F3506 F3495 F3484 F3473 F3461 F3449 F3438 F3426 F3414 F3402 F3391 F3380 F3369 F3358 F3347 F3336 F3325 F3314 F3303 F3292 F3281 F3270 F3248 F3237 F3224 F3212 F3151 F3137 F3126 F3115 F3096 F3085 F3069 F3043 F3031 F3020 F3008 F2987 F2943 F2917 F2852 F2839 F2828 F2812 F2800 F2789 F2778 F2744 F2733 F2722 F2709 F2696 F2614 F2594 F2582 F2571 F2558 F2547 F2536 F2525 F2512 F2489 F2478 F2467 F2456 F2422 F2411 F2397 F2386 F2375 F2356 F2345 F2334 F2322 F2301 F2276 F2265 F2254 F2243 F2231 F2220 F2209 F2198 F2147 F2136 F2125 F2114 F2103 F2092 F2081 F2070 F2059 F2048 F2037 F2026 F2015 F2002 F1991 F1980 F1964 F1942 F1921 F1910 F1899 F1886 F1875 F1860 F1848 F1831 F1805 F1762 F1693 F1682 F1648 F1637 F1626 F1612 F1593 F1569 F1558 F1543 F1526 F1496 F1485 F1466 F1455 F1438 F1427 F1416 F1405 F1394 F1383 F1372 F1361 F1348 F1337 F1321 F1296 F1276 F1226 F1215 F1204 F1182 F1167 F1156 F1141 F1129 F1103 F1045 F1030 F1019 F1008 F996 F985 F971 F960 F949 F922 F909 F897 F885 F873 F862 F846 F786 F768 F730 F715 F670 F621 F610 F581 F528 F441 F400 F380 F325 F314 F284 F273 F262 F251 F178 F158 F147 F125 F108 F74 F63 F52 F41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4527 F4516 F4473 F4457 F4390 F4376 F4322 F4269 F4215 F4161 F4150 F4135 F4081 F4047 F4036 F4012 F4001 F3987 F3895 F3884 F3866 F3855 F3825 F3814 F3802 F3791 F3780 F3768 F3715 F3701 F3689 F3563 F3552 F3541 F3529 F3518 F3507 F3496 F3485 F3474 F3462 F3450 F3439 F3427 F3415 F3403 F3392 F3381 F3370 F3359 F3348 F3337 F3326 F3315 F3304 F3293 F3282 F3271 F3249 F3238 F3225 F3213 F3152 F3138 F3127 F3116 F3097 F3086 F3070 F3044 F3032 F3021 F3009 F2988 F2944 F2918 F2853 F2840 F2829 F2813 F2801 F2790 F2779 F2745 F2734 F2723 F2710 F2697 F2615 F2595 F2583 F2572 F2559 F2548 F2537 F2526 F2513 F2490 F2479 F2468 F2457 F2423 F2412 F2398 F2387 F2376 F2357 F2346 F2335 F2323 F2302 F2277 F2266 F2255 F2244 F2232 F2221 F2210 F2199 F2148 F2137 F2126 F2115 F2104 F2093 F2082 F2071 F2060 F2049 F2038 F2027 F2016 F2003 F1992 F1981 F1965 F1943 F1922 F1911 F1900 F1887 F1876 F1861 F1849 F1832 F1806 F1763 F1694 F1683 F1649 F1638 F1627 F1613 F1594 F1570 F1559 F1544 F1527 F1497 F1486 F1467 F1456 F1439 F1428 F1417 F1406 F1395 F1384 F1373 F1362 F1349 F1338 F1322 F1297 F1277 F1227 F1216 F1205 F1183 F1168 F1157 F1142 F1130 F1104 F1046 F1031 F1020 F1009 F997 F986 F972 F961 F950 F923 F910 F898 F886 F874 F863 F847 F787 F769 F731 F716 F671 F622 F611 F582 F529 F442 F401 F381 F326 F315 F285 F274 F263 F252 F179 F159 F148 F126 F109 F75 F64 F53 F42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4530 A4519 A4476:A4508 A4460:A4465 A4393:A4449 A4379:A4382 A4325:A4368 A4272:A4314 A4218:A4261 A4164:A4207 A4153 A4138:A4142 A4084:A4127 A4050:A4073 A4039 A4015:A4028 A4004 A3990:A3993 A3898:A3979 A3887 A3869:A3876 A3858 A3828:A3847 A3817 A3805:A3806 A3794 A3783 A3771:A3772 A3718:A3760 A3704:A3707 A3692:A3693 A3566:A3681 A3555 A3544 A3532:A3533 A3521 A3510 A3499 A3488 A3477 A3465:A3466 A3453:A3454 A3442 A3430:A3431 A3418:A3419 A3406:A3407 A3395 A3384 A3373 A3362 A3351 A3340 A3329 A3318 A3307 A3296 A3285 A3274 A3252:A3263 A3241 A3228:A3230 A3216:A3217 A3155:A3205 A3141:A3144 A3130 A3119 A3100:A3108 A3089 A3073:A3078 A3047:A3062 A3035:A3036 A3024 A3012:A3013 A2991:A3001 A2947:A2980 A2921:A2936 A2856:A2910 A2843:A2845 A2832 A2816:A2821 A2804:A2805 A2793 A2782 A2748:A2771 A2737 A2726 A2713:A2715 A2700:A2702 A2618:A2689 A2598:A2607 A2586:A2587 A2575 A2562:A2564 A2551 A2540 A2529 A2516:A2518 A2493:A2505 A2482 A2471 A2460 A2426:A2449 A2415 A2401:A2404 A2390 A2379 A2360:A2368 A2349 A2338 A2326:A2327 A2305:A2315 A2280:A2294 A2269 A2258 A2247 A2235:A2236 A2224 A2213 A2202 A2151:A2191 A2140 A2129 A2118 A2107 A2096 A2085 A2074 A2063 A2052 A2041 A2030 A2019 A2006:A2008 A1995 A1984 A1968:A1973 A1946:A1957 A1925:A1935 A1914 A1903 A1890:A1892 A1879 A1864:A1868 A1852:A1853 A1835:A1841 A1809:A1824 A1766:A1798 A1697:A1755 A1686 A1652:A1675 A1641 A1630 A1616:A1619 A1597:A1605 A1573:A1586 A1562 A1547:A1551 A1530:A1536 A1500:A1519 A1489 A1470:A1478 A1459 A1442:A1448 A1431 A1420 A1409 A1398 A1387 A1376 A1365 A1352:A1354 A1341 A1325:A1330 A1300:A1314 A1280:A1289 A1230:A1269 A1219 A1208 A1186:A1197 A1171:A1175 A1160 A1145:A1149 A1133:A1134 A1107:A1122 A1049:A1096 A1034:A1038 A1023 A1012 A1000:A1001 A989 A975:A978 A964 A953 A926:A942 A913:A915 A901:A902 A889:A890 A877:A878 A866 A850:A855 A790:A839 A772:A779 A734:A761 A719:A723 A674:A708 A625:A663 A614 A585:A603 A532:A574 A445:A521 A404:A434 A384:A393 A329:A373 A318 A288:A307 A277 A266 A255 A182:A244 A162:A171 A151 A129:A140 A112:A118 A78:A101 A67 A56 A45 A34" xr:uid="{00000000-0002-0000-0100-00000C000000}">
      <formula1>0</formula1>
    </dataValidation>
    <dataValidation type="list" allowBlank="1" showInputMessage="1" showErrorMessage="1" sqref="C23 C4530 C4519 C4476:C4508 C4460:C4465 C4393:C4449 C4379:C4382 C4325:C4368 C4272:C4314 C4218:C4261 C4164:C4207 C4153 C4138:C4142 C4084:C4127 C4050:C4073 C4039 C4015:C4028 C4004 C3990:C3993 C3898:C3979 C3887 C3869:C3876 C3858 C3828:C3847 C3817 C3805:C3806 C3794 C3783 C3771:C3772 C3718:C3760 C3704:C3707 C3692:C3693 C3566:C3681 C3555 C3544 C3532:C3533 C3521 C3510 C3499 C3488 C3477 C3465:C3466 C3453:C3454 C3442 C3430:C3431 C3418:C3419 C3406:C3407 C3395 C3384 C3373 C3362 C3351 C3340 C3329 C3318 C3307 C3296 C3285 C3274 C3252:C3263 C3241 C3228:C3230 C3216:C3217 C3155:C3205 C3141:C3144 C3130 C3119 C3100:C3108 C3089 C3073:C3078 C3047:C3062 C3035:C3036 C3024 C3012:C3013 C2991:C3001 C2947:C2980 C2921:C2936 C2856:C2910 C2843:C2845 C2832 C2816:C2821 C2804:C2805 C2793 C2782 C2748:C2771 C2737 C2726 C2713:C2715 C2700:C2702 C2618:C2689 C2598:C2607 C2586:C2587 C2575 C2562:C2564 C2551 C2540 C2529 C2516:C2518 C2493:C2505 C2482 C2471 C2460 C2426:C2449 C2415 C2401:C2404 C2390 C2379 C2360:C2368 C2349 C2338 C2326:C2327 C2305:C2315 C2280:C2294 C2269 C2258 C2247 C2235:C2236 C2224 C2213 C2202 C2151:C2191 C2140 C2129 C2118 C2107 C2096 C2085 C2074 C2063 C2052 C2041 C2030 C2019 C2006:C2008 C1995 C1984 C1968:C1973 C1946:C1957 C1925:C1935 C1914 C1903 C1890:C1892 C1879 C1864:C1868 C1852:C1853 C1835:C1841 C1809:C1824 C1766:C1798 C1697:C1755 C1686 C1652:C1675 C1641 C1630 C1616:C1619 C1597:C1605 C1573:C1586 C1562 C1547:C1551 C1530:C1536 C1500:C1519 C1489 C1470:C1478 C1459 C1442:C1448 C1431 C1420 C1409 C1398 C1387 C1376 C1365 C1352:C1354 C1341 C1325:C1330 C1300:C1314 C1280:C1289 C1230:C1269 C1219 C1208 C1186:C1197 C1171:C1175 C1160 C1145:C1149 C1133:C1134 C1107:C1122 C1049:C1096 C1034:C1038 C1023 C1012 C1000:C1001 C989 C975:C978 C964 C953 C926:C942 C913:C915 C901:C902 C889:C890 C877:C878 C866 C850:C855 C790:C839 C772:C779 C734:C761 C719:C723 C674:C708 C625:C663 C614 C585:C603 C532:C574 C445:C521 C404:C434 C384:C393 C329:C373 C318 C288:C307 C277 C266 C255 C182:C244 C162:C171 C151 C129:C140 C112:C118 C78:C101 C67 C56 C45 C34" xr:uid="{00000000-0002-0000-0100-00000D000000}">
      <formula1>UnidadesList</formula1>
    </dataValidation>
    <dataValidation type="decimal" operator="greaterThan" allowBlank="1" showInputMessage="1" showErrorMessage="1" sqref="D4530:E4530 D4519:E4519 D4476:E4508 D4460:E4465 D4393:E4449 D4379:E4382 D4325:E4368 D4272:E4314 D4218:E4261 D4164:E4207 D4153:E4153 D4138:E4142 D4084:E4127 D4050:E4073 D4039:E4039 D4015:E4028 D4004:E4004 D3990:E3993 D3898:E3979 D3887:E3887 D3869:E3876 D3858:E3858 D3828:E3847 D3817:E3817 D3805:E3806 D3794:E3794 D3783:E3783 D3771:E3772 D3718:E3760 D3704:E3707 D3692:E3693 D3566:E3681 D3555:E3555 D3544:E3544 D3532:E3533 D3521:E3521 D3510:E3510 D3499:E3499 D3488:E3488 D3477:E3477 D3465:E3466 D3453:E3454 D3442:E3442 D3430:E3431 D3418:E3419 D3406:E3407 D3395:E3395 D3384:E3384 D3373:E3373 D3362:E3362 D3351:E3351 D3340:E3340 D3329:E3329 D3318:E3318 D3307:E3307 D3296:E3296 D3285:E3285 D3274:E3274 D3252:E3263 D3241:E3241 D3228:E3230 D3216:E3217 D3155:E3205 D3141:E3144 D3130:E3130 D3119:E3119 D3100:E3108 D3089:E3089 D3073:E3078 D3047:E3062 D3035:E3036 D3024:E3024 D3012:E3013 D2991:E3001 D2947:E2980 D2921:E2936 D2856:E2910 D2843:E2845 D2832:E2832 D2816:E2821 D2804:E2805 D2793:E2793 D2782:E2782 D2748:E2771 D2737:E2737 D2726:E2726 D2713:E2715 D2700:E2702 D2618:E2689 D2598:E2607 D2586:E2587 D2575:E2575 D2562:E2564 D2551:E2551 D2540:E2540 D2529:E2529 D2516:E2518 D2493:E2505 D2482:E2482 D2471:E2471 D2460:E2460 D2426:E2449 D2415:E2415 D2401:E2404 D2390:E2390 D2379:E2379 D2360:E2368 D2349:E2349 D2338:E2338 D2326:E2327 D2305:E2315 D2280:E2294 D2269:E2269 D2258:E2258 D2247:E2247 D2235:E2236 D2224:E2224 D2213:E2213 D2202:E2202 D2151:E2191 D2140:E2140 D2129:E2129 D2118:E2118 D2107:E2107 D2096:E2096 D2085:E2085 D2074:E2074 D2063:E2063 D2052:E2052 D2041:E2041 D2030:E2030 D2019:E2019 D2006:E2008 D1995:E1995 D1984:E1984 D1968:E1973 D1946:E1957 D1925:E1935 D1914:E1914 D1903:E1903 D1890:E1892 D1879:E1879 D1864:E1868 D1852:E1853 D1835:E1841 D1809:E1824 D1766:E1798 D1697:E1755 D1686:E1686 D1652:E1675 D1641:E1641 D1630:E1630 D1616:E1619 D1597:E1605 D1573:E1586 D1562:E1562 D1547:E1551 D1530:E1536 D1500:E1519 D1489:E1489 D1470:E1478 D1459:E1459 D1442:E1448 D1431:E1431 D1420:E1420 D1409:E1409 D1398:E1398 D1387:E1387 D1376:E1376 D1365:E1365 D1352:E1354 D1341:E1341 D1325:E1330 D1300:E1314 D1280:E1289 D1230:E1269 D1219:E1219 D1208:E1208 D1186:E1197 D1171:E1175 D1160:E1160 D1145:E1149 D1133:E1134 D1107:E1122 D1049:E1096 D1034:E1038 D1023:E1023 D1012:E1012 D1000:E1001 D989:E989 D975:E978 D964:E964 D953:E953 D926:E942 D913:E915 D901:E902 D889:E890 D877:E878 D866:E866 D850:E855 D790:E839 D772:E779 D734:E761 D719:E723 D674:E708 D625:E663 D614:E614 D585:E603 D532:E574 D445:E521 D404:E434 D384:E393 D329:E373 D318:E318 D288:E307 D277:E277 D266:E266 D255:E255 D182:E244 D162:E171 D151:E151 D129:E140 D112:E118 D78:E101 D67:E67 D56:E56 D45:E45 D34:E34 D23:E23" xr:uid="{00000000-0002-0000-0100-00000E000000}">
      <formula1>0</formula1>
    </dataValidation>
  </dataValidations>
  <printOptions horizontalCentered="1"/>
  <pageMargins left="0.39370078740157483" right="0.39370078740157483" top="0.59055118110236227" bottom="0.39370078740157483" header="0.31496062992125984" footer="0"/>
  <pageSetup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4159" r:id="rId7" name="Button 2895">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4158" r:id="rId8" name="Button 2894">
              <controlPr defaultSize="0" autoFill="0" autoLine="0" autoPict="0" macro="[0]!Sheet1.InsertNewTableRow">
                <anchor moveWithCells="1" sizeWithCells="1">
                  <from>
                    <xdr:col>6</xdr:col>
                    <xdr:colOff>0</xdr:colOff>
                    <xdr:row>32</xdr:row>
                    <xdr:rowOff>0</xdr:rowOff>
                  </from>
                  <to>
                    <xdr:col>7</xdr:col>
                    <xdr:colOff>0</xdr:colOff>
                    <xdr:row>32</xdr:row>
                    <xdr:rowOff>38100</xdr:rowOff>
                  </to>
                </anchor>
              </controlPr>
            </control>
          </mc:Choice>
        </mc:AlternateContent>
        <mc:AlternateContent xmlns:mc="http://schemas.openxmlformats.org/markup-compatibility/2006">
          <mc:Choice Requires="x14">
            <control shapeId="14157" r:id="rId9" name="Button 2893">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4156" r:id="rId10" name="Button 2892">
              <controlPr defaultSize="0" autoFill="0" autoLine="0" autoPict="0" macro="[0]!Sheet1.deleteProcedure">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4155" r:id="rId11" name="Button 2891">
              <controlPr defaultSize="0" autoFill="0" autoLine="0" autoPict="0" macro="[0]!Sheet1.InsertNewTableRow">
                <anchor moveWithCells="1" sizeWithCells="1">
                  <from>
                    <xdr:col>6</xdr:col>
                    <xdr:colOff>0</xdr:colOff>
                    <xdr:row>43</xdr:row>
                    <xdr:rowOff>0</xdr:rowOff>
                  </from>
                  <to>
                    <xdr:col>7</xdr:col>
                    <xdr:colOff>0</xdr:colOff>
                    <xdr:row>43</xdr:row>
                    <xdr:rowOff>38100</xdr:rowOff>
                  </to>
                </anchor>
              </controlPr>
            </control>
          </mc:Choice>
        </mc:AlternateContent>
        <mc:AlternateContent xmlns:mc="http://schemas.openxmlformats.org/markup-compatibility/2006">
          <mc:Choice Requires="x14">
            <control shapeId="14154" r:id="rId12" name="Button 2890">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4153" r:id="rId13" name="Button 2889">
              <controlPr defaultSize="0" autoFill="0" autoLine="0" autoPict="0" macro="[0]!Sheet1.deleteProcedure">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4152" r:id="rId14" name="Button 2888">
              <controlPr defaultSize="0" autoFill="0" autoLine="0" autoPict="0" macro="[0]!Sheet1.InsertNewTableRow">
                <anchor moveWithCells="1" sizeWithCells="1">
                  <from>
                    <xdr:col>6</xdr:col>
                    <xdr:colOff>0</xdr:colOff>
                    <xdr:row>54</xdr:row>
                    <xdr:rowOff>0</xdr:rowOff>
                  </from>
                  <to>
                    <xdr:col>7</xdr:col>
                    <xdr:colOff>0</xdr:colOff>
                    <xdr:row>54</xdr:row>
                    <xdr:rowOff>38100</xdr:rowOff>
                  </to>
                </anchor>
              </controlPr>
            </control>
          </mc:Choice>
        </mc:AlternateContent>
        <mc:AlternateContent xmlns:mc="http://schemas.openxmlformats.org/markup-compatibility/2006">
          <mc:Choice Requires="x14">
            <control shapeId="14151" r:id="rId15" name="Button 2887">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4150" r:id="rId16" name="Button 2886">
              <controlPr defaultSize="0" autoFill="0" autoLine="0" autoPict="0" macro="[0]!Sheet1.deleteProcedure">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4149" r:id="rId17" name="Button 2885">
              <controlPr defaultSize="0" autoFill="0" autoLine="0" autoPict="0" macro="[0]!Sheet1.InsertNewTableRow">
                <anchor moveWithCells="1" sizeWithCells="1">
                  <from>
                    <xdr:col>6</xdr:col>
                    <xdr:colOff>0</xdr:colOff>
                    <xdr:row>65</xdr:row>
                    <xdr:rowOff>0</xdr:rowOff>
                  </from>
                  <to>
                    <xdr:col>7</xdr:col>
                    <xdr:colOff>0</xdr:colOff>
                    <xdr:row>65</xdr:row>
                    <xdr:rowOff>38100</xdr:rowOff>
                  </to>
                </anchor>
              </controlPr>
            </control>
          </mc:Choice>
        </mc:AlternateContent>
        <mc:AlternateContent xmlns:mc="http://schemas.openxmlformats.org/markup-compatibility/2006">
          <mc:Choice Requires="x14">
            <control shapeId="14148" r:id="rId18" name="Button 2884">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4147" r:id="rId19" name="Button 2883">
              <controlPr defaultSize="0" autoFill="0" autoLine="0" autoPict="0" macro="[0]!Sheet1.deleteProcedure">
                <anchor moveWithCells="1" sizeWithCells="1">
                  <from>
                    <xdr:col>6</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14146" r:id="rId20" name="Button 2882">
              <controlPr defaultSize="0" autoFill="0" autoLine="0" autoPict="0" macro="[0]!Sheet1.InsertNewTableRow">
                <anchor moveWithCells="1" sizeWithCells="1">
                  <from>
                    <xdr:col>6</xdr:col>
                    <xdr:colOff>0</xdr:colOff>
                    <xdr:row>76</xdr:row>
                    <xdr:rowOff>0</xdr:rowOff>
                  </from>
                  <to>
                    <xdr:col>7</xdr:col>
                    <xdr:colOff>0</xdr:colOff>
                    <xdr:row>76</xdr:row>
                    <xdr:rowOff>38100</xdr:rowOff>
                  </to>
                </anchor>
              </controlPr>
            </control>
          </mc:Choice>
        </mc:AlternateContent>
        <mc:AlternateContent xmlns:mc="http://schemas.openxmlformats.org/markup-compatibility/2006">
          <mc:Choice Requires="x14">
            <control shapeId="14145" r:id="rId21" name="Button 2881">
              <controlPr defaultSize="0" autoFill="0" autoLine="0" autoPict="0" macro="[0]!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14144" r:id="rId22" name="Button 2880">
              <controlPr defaultSize="0" autoFill="0" autoLine="0" autoPict="0" macro="[0]!Sheet1.deleteRow">
                <anchor moveWithCells="1" sizeWithCells="1">
                  <from>
                    <xdr:col>6</xdr:col>
                    <xdr:colOff>0</xdr:colOff>
                    <xdr:row>78</xdr:row>
                    <xdr:rowOff>0</xdr:rowOff>
                  </from>
                  <to>
                    <xdr:col>7</xdr:col>
                    <xdr:colOff>0</xdr:colOff>
                    <xdr:row>78</xdr:row>
                    <xdr:rowOff>161925</xdr:rowOff>
                  </to>
                </anchor>
              </controlPr>
            </control>
          </mc:Choice>
        </mc:AlternateContent>
        <mc:AlternateContent xmlns:mc="http://schemas.openxmlformats.org/markup-compatibility/2006">
          <mc:Choice Requires="x14">
            <control shapeId="14143" r:id="rId23" name="Button 2879">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4142" r:id="rId24" name="Button 2878">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4141" r:id="rId25" name="Button 2877">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4140" r:id="rId26" name="Button 2876">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4139" r:id="rId27" name="Button 2875">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4138" r:id="rId28" name="Button 2874">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4137" r:id="rId29" name="Button 2873">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4136" r:id="rId30" name="Button 2872">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4135" r:id="rId31" name="Button 2871">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4134" r:id="rId32" name="Button 2870">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4133" r:id="rId33" name="Button 2869">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4132" r:id="rId34" name="Button 2868">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4131" r:id="rId35" name="Button 2867">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4130" r:id="rId36" name="Button 2866">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4129" r:id="rId37" name="Button 2865">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4128" r:id="rId38" name="Button 2864">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4127" r:id="rId39" name="Button 2863">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4126" r:id="rId40" name="Button 2862">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4125" r:id="rId41" name="Button 2861">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4124" r:id="rId42" name="Button 2860">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4123" r:id="rId43" name="Button 2859">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4122" r:id="rId44" name="Button 2858">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4121" r:id="rId45" name="Button 2857">
              <controlPr defaultSize="0" autoFill="0" autoLine="0" autoPict="0" macro="[0]!Sheet1.deleteProcedure">
                <anchor moveWithCells="1" sizeWithCells="1">
                  <from>
                    <xdr:col>6</xdr:col>
                    <xdr:colOff>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14120" r:id="rId46" name="Button 2856">
              <controlPr defaultSize="0" autoFill="0" autoLine="0" autoPict="0" macro="[0]!Sheet1.InsertNewTableRow">
                <anchor moveWithCells="1" sizeWithCells="1">
                  <from>
                    <xdr:col>6</xdr:col>
                    <xdr:colOff>0</xdr:colOff>
                    <xdr:row>110</xdr:row>
                    <xdr:rowOff>0</xdr:rowOff>
                  </from>
                  <to>
                    <xdr:col>7</xdr:col>
                    <xdr:colOff>0</xdr:colOff>
                    <xdr:row>110</xdr:row>
                    <xdr:rowOff>38100</xdr:rowOff>
                  </to>
                </anchor>
              </controlPr>
            </control>
          </mc:Choice>
        </mc:AlternateContent>
        <mc:AlternateContent xmlns:mc="http://schemas.openxmlformats.org/markup-compatibility/2006">
          <mc:Choice Requires="x14">
            <control shapeId="14119" r:id="rId47" name="Button 2855">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4118" r:id="rId48" name="Button 2854">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4117" r:id="rId49" name="Button 2853">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4116" r:id="rId50" name="Button 2852">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4115" r:id="rId51" name="Button 2851">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4114" r:id="rId52" name="Button 2850">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4113" r:id="rId53" name="Button 2849">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4112" r:id="rId54" name="Button 2848">
              <controlPr defaultSize="0" autoFill="0" autoLine="0" autoPict="0" macro="[0]!Sheet1.deleteProcedure">
                <anchor moveWithCells="1" sizeWithCells="1">
                  <from>
                    <xdr:col>6</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14111" r:id="rId55" name="Button 2847">
              <controlPr defaultSize="0" autoFill="0" autoLine="0" autoPict="0" macro="[0]!Sheet1.InsertNewTableRow">
                <anchor moveWithCells="1" sizeWithCells="1">
                  <from>
                    <xdr:col>6</xdr:col>
                    <xdr:colOff>0</xdr:colOff>
                    <xdr:row>127</xdr:row>
                    <xdr:rowOff>0</xdr:rowOff>
                  </from>
                  <to>
                    <xdr:col>7</xdr:col>
                    <xdr:colOff>0</xdr:colOff>
                    <xdr:row>127</xdr:row>
                    <xdr:rowOff>38100</xdr:rowOff>
                  </to>
                </anchor>
              </controlPr>
            </control>
          </mc:Choice>
        </mc:AlternateContent>
        <mc:AlternateContent xmlns:mc="http://schemas.openxmlformats.org/markup-compatibility/2006">
          <mc:Choice Requires="x14">
            <control shapeId="14110" r:id="rId56" name="Button 2846">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4109" r:id="rId57" name="Button 2845">
              <controlPr defaultSize="0" autoFill="0" autoLine="0" autoPict="0" macro="[0]!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4108" r:id="rId58" name="Button 2844">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4107" r:id="rId59" name="Button 2843">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4106" r:id="rId60" name="Button 2842">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4105" r:id="rId61" name="Button 2841">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4104" r:id="rId62" name="Button 2840">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4103" r:id="rId63" name="Button 2839">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4102" r:id="rId64" name="Button 2838">
              <controlPr defaultSize="0" autoFill="0" autoLine="0" autoPict="0" macro="[0]!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4101" r:id="rId65" name="Button 2837">
              <controlPr defaultSize="0" autoFill="0" autoLine="0" autoPict="0" macro="[0]!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4100" r:id="rId66" name="Button 2836">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4099" r:id="rId67" name="Button 2835">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4098" r:id="rId68" name="Button 2834">
              <controlPr defaultSize="0" autoFill="0" autoLine="0" autoPict="0" macro="[0]!Sheet1.deleteProcedure">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4097" r:id="rId69" name="Button 2833">
              <controlPr defaultSize="0" autoFill="0" autoLine="0" autoPict="0" macro="[0]!Sheet1.InsertNewTableRow">
                <anchor moveWithCells="1" sizeWithCells="1">
                  <from>
                    <xdr:col>6</xdr:col>
                    <xdr:colOff>0</xdr:colOff>
                    <xdr:row>149</xdr:row>
                    <xdr:rowOff>0</xdr:rowOff>
                  </from>
                  <to>
                    <xdr:col>7</xdr:col>
                    <xdr:colOff>0</xdr:colOff>
                    <xdr:row>149</xdr:row>
                    <xdr:rowOff>38100</xdr:rowOff>
                  </to>
                </anchor>
              </controlPr>
            </control>
          </mc:Choice>
        </mc:AlternateContent>
        <mc:AlternateContent xmlns:mc="http://schemas.openxmlformats.org/markup-compatibility/2006">
          <mc:Choice Requires="x14">
            <control shapeId="14096" r:id="rId70" name="Button 2832">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4095" r:id="rId71" name="Button 2831">
              <controlPr defaultSize="0" autoFill="0" autoLine="0" autoPict="0" macro="[0]!Sheet1.deleteProcedure">
                <anchor moveWithCells="1" sizeWithCells="1">
                  <from>
                    <xdr:col>6</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14094" r:id="rId72" name="Button 2830">
              <controlPr defaultSize="0" autoFill="0" autoLine="0" autoPict="0" macro="[0]!Sheet1.InsertNewTableRow">
                <anchor moveWithCells="1" sizeWithCells="1">
                  <from>
                    <xdr:col>6</xdr:col>
                    <xdr:colOff>0</xdr:colOff>
                    <xdr:row>160</xdr:row>
                    <xdr:rowOff>0</xdr:rowOff>
                  </from>
                  <to>
                    <xdr:col>7</xdr:col>
                    <xdr:colOff>0</xdr:colOff>
                    <xdr:row>160</xdr:row>
                    <xdr:rowOff>38100</xdr:rowOff>
                  </to>
                </anchor>
              </controlPr>
            </control>
          </mc:Choice>
        </mc:AlternateContent>
        <mc:AlternateContent xmlns:mc="http://schemas.openxmlformats.org/markup-compatibility/2006">
          <mc:Choice Requires="x14">
            <control shapeId="14093" r:id="rId73" name="Button 2829">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4092" r:id="rId74" name="Button 2828">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4091" r:id="rId75" name="Button 2827">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4090" r:id="rId76" name="Button 2826">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4089" r:id="rId77" name="Button 2825">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4088" r:id="rId78" name="Button 2824">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4087" r:id="rId79" name="Button 2823">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4086" r:id="rId80" name="Button 2822">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4085" r:id="rId81" name="Button 2821">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4084" r:id="rId82" name="Button 2820">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4083" r:id="rId83" name="Button 2819">
              <controlPr defaultSize="0" autoFill="0" autoLine="0" autoPict="0" macro="[0]!Sheet1.deleteProcedure">
                <anchor moveWithCells="1" sizeWithCells="1">
                  <from>
                    <xdr:col>6</xdr:col>
                    <xdr:colOff>0</xdr:colOff>
                    <xdr:row>173</xdr:row>
                    <xdr:rowOff>0</xdr:rowOff>
                  </from>
                  <to>
                    <xdr:col>7</xdr:col>
                    <xdr:colOff>0</xdr:colOff>
                    <xdr:row>174</xdr:row>
                    <xdr:rowOff>0</xdr:rowOff>
                  </to>
                </anchor>
              </controlPr>
            </control>
          </mc:Choice>
        </mc:AlternateContent>
        <mc:AlternateContent xmlns:mc="http://schemas.openxmlformats.org/markup-compatibility/2006">
          <mc:Choice Requires="x14">
            <control shapeId="14082" r:id="rId84" name="Button 2818">
              <controlPr defaultSize="0" autoFill="0" autoLine="0" autoPict="0" macro="[0]!Sheet1.InsertNewTableRow">
                <anchor moveWithCells="1" sizeWithCells="1">
                  <from>
                    <xdr:col>6</xdr:col>
                    <xdr:colOff>0</xdr:colOff>
                    <xdr:row>180</xdr:row>
                    <xdr:rowOff>0</xdr:rowOff>
                  </from>
                  <to>
                    <xdr:col>7</xdr:col>
                    <xdr:colOff>0</xdr:colOff>
                    <xdr:row>180</xdr:row>
                    <xdr:rowOff>38100</xdr:rowOff>
                  </to>
                </anchor>
              </controlPr>
            </control>
          </mc:Choice>
        </mc:AlternateContent>
        <mc:AlternateContent xmlns:mc="http://schemas.openxmlformats.org/markup-compatibility/2006">
          <mc:Choice Requires="x14">
            <control shapeId="14081" r:id="rId85" name="Button 2817">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4080" r:id="rId86" name="Button 2816">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4079" r:id="rId87" name="Button 2815">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4078" r:id="rId88" name="Button 2814">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4077" r:id="rId89" name="Button 2813">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4076" r:id="rId90" name="Button 2812">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4075" r:id="rId91" name="Button 2811">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4074" r:id="rId92" name="Button 2810">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4073" r:id="rId93" name="Button 2809">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4072" r:id="rId94" name="Button 2808">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4071" r:id="rId95" name="Button 2807">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4070" r:id="rId96" name="Button 2806">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4069" r:id="rId97" name="Button 2805">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4068" r:id="rId98" name="Button 2804">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4067" r:id="rId99" name="Button 2803">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4066" r:id="rId100" name="Button 2802">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4065" r:id="rId101" name="Button 2801">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4064" r:id="rId102" name="Button 2800">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4063" r:id="rId103" name="Button 2799">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4062" r:id="rId104" name="Button 2798">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4061" r:id="rId105" name="Button 2797">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4060" r:id="rId106" name="Button 2796">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4059" r:id="rId107" name="Button 2795">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4058" r:id="rId108" name="Button 2794">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4057" r:id="rId109" name="Button 2793">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4056" r:id="rId110" name="Button 2792">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4055" r:id="rId111" name="Button 2791">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4054" r:id="rId112" name="Button 2790">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4053" r:id="rId113" name="Button 2789">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4052" r:id="rId114" name="Button 2788">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4051" r:id="rId115" name="Button 2787">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4050" r:id="rId116" name="Button 2786">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4049" r:id="rId117" name="Button 2785">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4048" r:id="rId118" name="Button 2784">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4047" r:id="rId119" name="Button 2783">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4046" r:id="rId120" name="Button 2782">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4045" r:id="rId121" name="Button 2781">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4044" r:id="rId122" name="Button 2780">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4043" r:id="rId123" name="Button 2779">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4042" r:id="rId124" name="Button 2778">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4041" r:id="rId125" name="Button 2777">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4040" r:id="rId126" name="Button 2776">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4039" r:id="rId127" name="Button 2775">
              <controlPr defaultSize="0" autoFill="0" autoLine="0" autoPict="0" macro="[0]!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4038" r:id="rId128" name="Button 2774">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4037" r:id="rId129" name="Button 2773">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4036" r:id="rId130" name="Button 2772">
              <controlPr defaultSize="0" autoFill="0" autoLine="0" autoPict="0" macro="[0]!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4035" r:id="rId131" name="Button 2771">
              <controlPr defaultSize="0" autoFill="0" autoLine="0" autoPict="0" macro="[0]!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4034" r:id="rId132" name="Button 2770">
              <controlPr defaultSize="0" autoFill="0" autoLine="0" autoPict="0" macro="[0]!Sheet1.deleteRow">
                <anchor moveWithCells="1" sizeWithCells="1">
                  <from>
                    <xdr:col>6</xdr:col>
                    <xdr:colOff>0</xdr:colOff>
                    <xdr:row>228</xdr:row>
                    <xdr:rowOff>0</xdr:rowOff>
                  </from>
                  <to>
                    <xdr:col>7</xdr:col>
                    <xdr:colOff>0</xdr:colOff>
                    <xdr:row>228</xdr:row>
                    <xdr:rowOff>161925</xdr:rowOff>
                  </to>
                </anchor>
              </controlPr>
            </control>
          </mc:Choice>
        </mc:AlternateContent>
        <mc:AlternateContent xmlns:mc="http://schemas.openxmlformats.org/markup-compatibility/2006">
          <mc:Choice Requires="x14">
            <control shapeId="14033" r:id="rId133" name="Button 2769">
              <controlPr defaultSize="0" autoFill="0" autoLine="0" autoPict="0" macro="[0]!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4032" r:id="rId134" name="Button 2768">
              <controlPr defaultSize="0" autoFill="0" autoLine="0" autoPict="0" macro="[0]!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4031" r:id="rId135" name="Button 2767">
              <controlPr defaultSize="0" autoFill="0" autoLine="0" autoPict="0" macro="[0]!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4030" r:id="rId136" name="Button 2766">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4029" r:id="rId137" name="Button 2765">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4028" r:id="rId138" name="Button 2764">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4027" r:id="rId139" name="Button 2763">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4026" r:id="rId140" name="Button 2762">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4025" r:id="rId141" name="Button 2761">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4024" r:id="rId142" name="Button 2760">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4023" r:id="rId143" name="Button 2759">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4022" r:id="rId144" name="Button 2758">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4021" r:id="rId145" name="Button 2757">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4020" r:id="rId146" name="Button 2756">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4019" r:id="rId147" name="Button 2755">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4018" r:id="rId148" name="Button 2754">
              <controlPr defaultSize="0" autoFill="0" autoLine="0" autoPict="0" macro="[0]!Sheet1.deleteProcedure">
                <anchor moveWithCells="1" sizeWithCells="1">
                  <from>
                    <xdr:col>6</xdr:col>
                    <xdr:colOff>0</xdr:colOff>
                    <xdr:row>246</xdr:row>
                    <xdr:rowOff>0</xdr:rowOff>
                  </from>
                  <to>
                    <xdr:col>7</xdr:col>
                    <xdr:colOff>0</xdr:colOff>
                    <xdr:row>247</xdr:row>
                    <xdr:rowOff>0</xdr:rowOff>
                  </to>
                </anchor>
              </controlPr>
            </control>
          </mc:Choice>
        </mc:AlternateContent>
        <mc:AlternateContent xmlns:mc="http://schemas.openxmlformats.org/markup-compatibility/2006">
          <mc:Choice Requires="x14">
            <control shapeId="14017" r:id="rId149" name="Button 2753">
              <controlPr defaultSize="0" autoFill="0" autoLine="0" autoPict="0" macro="[0]!Sheet1.InsertNewTableRow">
                <anchor moveWithCells="1" sizeWithCells="1">
                  <from>
                    <xdr:col>6</xdr:col>
                    <xdr:colOff>0</xdr:colOff>
                    <xdr:row>253</xdr:row>
                    <xdr:rowOff>0</xdr:rowOff>
                  </from>
                  <to>
                    <xdr:col>7</xdr:col>
                    <xdr:colOff>0</xdr:colOff>
                    <xdr:row>253</xdr:row>
                    <xdr:rowOff>38100</xdr:rowOff>
                  </to>
                </anchor>
              </controlPr>
            </control>
          </mc:Choice>
        </mc:AlternateContent>
        <mc:AlternateContent xmlns:mc="http://schemas.openxmlformats.org/markup-compatibility/2006">
          <mc:Choice Requires="x14">
            <control shapeId="14016" r:id="rId150" name="Button 2752">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4015" r:id="rId151" name="Button 2751">
              <controlPr defaultSize="0" autoFill="0" autoLine="0" autoPict="0" macro="[0]!Sheet1.deleteProcedure">
                <anchor moveWithCells="1" sizeWithCells="1">
                  <from>
                    <xdr:col>6</xdr:col>
                    <xdr:colOff>0</xdr:colOff>
                    <xdr:row>257</xdr:row>
                    <xdr:rowOff>0</xdr:rowOff>
                  </from>
                  <to>
                    <xdr:col>7</xdr:col>
                    <xdr:colOff>0</xdr:colOff>
                    <xdr:row>258</xdr:row>
                    <xdr:rowOff>0</xdr:rowOff>
                  </to>
                </anchor>
              </controlPr>
            </control>
          </mc:Choice>
        </mc:AlternateContent>
        <mc:AlternateContent xmlns:mc="http://schemas.openxmlformats.org/markup-compatibility/2006">
          <mc:Choice Requires="x14">
            <control shapeId="14014" r:id="rId152" name="Button 2750">
              <controlPr defaultSize="0" autoFill="0" autoLine="0" autoPict="0" macro="[0]!Sheet1.InsertNewTableRow">
                <anchor moveWithCells="1" sizeWithCells="1">
                  <from>
                    <xdr:col>6</xdr:col>
                    <xdr:colOff>0</xdr:colOff>
                    <xdr:row>264</xdr:row>
                    <xdr:rowOff>0</xdr:rowOff>
                  </from>
                  <to>
                    <xdr:col>7</xdr:col>
                    <xdr:colOff>0</xdr:colOff>
                    <xdr:row>264</xdr:row>
                    <xdr:rowOff>38100</xdr:rowOff>
                  </to>
                </anchor>
              </controlPr>
            </control>
          </mc:Choice>
        </mc:AlternateContent>
        <mc:AlternateContent xmlns:mc="http://schemas.openxmlformats.org/markup-compatibility/2006">
          <mc:Choice Requires="x14">
            <control shapeId="14013" r:id="rId153" name="Button 2749">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4012" r:id="rId154" name="Button 2748">
              <controlPr defaultSize="0" autoFill="0" autoLine="0" autoPict="0" macro="[0]!Sheet1.deleteProcedure">
                <anchor moveWithCells="1" sizeWithCells="1">
                  <from>
                    <xdr:col>6</xdr:col>
                    <xdr:colOff>0</xdr:colOff>
                    <xdr:row>268</xdr:row>
                    <xdr:rowOff>0</xdr:rowOff>
                  </from>
                  <to>
                    <xdr:col>7</xdr:col>
                    <xdr:colOff>0</xdr:colOff>
                    <xdr:row>269</xdr:row>
                    <xdr:rowOff>0</xdr:rowOff>
                  </to>
                </anchor>
              </controlPr>
            </control>
          </mc:Choice>
        </mc:AlternateContent>
        <mc:AlternateContent xmlns:mc="http://schemas.openxmlformats.org/markup-compatibility/2006">
          <mc:Choice Requires="x14">
            <control shapeId="14011" r:id="rId155" name="Button 2747">
              <controlPr defaultSize="0" autoFill="0" autoLine="0" autoPict="0" macro="[0]!Sheet1.InsertNewTableRow">
                <anchor moveWithCells="1" sizeWithCells="1">
                  <from>
                    <xdr:col>6</xdr:col>
                    <xdr:colOff>0</xdr:colOff>
                    <xdr:row>275</xdr:row>
                    <xdr:rowOff>0</xdr:rowOff>
                  </from>
                  <to>
                    <xdr:col>7</xdr:col>
                    <xdr:colOff>0</xdr:colOff>
                    <xdr:row>275</xdr:row>
                    <xdr:rowOff>38100</xdr:rowOff>
                  </to>
                </anchor>
              </controlPr>
            </control>
          </mc:Choice>
        </mc:AlternateContent>
        <mc:AlternateContent xmlns:mc="http://schemas.openxmlformats.org/markup-compatibility/2006">
          <mc:Choice Requires="x14">
            <control shapeId="14010" r:id="rId156" name="Button 2746">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4009" r:id="rId157" name="Button 2745">
              <controlPr defaultSize="0" autoFill="0" autoLine="0" autoPict="0" macro="[0]!Sheet1.deleteProcedure">
                <anchor moveWithCells="1" sizeWithCells="1">
                  <from>
                    <xdr:col>6</xdr:col>
                    <xdr:colOff>0</xdr:colOff>
                    <xdr:row>279</xdr:row>
                    <xdr:rowOff>0</xdr:rowOff>
                  </from>
                  <to>
                    <xdr:col>7</xdr:col>
                    <xdr:colOff>0</xdr:colOff>
                    <xdr:row>280</xdr:row>
                    <xdr:rowOff>0</xdr:rowOff>
                  </to>
                </anchor>
              </controlPr>
            </control>
          </mc:Choice>
        </mc:AlternateContent>
        <mc:AlternateContent xmlns:mc="http://schemas.openxmlformats.org/markup-compatibility/2006">
          <mc:Choice Requires="x14">
            <control shapeId="14008" r:id="rId158" name="Button 2744">
              <controlPr defaultSize="0" autoFill="0" autoLine="0" autoPict="0" macro="[0]!Sheet1.InsertNewTableRow">
                <anchor moveWithCells="1" sizeWithCells="1">
                  <from>
                    <xdr:col>6</xdr:col>
                    <xdr:colOff>0</xdr:colOff>
                    <xdr:row>286</xdr:row>
                    <xdr:rowOff>0</xdr:rowOff>
                  </from>
                  <to>
                    <xdr:col>7</xdr:col>
                    <xdr:colOff>0</xdr:colOff>
                    <xdr:row>286</xdr:row>
                    <xdr:rowOff>38100</xdr:rowOff>
                  </to>
                </anchor>
              </controlPr>
            </control>
          </mc:Choice>
        </mc:AlternateContent>
        <mc:AlternateContent xmlns:mc="http://schemas.openxmlformats.org/markup-compatibility/2006">
          <mc:Choice Requires="x14">
            <control shapeId="14007" r:id="rId159" name="Button 2743">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4006" r:id="rId160" name="Button 2742">
              <controlPr defaultSize="0" autoFill="0" autoLine="0" autoPict="0" macro="[0]!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4005" r:id="rId161" name="Button 2741">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4004" r:id="rId162" name="Button 2740">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4003" r:id="rId163" name="Button 2739">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4002" r:id="rId164" name="Button 2738">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4001" r:id="rId165" name="Button 2737">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4000" r:id="rId166" name="Button 2736">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3999" r:id="rId167" name="Button 2735">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3998" r:id="rId168" name="Button 2734">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3997" r:id="rId169" name="Button 2733">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3996" r:id="rId170" name="Button 2732">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3995" r:id="rId171" name="Button 2731">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3994" r:id="rId172" name="Button 2730">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3993" r:id="rId173" name="Button 2729">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3992" r:id="rId174" name="Button 2728">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3991" r:id="rId175" name="Button 2727">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3990" r:id="rId176" name="Button 2726">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3989" r:id="rId177" name="Button 2725">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3988" r:id="rId178" name="Button 2724">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3987" r:id="rId179" name="Button 2723">
              <controlPr defaultSize="0" autoFill="0" autoLine="0" autoPict="0" macro="[0]!Sheet1.deleteProcedure">
                <anchor moveWithCells="1" sizeWithCells="1">
                  <from>
                    <xdr:col>6</xdr:col>
                    <xdr:colOff>0</xdr:colOff>
                    <xdr:row>309</xdr:row>
                    <xdr:rowOff>0</xdr:rowOff>
                  </from>
                  <to>
                    <xdr:col>7</xdr:col>
                    <xdr:colOff>0</xdr:colOff>
                    <xdr:row>310</xdr:row>
                    <xdr:rowOff>0</xdr:rowOff>
                  </to>
                </anchor>
              </controlPr>
            </control>
          </mc:Choice>
        </mc:AlternateContent>
        <mc:AlternateContent xmlns:mc="http://schemas.openxmlformats.org/markup-compatibility/2006">
          <mc:Choice Requires="x14">
            <control shapeId="13986" r:id="rId180" name="Button 2722">
              <controlPr defaultSize="0" autoFill="0" autoLine="0" autoPict="0" macro="[0]!Sheet1.InsertNewTableRow">
                <anchor moveWithCells="1" sizeWithCells="1">
                  <from>
                    <xdr:col>6</xdr:col>
                    <xdr:colOff>0</xdr:colOff>
                    <xdr:row>316</xdr:row>
                    <xdr:rowOff>0</xdr:rowOff>
                  </from>
                  <to>
                    <xdr:col>7</xdr:col>
                    <xdr:colOff>0</xdr:colOff>
                    <xdr:row>316</xdr:row>
                    <xdr:rowOff>38100</xdr:rowOff>
                  </to>
                </anchor>
              </controlPr>
            </control>
          </mc:Choice>
        </mc:AlternateContent>
        <mc:AlternateContent xmlns:mc="http://schemas.openxmlformats.org/markup-compatibility/2006">
          <mc:Choice Requires="x14">
            <control shapeId="13985" r:id="rId181" name="Button 2721">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3984" r:id="rId182" name="Button 2720">
              <controlPr defaultSize="0" autoFill="0" autoLine="0" autoPict="0" macro="[0]!Sheet1.deleteProcedure">
                <anchor moveWithCells="1" sizeWithCells="1">
                  <from>
                    <xdr:col>6</xdr:col>
                    <xdr:colOff>0</xdr:colOff>
                    <xdr:row>320</xdr:row>
                    <xdr:rowOff>0</xdr:rowOff>
                  </from>
                  <to>
                    <xdr:col>7</xdr:col>
                    <xdr:colOff>0</xdr:colOff>
                    <xdr:row>321</xdr:row>
                    <xdr:rowOff>0</xdr:rowOff>
                  </to>
                </anchor>
              </controlPr>
            </control>
          </mc:Choice>
        </mc:AlternateContent>
        <mc:AlternateContent xmlns:mc="http://schemas.openxmlformats.org/markup-compatibility/2006">
          <mc:Choice Requires="x14">
            <control shapeId="13983" r:id="rId183" name="Button 2719">
              <controlPr defaultSize="0" autoFill="0" autoLine="0" autoPict="0" macro="[0]!Sheet1.InsertNewTableRow">
                <anchor moveWithCells="1" sizeWithCells="1">
                  <from>
                    <xdr:col>6</xdr:col>
                    <xdr:colOff>0</xdr:colOff>
                    <xdr:row>327</xdr:row>
                    <xdr:rowOff>0</xdr:rowOff>
                  </from>
                  <to>
                    <xdr:col>7</xdr:col>
                    <xdr:colOff>0</xdr:colOff>
                    <xdr:row>327</xdr:row>
                    <xdr:rowOff>38100</xdr:rowOff>
                  </to>
                </anchor>
              </controlPr>
            </control>
          </mc:Choice>
        </mc:AlternateContent>
        <mc:AlternateContent xmlns:mc="http://schemas.openxmlformats.org/markup-compatibility/2006">
          <mc:Choice Requires="x14">
            <control shapeId="13982" r:id="rId184" name="Button 2718">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3981" r:id="rId185" name="Button 2717">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3980" r:id="rId186" name="Button 2716">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3979" r:id="rId187" name="Button 2715">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3978" r:id="rId188" name="Button 2714">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3977" r:id="rId189" name="Button 2713">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3976" r:id="rId190" name="Button 2712">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3975" r:id="rId191" name="Button 2711">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3974" r:id="rId192" name="Button 2710">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3973" r:id="rId193" name="Button 2709">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3972" r:id="rId194" name="Button 2708">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3971" r:id="rId195" name="Button 2707">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3970" r:id="rId196" name="Button 2706">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3969" r:id="rId197" name="Button 2705">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3968" r:id="rId198" name="Button 2704">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3967" r:id="rId199" name="Button 2703">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3966" r:id="rId200" name="Button 2702">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3965" r:id="rId201" name="Button 2701">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3964" r:id="rId202" name="Button 2700">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3963" r:id="rId203" name="Button 2699">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3962" r:id="rId204" name="Button 2698">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3961" r:id="rId205" name="Button 2697">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3960" r:id="rId206" name="Button 2696">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3959" r:id="rId207" name="Button 2695">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3958" r:id="rId208" name="Button 2694">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3957" r:id="rId209" name="Button 2693">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3956" r:id="rId210" name="Button 2692">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3955" r:id="rId211" name="Button 2691">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3954" r:id="rId212" name="Button 2690">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3953" r:id="rId213" name="Button 2689">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3952" r:id="rId214" name="Button 2688">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3951" r:id="rId215" name="Button 2687">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3950" r:id="rId216" name="Button 2686">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3949" r:id="rId217" name="Button 2685">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3948" r:id="rId218" name="Button 2684">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3947" r:id="rId219" name="Button 2683">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3946" r:id="rId220" name="Button 2682">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3945" r:id="rId221" name="Button 2681">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3944" r:id="rId222" name="Button 2680">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3943" r:id="rId223" name="Button 2679">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3942" r:id="rId224" name="Button 2678">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3941" r:id="rId225" name="Button 2677">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3940" r:id="rId226" name="Button 2676">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3939" r:id="rId227" name="Button 2675">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3938" r:id="rId228" name="Button 2674">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3937" r:id="rId229" name="Button 2673">
              <controlPr defaultSize="0" autoFill="0" autoLine="0" autoPict="0" macro="[0]!Sheet1.deleteProcedure">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3936" r:id="rId230" name="Button 2672">
              <controlPr defaultSize="0" autoFill="0" autoLine="0" autoPict="0" macro="[0]!Sheet1.InsertNewTableRow">
                <anchor moveWithCells="1" sizeWithCells="1">
                  <from>
                    <xdr:col>6</xdr:col>
                    <xdr:colOff>0</xdr:colOff>
                    <xdr:row>382</xdr:row>
                    <xdr:rowOff>0</xdr:rowOff>
                  </from>
                  <to>
                    <xdr:col>7</xdr:col>
                    <xdr:colOff>0</xdr:colOff>
                    <xdr:row>382</xdr:row>
                    <xdr:rowOff>38100</xdr:rowOff>
                  </to>
                </anchor>
              </controlPr>
            </control>
          </mc:Choice>
        </mc:AlternateContent>
        <mc:AlternateContent xmlns:mc="http://schemas.openxmlformats.org/markup-compatibility/2006">
          <mc:Choice Requires="x14">
            <control shapeId="13935" r:id="rId231" name="Button 2671">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3934" r:id="rId232" name="Button 2670">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3933" r:id="rId233" name="Button 2669">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3932" r:id="rId234" name="Button 2668">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3931" r:id="rId235" name="Button 2667">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3930" r:id="rId236" name="Button 2666">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3929" r:id="rId237" name="Button 2665">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3928" r:id="rId238" name="Button 2664">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3927" r:id="rId239" name="Button 2663">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3926" r:id="rId240" name="Button 2662">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3925" r:id="rId241" name="Button 2661">
              <controlPr defaultSize="0" autoFill="0" autoLine="0" autoPict="0" macro="[0]!Sheet1.deleteProcedure">
                <anchor moveWithCells="1" sizeWithCells="1">
                  <from>
                    <xdr:col>6</xdr:col>
                    <xdr:colOff>0</xdr:colOff>
                    <xdr:row>395</xdr:row>
                    <xdr:rowOff>0</xdr:rowOff>
                  </from>
                  <to>
                    <xdr:col>7</xdr:col>
                    <xdr:colOff>0</xdr:colOff>
                    <xdr:row>396</xdr:row>
                    <xdr:rowOff>0</xdr:rowOff>
                  </to>
                </anchor>
              </controlPr>
            </control>
          </mc:Choice>
        </mc:AlternateContent>
        <mc:AlternateContent xmlns:mc="http://schemas.openxmlformats.org/markup-compatibility/2006">
          <mc:Choice Requires="x14">
            <control shapeId="13924" r:id="rId242" name="Button 2660">
              <controlPr defaultSize="0" autoFill="0" autoLine="0" autoPict="0" macro="[0]!Sheet1.InsertNewTableRow">
                <anchor moveWithCells="1" sizeWithCells="1">
                  <from>
                    <xdr:col>6</xdr:col>
                    <xdr:colOff>0</xdr:colOff>
                    <xdr:row>402</xdr:row>
                    <xdr:rowOff>0</xdr:rowOff>
                  </from>
                  <to>
                    <xdr:col>7</xdr:col>
                    <xdr:colOff>0</xdr:colOff>
                    <xdr:row>402</xdr:row>
                    <xdr:rowOff>38100</xdr:rowOff>
                  </to>
                </anchor>
              </controlPr>
            </control>
          </mc:Choice>
        </mc:AlternateContent>
        <mc:AlternateContent xmlns:mc="http://schemas.openxmlformats.org/markup-compatibility/2006">
          <mc:Choice Requires="x14">
            <control shapeId="13923" r:id="rId243" name="Button 2659">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3922" r:id="rId244" name="Button 2658">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3921" r:id="rId245" name="Button 2657">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3920" r:id="rId246" name="Button 2656">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3919" r:id="rId247" name="Button 2655">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3918" r:id="rId248" name="Button 2654">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3917" r:id="rId249" name="Button 2653">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3916" r:id="rId250" name="Button 2652">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3915" r:id="rId251" name="Button 2651">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3914" r:id="rId252" name="Button 2650">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3913" r:id="rId253" name="Button 2649">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3912" r:id="rId254" name="Button 2648">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3911" r:id="rId255" name="Button 2647">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3910" r:id="rId256" name="Button 2646">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3909" r:id="rId257" name="Button 2645">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3908" r:id="rId258" name="Button 2644">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3907" r:id="rId259" name="Button 2643">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3906" r:id="rId260" name="Button 2642">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3905" r:id="rId261" name="Button 2641">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3904" r:id="rId262" name="Button 2640">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3903" r:id="rId263" name="Button 2639">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3902" r:id="rId264" name="Button 2638">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3901" r:id="rId265" name="Button 2637">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3900" r:id="rId266" name="Button 2636">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3899" r:id="rId267" name="Button 2635">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3898" r:id="rId268" name="Button 2634">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3897" r:id="rId269" name="Button 2633">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3896" r:id="rId270" name="Button 2632">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3895" r:id="rId271" name="Button 2631">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3894" r:id="rId272" name="Button 2630">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3893" r:id="rId273" name="Button 2629">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3892" r:id="rId274" name="Button 2628">
              <controlPr defaultSize="0" autoFill="0" autoLine="0" autoPict="0" macro="[0]!Sheet1.deleteProcedure">
                <anchor moveWithCells="1" sizeWithCells="1">
                  <from>
                    <xdr:col>6</xdr:col>
                    <xdr:colOff>0</xdr:colOff>
                    <xdr:row>436</xdr:row>
                    <xdr:rowOff>0</xdr:rowOff>
                  </from>
                  <to>
                    <xdr:col>7</xdr:col>
                    <xdr:colOff>0</xdr:colOff>
                    <xdr:row>437</xdr:row>
                    <xdr:rowOff>0</xdr:rowOff>
                  </to>
                </anchor>
              </controlPr>
            </control>
          </mc:Choice>
        </mc:AlternateContent>
        <mc:AlternateContent xmlns:mc="http://schemas.openxmlformats.org/markup-compatibility/2006">
          <mc:Choice Requires="x14">
            <control shapeId="13891" r:id="rId275" name="Button 2627">
              <controlPr defaultSize="0" autoFill="0" autoLine="0" autoPict="0" macro="[0]!Sheet1.InsertNewTableRow">
                <anchor moveWithCells="1" sizeWithCells="1">
                  <from>
                    <xdr:col>6</xdr:col>
                    <xdr:colOff>0</xdr:colOff>
                    <xdr:row>443</xdr:row>
                    <xdr:rowOff>0</xdr:rowOff>
                  </from>
                  <to>
                    <xdr:col>7</xdr:col>
                    <xdr:colOff>0</xdr:colOff>
                    <xdr:row>443</xdr:row>
                    <xdr:rowOff>38100</xdr:rowOff>
                  </to>
                </anchor>
              </controlPr>
            </control>
          </mc:Choice>
        </mc:AlternateContent>
        <mc:AlternateContent xmlns:mc="http://schemas.openxmlformats.org/markup-compatibility/2006">
          <mc:Choice Requires="x14">
            <control shapeId="13890" r:id="rId276" name="Button 2626">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3889" r:id="rId277" name="Button 2625">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3888" r:id="rId278" name="Button 2624">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3887" r:id="rId279" name="Button 2623">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3886" r:id="rId280" name="Button 2622">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3885" r:id="rId281" name="Button 2621">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3884" r:id="rId282" name="Button 2620">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3883" r:id="rId283" name="Button 2619">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3882" r:id="rId284" name="Button 2618">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3881" r:id="rId285" name="Button 2617">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3880" r:id="rId286" name="Button 2616">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3879" r:id="rId287" name="Button 2615">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3878" r:id="rId288" name="Button 2614">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3877" r:id="rId289" name="Button 2613">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3876" r:id="rId290" name="Button 2612">
              <controlPr defaultSize="0" autoFill="0" autoLine="0" autoPict="0" macro="[0]!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3875" r:id="rId291" name="Button 2611">
              <controlPr defaultSize="0" autoFill="0" autoLine="0" autoPict="0" macro="[0]!Sheet1.deleteRow">
                <anchor moveWithCells="1" sizeWithCells="1">
                  <from>
                    <xdr:col>6</xdr:col>
                    <xdr:colOff>0</xdr:colOff>
                    <xdr:row>459</xdr:row>
                    <xdr:rowOff>0</xdr:rowOff>
                  </from>
                  <to>
                    <xdr:col>7</xdr:col>
                    <xdr:colOff>0</xdr:colOff>
                    <xdr:row>459</xdr:row>
                    <xdr:rowOff>161925</xdr:rowOff>
                  </to>
                </anchor>
              </controlPr>
            </control>
          </mc:Choice>
        </mc:AlternateContent>
        <mc:AlternateContent xmlns:mc="http://schemas.openxmlformats.org/markup-compatibility/2006">
          <mc:Choice Requires="x14">
            <control shapeId="13874" r:id="rId292" name="Button 2610">
              <controlPr defaultSize="0" autoFill="0" autoLine="0" autoPict="0" macro="[0]!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3873" r:id="rId293" name="Button 2609">
              <controlPr defaultSize="0" autoFill="0" autoLine="0" autoPict="0" macro="[0]!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3872" r:id="rId294" name="Button 2608">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3871" r:id="rId295" name="Button 2607">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3870" r:id="rId296" name="Button 2606">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3869" r:id="rId297" name="Button 2605">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3868" r:id="rId298" name="Button 2604">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3867" r:id="rId299" name="Button 2603">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3866" r:id="rId300" name="Button 2602">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3865" r:id="rId301" name="Button 2601">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3864" r:id="rId302" name="Button 2600">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3863" r:id="rId303" name="Button 2599">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3862" r:id="rId304" name="Button 2598">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3861" r:id="rId305" name="Button 2597">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3860" r:id="rId306" name="Button 2596">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3859" r:id="rId307" name="Button 2595">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3858" r:id="rId308" name="Button 2594">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3857" r:id="rId309" name="Button 2593">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3856" r:id="rId310" name="Button 2592">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3855" r:id="rId311" name="Button 2591">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3854" r:id="rId312" name="Button 2590">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3853" r:id="rId313" name="Button 2589">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3852" r:id="rId314" name="Button 2588">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3851" r:id="rId315" name="Button 2587">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3850" r:id="rId316" name="Button 2586">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3849" r:id="rId317" name="Button 2585">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3848" r:id="rId318" name="Button 2584">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3847" r:id="rId319" name="Button 2583">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3846" r:id="rId320" name="Button 2582">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3845" r:id="rId321" name="Button 2581">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3844" r:id="rId322" name="Button 2580">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3843" r:id="rId323" name="Button 2579">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3842" r:id="rId324" name="Button 2578">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3841" r:id="rId325" name="Button 2577">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3840" r:id="rId326" name="Button 2576">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3839" r:id="rId327" name="Button 2575">
              <controlPr defaultSize="0" autoFill="0" autoLine="0" autoPict="0" macro="[0]!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3838" r:id="rId328" name="Button 2574">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3837" r:id="rId329" name="Button 2573">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3836" r:id="rId330" name="Button 2572">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3835" r:id="rId331" name="Button 2571">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3834" r:id="rId332" name="Button 2570">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3833" r:id="rId333" name="Button 2569">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3832" r:id="rId334" name="Button 2568">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3831" r:id="rId335" name="Button 2567">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3830" r:id="rId336" name="Button 2566">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3829" r:id="rId337" name="Button 2565">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3828" r:id="rId338" name="Button 2564">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3827" r:id="rId339" name="Button 2563">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3826" r:id="rId340" name="Button 2562">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3825" r:id="rId341" name="Button 2561">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3824" r:id="rId342" name="Button 2560">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3823" r:id="rId343" name="Button 2559">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3822" r:id="rId344" name="Button 2558">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3821" r:id="rId345" name="Button 2557">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3820" r:id="rId346" name="Button 2556">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3819" r:id="rId347" name="Button 2555">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3818" r:id="rId348" name="Button 2554">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3817" r:id="rId349" name="Button 2553">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3816" r:id="rId350" name="Button 2552">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3815" r:id="rId351" name="Button 2551">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3814" r:id="rId352" name="Button 2550">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3813" r:id="rId353" name="Button 2549">
              <controlPr defaultSize="0" autoFill="0" autoLine="0" autoPict="0" macro="[0]!Sheet1.deleteProcedure">
                <anchor moveWithCells="1" sizeWithCells="1">
                  <from>
                    <xdr:col>6</xdr:col>
                    <xdr:colOff>0</xdr:colOff>
                    <xdr:row>523</xdr:row>
                    <xdr:rowOff>0</xdr:rowOff>
                  </from>
                  <to>
                    <xdr:col>7</xdr:col>
                    <xdr:colOff>0</xdr:colOff>
                    <xdr:row>524</xdr:row>
                    <xdr:rowOff>0</xdr:rowOff>
                  </to>
                </anchor>
              </controlPr>
            </control>
          </mc:Choice>
        </mc:AlternateContent>
        <mc:AlternateContent xmlns:mc="http://schemas.openxmlformats.org/markup-compatibility/2006">
          <mc:Choice Requires="x14">
            <control shapeId="13812" r:id="rId354" name="Button 2548">
              <controlPr defaultSize="0" autoFill="0" autoLine="0" autoPict="0" macro="[0]!Sheet1.InsertNewTableRow">
                <anchor moveWithCells="1" sizeWithCells="1">
                  <from>
                    <xdr:col>6</xdr:col>
                    <xdr:colOff>0</xdr:colOff>
                    <xdr:row>530</xdr:row>
                    <xdr:rowOff>0</xdr:rowOff>
                  </from>
                  <to>
                    <xdr:col>7</xdr:col>
                    <xdr:colOff>0</xdr:colOff>
                    <xdr:row>530</xdr:row>
                    <xdr:rowOff>38100</xdr:rowOff>
                  </to>
                </anchor>
              </controlPr>
            </control>
          </mc:Choice>
        </mc:AlternateContent>
        <mc:AlternateContent xmlns:mc="http://schemas.openxmlformats.org/markup-compatibility/2006">
          <mc:Choice Requires="x14">
            <control shapeId="13811" r:id="rId355" name="Button 2547">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3810" r:id="rId356" name="Button 2546">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3809" r:id="rId357" name="Button 2545">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3808" r:id="rId358" name="Button 2544">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3807" r:id="rId359" name="Button 2543">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3806" r:id="rId360" name="Button 2542">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3805" r:id="rId361" name="Button 2541">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3804" r:id="rId362" name="Button 2540">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3803" r:id="rId363" name="Button 2539">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3802" r:id="rId364" name="Button 2538">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3801" r:id="rId365" name="Button 2537">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3800" r:id="rId366" name="Button 2536">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3799" r:id="rId367" name="Button 2535">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3798" r:id="rId368" name="Button 2534">
              <controlPr defaultSize="0" autoFill="0" autoLine="0" autoPict="0" macro="[0]!Sheet1.deleteRow">
                <anchor moveWithCells="1" sizeWithCells="1">
                  <from>
                    <xdr:col>6</xdr:col>
                    <xdr:colOff>0</xdr:colOff>
                    <xdr:row>544</xdr:row>
                    <xdr:rowOff>0</xdr:rowOff>
                  </from>
                  <to>
                    <xdr:col>7</xdr:col>
                    <xdr:colOff>0</xdr:colOff>
                    <xdr:row>544</xdr:row>
                    <xdr:rowOff>161925</xdr:rowOff>
                  </to>
                </anchor>
              </controlPr>
            </control>
          </mc:Choice>
        </mc:AlternateContent>
        <mc:AlternateContent xmlns:mc="http://schemas.openxmlformats.org/markup-compatibility/2006">
          <mc:Choice Requires="x14">
            <control shapeId="13797" r:id="rId369" name="Button 2533">
              <controlPr defaultSize="0" autoFill="0" autoLine="0" autoPict="0" macro="[0]!Sheet1.deleteRow">
                <anchor moveWithCells="1" sizeWithCells="1">
                  <from>
                    <xdr:col>6</xdr:col>
                    <xdr:colOff>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3796" r:id="rId370" name="Button 2532">
              <controlPr defaultSize="0" autoFill="0" autoLine="0" autoPict="0" macro="[0]!Sheet1.deleteRow">
                <anchor moveWithCells="1" sizeWithCells="1">
                  <from>
                    <xdr:col>6</xdr:col>
                    <xdr:colOff>0</xdr:colOff>
                    <xdr:row>546</xdr:row>
                    <xdr:rowOff>0</xdr:rowOff>
                  </from>
                  <to>
                    <xdr:col>7</xdr:col>
                    <xdr:colOff>0</xdr:colOff>
                    <xdr:row>546</xdr:row>
                    <xdr:rowOff>161925</xdr:rowOff>
                  </to>
                </anchor>
              </controlPr>
            </control>
          </mc:Choice>
        </mc:AlternateContent>
        <mc:AlternateContent xmlns:mc="http://schemas.openxmlformats.org/markup-compatibility/2006">
          <mc:Choice Requires="x14">
            <control shapeId="13795" r:id="rId371" name="Button 2531">
              <controlPr defaultSize="0" autoFill="0" autoLine="0" autoPict="0" macro="[0]!Sheet1.deleteRow">
                <anchor moveWithCells="1" sizeWithCells="1">
                  <from>
                    <xdr:col>6</xdr:col>
                    <xdr:colOff>0</xdr:colOff>
                    <xdr:row>547</xdr:row>
                    <xdr:rowOff>0</xdr:rowOff>
                  </from>
                  <to>
                    <xdr:col>7</xdr:col>
                    <xdr:colOff>0</xdr:colOff>
                    <xdr:row>547</xdr:row>
                    <xdr:rowOff>161925</xdr:rowOff>
                  </to>
                </anchor>
              </controlPr>
            </control>
          </mc:Choice>
        </mc:AlternateContent>
        <mc:AlternateContent xmlns:mc="http://schemas.openxmlformats.org/markup-compatibility/2006">
          <mc:Choice Requires="x14">
            <control shapeId="13794" r:id="rId372" name="Button 2530">
              <controlPr defaultSize="0" autoFill="0" autoLine="0" autoPict="0" macro="[0]!Sheet1.deleteRow">
                <anchor moveWithCells="1" sizeWithCells="1">
                  <from>
                    <xdr:col>6</xdr:col>
                    <xdr:colOff>0</xdr:colOff>
                    <xdr:row>548</xdr:row>
                    <xdr:rowOff>0</xdr:rowOff>
                  </from>
                  <to>
                    <xdr:col>7</xdr:col>
                    <xdr:colOff>0</xdr:colOff>
                    <xdr:row>548</xdr:row>
                    <xdr:rowOff>161925</xdr:rowOff>
                  </to>
                </anchor>
              </controlPr>
            </control>
          </mc:Choice>
        </mc:AlternateContent>
        <mc:AlternateContent xmlns:mc="http://schemas.openxmlformats.org/markup-compatibility/2006">
          <mc:Choice Requires="x14">
            <control shapeId="13793" r:id="rId373" name="Button 2529">
              <controlPr defaultSize="0" autoFill="0" autoLine="0" autoPict="0" macro="[0]!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3792" r:id="rId374" name="Button 2528">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3791" r:id="rId375" name="Button 2527">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3790" r:id="rId376" name="Button 2526">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3789" r:id="rId377" name="Button 2525">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3788" r:id="rId378" name="Button 2524">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3787" r:id="rId379" name="Button 2523">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3786" r:id="rId380" name="Button 2522">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3785" r:id="rId381" name="Button 2521">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3784" r:id="rId382" name="Button 2520">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3783" r:id="rId383" name="Button 2519">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3782" r:id="rId384" name="Button 2518">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3781" r:id="rId385" name="Button 2517">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3780" r:id="rId386" name="Button 2516">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3779" r:id="rId387" name="Button 2515">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3778" r:id="rId388" name="Button 2514">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3777" r:id="rId389" name="Button 2513">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3776" r:id="rId390" name="Button 2512">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3775" r:id="rId391" name="Button 2511">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3774" r:id="rId392" name="Button 2510">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3773" r:id="rId393" name="Button 2509">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3772" r:id="rId394" name="Button 2508">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3771" r:id="rId395" name="Button 2507">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3770" r:id="rId396" name="Button 2506">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3769" r:id="rId397" name="Button 2505">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3768" r:id="rId398" name="Button 2504">
              <controlPr defaultSize="0" autoFill="0" autoLine="0" autoPict="0" macro="[0]!Sheet1.deleteProcedure">
                <anchor moveWithCells="1" sizeWithCells="1">
                  <from>
                    <xdr:col>6</xdr:col>
                    <xdr:colOff>0</xdr:colOff>
                    <xdr:row>576</xdr:row>
                    <xdr:rowOff>0</xdr:rowOff>
                  </from>
                  <to>
                    <xdr:col>7</xdr:col>
                    <xdr:colOff>0</xdr:colOff>
                    <xdr:row>577</xdr:row>
                    <xdr:rowOff>0</xdr:rowOff>
                  </to>
                </anchor>
              </controlPr>
            </control>
          </mc:Choice>
        </mc:AlternateContent>
        <mc:AlternateContent xmlns:mc="http://schemas.openxmlformats.org/markup-compatibility/2006">
          <mc:Choice Requires="x14">
            <control shapeId="13767" r:id="rId399" name="Button 2503">
              <controlPr defaultSize="0" autoFill="0" autoLine="0" autoPict="0" macro="[0]!Sheet1.InsertNewTableRow">
                <anchor moveWithCells="1" sizeWithCells="1">
                  <from>
                    <xdr:col>6</xdr:col>
                    <xdr:colOff>0</xdr:colOff>
                    <xdr:row>583</xdr:row>
                    <xdr:rowOff>0</xdr:rowOff>
                  </from>
                  <to>
                    <xdr:col>7</xdr:col>
                    <xdr:colOff>0</xdr:colOff>
                    <xdr:row>583</xdr:row>
                    <xdr:rowOff>38100</xdr:rowOff>
                  </to>
                </anchor>
              </controlPr>
            </control>
          </mc:Choice>
        </mc:AlternateContent>
        <mc:AlternateContent xmlns:mc="http://schemas.openxmlformats.org/markup-compatibility/2006">
          <mc:Choice Requires="x14">
            <control shapeId="13766" r:id="rId400" name="Button 2502">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3765" r:id="rId401" name="Button 2501">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3764" r:id="rId402" name="Button 2500">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3763" r:id="rId403" name="Button 2499">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3762" r:id="rId404" name="Button 2498">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3761" r:id="rId405" name="Button 2497">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3760" r:id="rId406" name="Button 2496">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3759" r:id="rId407" name="Button 2495">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3758" r:id="rId408" name="Button 2494">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3757" r:id="rId409" name="Button 2493">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3756" r:id="rId410" name="Button 2492">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3755" r:id="rId411" name="Button 2491">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3754" r:id="rId412" name="Button 2490">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3753" r:id="rId413" name="Button 2489">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3752" r:id="rId414" name="Button 2488">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3751" r:id="rId415" name="Button 2487">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3750" r:id="rId416" name="Button 2486">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3749" r:id="rId417" name="Button 2485">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3748" r:id="rId418" name="Button 2484">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3747" r:id="rId419" name="Button 2483">
              <controlPr defaultSize="0" autoFill="0" autoLine="0" autoPict="0" macro="[0]!Sheet1.deleteProcedure">
                <anchor moveWithCells="1" sizeWithCells="1">
                  <from>
                    <xdr:col>6</xdr:col>
                    <xdr:colOff>0</xdr:colOff>
                    <xdr:row>605</xdr:row>
                    <xdr:rowOff>0</xdr:rowOff>
                  </from>
                  <to>
                    <xdr:col>7</xdr:col>
                    <xdr:colOff>0</xdr:colOff>
                    <xdr:row>606</xdr:row>
                    <xdr:rowOff>0</xdr:rowOff>
                  </to>
                </anchor>
              </controlPr>
            </control>
          </mc:Choice>
        </mc:AlternateContent>
        <mc:AlternateContent xmlns:mc="http://schemas.openxmlformats.org/markup-compatibility/2006">
          <mc:Choice Requires="x14">
            <control shapeId="13746" r:id="rId420" name="Button 2482">
              <controlPr defaultSize="0" autoFill="0" autoLine="0" autoPict="0" macro="[0]!Sheet1.InsertNewTableRow">
                <anchor moveWithCells="1" sizeWithCells="1">
                  <from>
                    <xdr:col>6</xdr:col>
                    <xdr:colOff>0</xdr:colOff>
                    <xdr:row>612</xdr:row>
                    <xdr:rowOff>0</xdr:rowOff>
                  </from>
                  <to>
                    <xdr:col>7</xdr:col>
                    <xdr:colOff>0</xdr:colOff>
                    <xdr:row>612</xdr:row>
                    <xdr:rowOff>38100</xdr:rowOff>
                  </to>
                </anchor>
              </controlPr>
            </control>
          </mc:Choice>
        </mc:AlternateContent>
        <mc:AlternateContent xmlns:mc="http://schemas.openxmlformats.org/markup-compatibility/2006">
          <mc:Choice Requires="x14">
            <control shapeId="13745" r:id="rId421" name="Button 2481">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3744" r:id="rId422" name="Button 2480">
              <controlPr defaultSize="0" autoFill="0" autoLine="0" autoPict="0" macro="[0]!Sheet1.deleteProcedure">
                <anchor moveWithCells="1" sizeWithCells="1">
                  <from>
                    <xdr:col>6</xdr:col>
                    <xdr:colOff>0</xdr:colOff>
                    <xdr:row>616</xdr:row>
                    <xdr:rowOff>0</xdr:rowOff>
                  </from>
                  <to>
                    <xdr:col>7</xdr:col>
                    <xdr:colOff>0</xdr:colOff>
                    <xdr:row>617</xdr:row>
                    <xdr:rowOff>0</xdr:rowOff>
                  </to>
                </anchor>
              </controlPr>
            </control>
          </mc:Choice>
        </mc:AlternateContent>
        <mc:AlternateContent xmlns:mc="http://schemas.openxmlformats.org/markup-compatibility/2006">
          <mc:Choice Requires="x14">
            <control shapeId="13743" r:id="rId423" name="Button 2479">
              <controlPr defaultSize="0" autoFill="0" autoLine="0" autoPict="0" macro="[0]!Sheet1.InsertNewTableRow">
                <anchor moveWithCells="1" sizeWithCells="1">
                  <from>
                    <xdr:col>6</xdr:col>
                    <xdr:colOff>0</xdr:colOff>
                    <xdr:row>623</xdr:row>
                    <xdr:rowOff>0</xdr:rowOff>
                  </from>
                  <to>
                    <xdr:col>7</xdr:col>
                    <xdr:colOff>0</xdr:colOff>
                    <xdr:row>623</xdr:row>
                    <xdr:rowOff>38100</xdr:rowOff>
                  </to>
                </anchor>
              </controlPr>
            </control>
          </mc:Choice>
        </mc:AlternateContent>
        <mc:AlternateContent xmlns:mc="http://schemas.openxmlformats.org/markup-compatibility/2006">
          <mc:Choice Requires="x14">
            <control shapeId="13742" r:id="rId424" name="Button 2478">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3741" r:id="rId425" name="Button 2477">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3740" r:id="rId426" name="Button 2476">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3739" r:id="rId427" name="Button 2475">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3738" r:id="rId428" name="Button 2474">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3737" r:id="rId429" name="Button 2473">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3736" r:id="rId430" name="Button 2472">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3735" r:id="rId431" name="Button 2471">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3734" r:id="rId432" name="Button 2470">
              <controlPr defaultSize="0" autoFill="0" autoLine="0" autoPict="0" macro="[0]!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3733" r:id="rId433" name="Button 2469">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3732" r:id="rId434" name="Button 2468">
              <controlPr defaultSize="0" autoFill="0" autoLine="0" autoPict="0" macro="[0]!Sheet1.deleteRow">
                <anchor moveWithCells="1" sizeWithCells="1">
                  <from>
                    <xdr:col>6</xdr:col>
                    <xdr:colOff>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3731" r:id="rId435" name="Button 2467">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3730" r:id="rId436" name="Button 2466">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3729" r:id="rId437" name="Button 2465">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3728" r:id="rId438" name="Button 2464">
              <controlPr defaultSize="0" autoFill="0" autoLine="0" autoPict="0" macro="[0]!Sheet1.deleteRow">
                <anchor moveWithCells="1" sizeWithCells="1">
                  <from>
                    <xdr:col>6</xdr:col>
                    <xdr:colOff>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3727" r:id="rId439" name="Button 2463">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3726" r:id="rId440" name="Button 2462">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3725" r:id="rId441" name="Button 2461">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3724" r:id="rId442" name="Button 2460">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3723" r:id="rId443" name="Button 2459">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3722" r:id="rId444" name="Button 2458">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3721" r:id="rId445" name="Button 2457">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3720" r:id="rId446" name="Button 2456">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3719" r:id="rId447" name="Button 2455">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3718" r:id="rId448" name="Button 2454">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3717" r:id="rId449" name="Button 2453">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3716" r:id="rId450" name="Button 2452">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3715" r:id="rId451" name="Button 2451">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3714" r:id="rId452" name="Button 2450">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3713" r:id="rId453" name="Button 2449">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3712" r:id="rId454" name="Button 2448">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3711" r:id="rId455" name="Button 2447">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3710" r:id="rId456" name="Button 2446">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3709" r:id="rId457" name="Button 2445">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3708" r:id="rId458" name="Button 2444">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3707" r:id="rId459" name="Button 2443">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3706" r:id="rId460" name="Button 2442">
              <controlPr defaultSize="0" autoFill="0" autoLine="0" autoPict="0" macro="[0]!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3705" r:id="rId461" name="Button 2441">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3704" r:id="rId462" name="Button 2440">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3703" r:id="rId463" name="Button 2439">
              <controlPr defaultSize="0" autoFill="0" autoLine="0" autoPict="0" macro="[0]!Sheet1.deleteProcedure">
                <anchor moveWithCells="1" sizeWithCells="1">
                  <from>
                    <xdr:col>6</xdr:col>
                    <xdr:colOff>0</xdr:colOff>
                    <xdr:row>665</xdr:row>
                    <xdr:rowOff>0</xdr:rowOff>
                  </from>
                  <to>
                    <xdr:col>7</xdr:col>
                    <xdr:colOff>0</xdr:colOff>
                    <xdr:row>666</xdr:row>
                    <xdr:rowOff>0</xdr:rowOff>
                  </to>
                </anchor>
              </controlPr>
            </control>
          </mc:Choice>
        </mc:AlternateContent>
        <mc:AlternateContent xmlns:mc="http://schemas.openxmlformats.org/markup-compatibility/2006">
          <mc:Choice Requires="x14">
            <control shapeId="13702" r:id="rId464" name="Button 2438">
              <controlPr defaultSize="0" autoFill="0" autoLine="0" autoPict="0" macro="[0]!Sheet1.InsertNewTableRow">
                <anchor moveWithCells="1" sizeWithCells="1">
                  <from>
                    <xdr:col>6</xdr:col>
                    <xdr:colOff>0</xdr:colOff>
                    <xdr:row>672</xdr:row>
                    <xdr:rowOff>0</xdr:rowOff>
                  </from>
                  <to>
                    <xdr:col>7</xdr:col>
                    <xdr:colOff>0</xdr:colOff>
                    <xdr:row>672</xdr:row>
                    <xdr:rowOff>38100</xdr:rowOff>
                  </to>
                </anchor>
              </controlPr>
            </control>
          </mc:Choice>
        </mc:AlternateContent>
        <mc:AlternateContent xmlns:mc="http://schemas.openxmlformats.org/markup-compatibility/2006">
          <mc:Choice Requires="x14">
            <control shapeId="13701" r:id="rId465" name="Button 2437">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3700" r:id="rId466" name="Button 2436">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3699" r:id="rId467" name="Button 2435">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3698" r:id="rId468" name="Button 2434">
              <controlPr defaultSize="0" autoFill="0" autoLine="0" autoPict="0" macro="[0]!Sheet1.deleteRow">
                <anchor moveWithCells="1" sizeWithCells="1">
                  <from>
                    <xdr:col>6</xdr:col>
                    <xdr:colOff>0</xdr:colOff>
                    <xdr:row>676</xdr:row>
                    <xdr:rowOff>0</xdr:rowOff>
                  </from>
                  <to>
                    <xdr:col>7</xdr:col>
                    <xdr:colOff>0</xdr:colOff>
                    <xdr:row>676</xdr:row>
                    <xdr:rowOff>161925</xdr:rowOff>
                  </to>
                </anchor>
              </controlPr>
            </control>
          </mc:Choice>
        </mc:AlternateContent>
        <mc:AlternateContent xmlns:mc="http://schemas.openxmlformats.org/markup-compatibility/2006">
          <mc:Choice Requires="x14">
            <control shapeId="13697" r:id="rId469" name="Button 2433">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3696" r:id="rId470" name="Button 2432">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3695" r:id="rId471" name="Button 2431">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3694" r:id="rId472" name="Button 2430">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3693" r:id="rId473" name="Button 2429">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3692" r:id="rId474" name="Button 2428">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3691" r:id="rId475" name="Button 2427">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3690" r:id="rId476" name="Button 2426">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3689" r:id="rId477" name="Button 2425">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3688" r:id="rId478" name="Button 2424">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3687" r:id="rId479" name="Button 2423">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3686" r:id="rId480" name="Button 2422">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3685" r:id="rId481" name="Button 2421">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3684" r:id="rId482" name="Button 2420">
              <controlPr defaultSize="0" autoFill="0" autoLine="0" autoPict="0" macro="[0]!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3683" r:id="rId483" name="Button 2419">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3682" r:id="rId484" name="Button 2418">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3681" r:id="rId485" name="Button 2417">
              <controlPr defaultSize="0" autoFill="0" autoLine="0" autoPict="0" macro="[0]!Sheet1.deleteRow">
                <anchor moveWithCells="1" sizeWithCells="1">
                  <from>
                    <xdr:col>6</xdr:col>
                    <xdr:colOff>0</xdr:colOff>
                    <xdr:row>693</xdr:row>
                    <xdr:rowOff>0</xdr:rowOff>
                  </from>
                  <to>
                    <xdr:col>7</xdr:col>
                    <xdr:colOff>0</xdr:colOff>
                    <xdr:row>693</xdr:row>
                    <xdr:rowOff>161925</xdr:rowOff>
                  </to>
                </anchor>
              </controlPr>
            </control>
          </mc:Choice>
        </mc:AlternateContent>
        <mc:AlternateContent xmlns:mc="http://schemas.openxmlformats.org/markup-compatibility/2006">
          <mc:Choice Requires="x14">
            <control shapeId="13680" r:id="rId486" name="Button 2416">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3679" r:id="rId487" name="Button 2415">
              <controlPr defaultSize="0" autoFill="0" autoLine="0" autoPict="0" macro="[0]!Sheet1.deleteRow">
                <anchor moveWithCells="1" sizeWithCells="1">
                  <from>
                    <xdr:col>6</xdr:col>
                    <xdr:colOff>0</xdr:colOff>
                    <xdr:row>695</xdr:row>
                    <xdr:rowOff>0</xdr:rowOff>
                  </from>
                  <to>
                    <xdr:col>7</xdr:col>
                    <xdr:colOff>0</xdr:colOff>
                    <xdr:row>695</xdr:row>
                    <xdr:rowOff>161925</xdr:rowOff>
                  </to>
                </anchor>
              </controlPr>
            </control>
          </mc:Choice>
        </mc:AlternateContent>
        <mc:AlternateContent xmlns:mc="http://schemas.openxmlformats.org/markup-compatibility/2006">
          <mc:Choice Requires="x14">
            <control shapeId="13678" r:id="rId488" name="Button 2414">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3677" r:id="rId489" name="Button 2413">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3676" r:id="rId490" name="Button 2412">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3675" r:id="rId491" name="Button 2411">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3674" r:id="rId492" name="Button 2410">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3673" r:id="rId493" name="Button 2409">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3672" r:id="rId494" name="Button 2408">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3671" r:id="rId495" name="Button 2407">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3670" r:id="rId496" name="Button 2406">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3669" r:id="rId497" name="Button 2405">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3668" r:id="rId498" name="Button 2404">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3667" r:id="rId499" name="Button 2403">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3666" r:id="rId500" name="Button 2402">
              <controlPr defaultSize="0" autoFill="0" autoLine="0" autoPict="0" macro="[0]!Sheet1.deleteProcedure">
                <anchor moveWithCells="1" sizeWithCells="1">
                  <from>
                    <xdr:col>6</xdr:col>
                    <xdr:colOff>0</xdr:colOff>
                    <xdr:row>710</xdr:row>
                    <xdr:rowOff>0</xdr:rowOff>
                  </from>
                  <to>
                    <xdr:col>7</xdr:col>
                    <xdr:colOff>0</xdr:colOff>
                    <xdr:row>711</xdr:row>
                    <xdr:rowOff>0</xdr:rowOff>
                  </to>
                </anchor>
              </controlPr>
            </control>
          </mc:Choice>
        </mc:AlternateContent>
        <mc:AlternateContent xmlns:mc="http://schemas.openxmlformats.org/markup-compatibility/2006">
          <mc:Choice Requires="x14">
            <control shapeId="13665" r:id="rId501" name="Button 2401">
              <controlPr defaultSize="0" autoFill="0" autoLine="0" autoPict="0" macro="[0]!Sheet1.InsertNewTableRow">
                <anchor moveWithCells="1" sizeWithCells="1">
                  <from>
                    <xdr:col>6</xdr:col>
                    <xdr:colOff>0</xdr:colOff>
                    <xdr:row>717</xdr:row>
                    <xdr:rowOff>0</xdr:rowOff>
                  </from>
                  <to>
                    <xdr:col>7</xdr:col>
                    <xdr:colOff>0</xdr:colOff>
                    <xdr:row>717</xdr:row>
                    <xdr:rowOff>38100</xdr:rowOff>
                  </to>
                </anchor>
              </controlPr>
            </control>
          </mc:Choice>
        </mc:AlternateContent>
        <mc:AlternateContent xmlns:mc="http://schemas.openxmlformats.org/markup-compatibility/2006">
          <mc:Choice Requires="x14">
            <control shapeId="13664" r:id="rId502" name="Button 2400">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3663" r:id="rId503" name="Button 2399">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3662" r:id="rId504" name="Button 2398">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3661" r:id="rId505" name="Button 2397">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3660" r:id="rId506" name="Button 2396">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3659" r:id="rId507" name="Button 2395">
              <controlPr defaultSize="0" autoFill="0" autoLine="0" autoPict="0" macro="[0]!Sheet1.deleteProcedure">
                <anchor moveWithCells="1" sizeWithCells="1">
                  <from>
                    <xdr:col>6</xdr:col>
                    <xdr:colOff>0</xdr:colOff>
                    <xdr:row>725</xdr:row>
                    <xdr:rowOff>0</xdr:rowOff>
                  </from>
                  <to>
                    <xdr:col>7</xdr:col>
                    <xdr:colOff>0</xdr:colOff>
                    <xdr:row>726</xdr:row>
                    <xdr:rowOff>0</xdr:rowOff>
                  </to>
                </anchor>
              </controlPr>
            </control>
          </mc:Choice>
        </mc:AlternateContent>
        <mc:AlternateContent xmlns:mc="http://schemas.openxmlformats.org/markup-compatibility/2006">
          <mc:Choice Requires="x14">
            <control shapeId="13658" r:id="rId508" name="Button 2394">
              <controlPr defaultSize="0" autoFill="0" autoLine="0" autoPict="0" macro="[0]!Sheet1.InsertNewTableRow">
                <anchor moveWithCells="1" sizeWithCells="1">
                  <from>
                    <xdr:col>6</xdr:col>
                    <xdr:colOff>0</xdr:colOff>
                    <xdr:row>732</xdr:row>
                    <xdr:rowOff>0</xdr:rowOff>
                  </from>
                  <to>
                    <xdr:col>7</xdr:col>
                    <xdr:colOff>0</xdr:colOff>
                    <xdr:row>732</xdr:row>
                    <xdr:rowOff>38100</xdr:rowOff>
                  </to>
                </anchor>
              </controlPr>
            </control>
          </mc:Choice>
        </mc:AlternateContent>
        <mc:AlternateContent xmlns:mc="http://schemas.openxmlformats.org/markup-compatibility/2006">
          <mc:Choice Requires="x14">
            <control shapeId="13657" r:id="rId509" name="Button 2393">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3656" r:id="rId510" name="Button 2392">
              <controlPr defaultSize="0" autoFill="0" autoLine="0" autoPict="0" macro="[0]!Sheet1.deleteRow">
                <anchor moveWithCells="1" sizeWithCells="1">
                  <from>
                    <xdr:col>6</xdr:col>
                    <xdr:colOff>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3655" r:id="rId511" name="Button 2391">
              <controlPr defaultSize="0" autoFill="0" autoLine="0" autoPict="0" macro="[0]!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3654" r:id="rId512" name="Button 2390">
              <controlPr defaultSize="0" autoFill="0" autoLine="0" autoPict="0" macro="[0]!Sheet1.deleteRow">
                <anchor moveWithCells="1" sizeWithCells="1">
                  <from>
                    <xdr:col>6</xdr:col>
                    <xdr:colOff>0</xdr:colOff>
                    <xdr:row>736</xdr:row>
                    <xdr:rowOff>0</xdr:rowOff>
                  </from>
                  <to>
                    <xdr:col>7</xdr:col>
                    <xdr:colOff>0</xdr:colOff>
                    <xdr:row>736</xdr:row>
                    <xdr:rowOff>161925</xdr:rowOff>
                  </to>
                </anchor>
              </controlPr>
            </control>
          </mc:Choice>
        </mc:AlternateContent>
        <mc:AlternateContent xmlns:mc="http://schemas.openxmlformats.org/markup-compatibility/2006">
          <mc:Choice Requires="x14">
            <control shapeId="13653" r:id="rId513" name="Button 2389">
              <controlPr defaultSize="0" autoFill="0" autoLine="0" autoPict="0" macro="[0]!Sheet1.deleteRow">
                <anchor moveWithCells="1" sizeWithCells="1">
                  <from>
                    <xdr:col>6</xdr:col>
                    <xdr:colOff>0</xdr:colOff>
                    <xdr:row>737</xdr:row>
                    <xdr:rowOff>0</xdr:rowOff>
                  </from>
                  <to>
                    <xdr:col>7</xdr:col>
                    <xdr:colOff>0</xdr:colOff>
                    <xdr:row>737</xdr:row>
                    <xdr:rowOff>161925</xdr:rowOff>
                  </to>
                </anchor>
              </controlPr>
            </control>
          </mc:Choice>
        </mc:AlternateContent>
        <mc:AlternateContent xmlns:mc="http://schemas.openxmlformats.org/markup-compatibility/2006">
          <mc:Choice Requires="x14">
            <control shapeId="13652" r:id="rId514" name="Button 2388">
              <controlPr defaultSize="0" autoFill="0" autoLine="0" autoPict="0" macro="[0]!Sheet1.deleteRow">
                <anchor moveWithCells="1" sizeWithCells="1">
                  <from>
                    <xdr:col>6</xdr:col>
                    <xdr:colOff>0</xdr:colOff>
                    <xdr:row>738</xdr:row>
                    <xdr:rowOff>0</xdr:rowOff>
                  </from>
                  <to>
                    <xdr:col>7</xdr:col>
                    <xdr:colOff>0</xdr:colOff>
                    <xdr:row>738</xdr:row>
                    <xdr:rowOff>161925</xdr:rowOff>
                  </to>
                </anchor>
              </controlPr>
            </control>
          </mc:Choice>
        </mc:AlternateContent>
        <mc:AlternateContent xmlns:mc="http://schemas.openxmlformats.org/markup-compatibility/2006">
          <mc:Choice Requires="x14">
            <control shapeId="13651" r:id="rId515" name="Button 2387">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3650" r:id="rId516" name="Button 2386">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3649" r:id="rId517" name="Button 2385">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3648" r:id="rId518" name="Button 2384">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3647" r:id="rId519" name="Button 2383">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3646" r:id="rId520" name="Button 2382">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3645" r:id="rId521" name="Button 2381">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3644" r:id="rId522" name="Button 2380">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3643" r:id="rId523" name="Button 2379">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3642" r:id="rId524" name="Button 2378">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3641" r:id="rId525" name="Button 2377">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3640" r:id="rId526" name="Button 2376">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3639" r:id="rId527" name="Button 2375">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3638" r:id="rId528" name="Button 2374">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3637" r:id="rId529" name="Button 2373">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3636" r:id="rId530" name="Button 2372">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3635" r:id="rId531" name="Button 2371">
              <controlPr defaultSize="0" autoFill="0" autoLine="0" autoPict="0" macro="[0]!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3634" r:id="rId532" name="Button 2370">
              <controlPr defaultSize="0" autoFill="0" autoLine="0" autoPict="0" macro="[0]!Sheet1.deleteRow">
                <anchor moveWithCells="1" sizeWithCells="1">
                  <from>
                    <xdr:col>6</xdr:col>
                    <xdr:colOff>0</xdr:colOff>
                    <xdr:row>756</xdr:row>
                    <xdr:rowOff>0</xdr:rowOff>
                  </from>
                  <to>
                    <xdr:col>7</xdr:col>
                    <xdr:colOff>0</xdr:colOff>
                    <xdr:row>756</xdr:row>
                    <xdr:rowOff>161925</xdr:rowOff>
                  </to>
                </anchor>
              </controlPr>
            </control>
          </mc:Choice>
        </mc:AlternateContent>
        <mc:AlternateContent xmlns:mc="http://schemas.openxmlformats.org/markup-compatibility/2006">
          <mc:Choice Requires="x14">
            <control shapeId="13633" r:id="rId533" name="Button 2369">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3632" r:id="rId534" name="Button 2368">
              <controlPr defaultSize="0" autoFill="0" autoLine="0" autoPict="0" macro="[0]!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3631" r:id="rId535" name="Button 2367">
              <controlPr defaultSize="0" autoFill="0" autoLine="0" autoPict="0" macro="[0]!Sheet1.deleteRow">
                <anchor moveWithCells="1" sizeWithCells="1">
                  <from>
                    <xdr:col>6</xdr:col>
                    <xdr:colOff>0</xdr:colOff>
                    <xdr:row>759</xdr:row>
                    <xdr:rowOff>0</xdr:rowOff>
                  </from>
                  <to>
                    <xdr:col>7</xdr:col>
                    <xdr:colOff>0</xdr:colOff>
                    <xdr:row>759</xdr:row>
                    <xdr:rowOff>161925</xdr:rowOff>
                  </to>
                </anchor>
              </controlPr>
            </control>
          </mc:Choice>
        </mc:AlternateContent>
        <mc:AlternateContent xmlns:mc="http://schemas.openxmlformats.org/markup-compatibility/2006">
          <mc:Choice Requires="x14">
            <control shapeId="13630" r:id="rId536" name="Button 2366">
              <controlPr defaultSize="0" autoFill="0" autoLine="0" autoPict="0" macro="[0]!Sheet1.deleteRow">
                <anchor moveWithCells="1" sizeWithCells="1">
                  <from>
                    <xdr:col>6</xdr:col>
                    <xdr:colOff>0</xdr:colOff>
                    <xdr:row>760</xdr:row>
                    <xdr:rowOff>0</xdr:rowOff>
                  </from>
                  <to>
                    <xdr:col>7</xdr:col>
                    <xdr:colOff>0</xdr:colOff>
                    <xdr:row>760</xdr:row>
                    <xdr:rowOff>161925</xdr:rowOff>
                  </to>
                </anchor>
              </controlPr>
            </control>
          </mc:Choice>
        </mc:AlternateContent>
        <mc:AlternateContent xmlns:mc="http://schemas.openxmlformats.org/markup-compatibility/2006">
          <mc:Choice Requires="x14">
            <control shapeId="13629" r:id="rId537" name="Button 2365">
              <controlPr defaultSize="0" autoFill="0" autoLine="0" autoPict="0" macro="[0]!Sheet1.deleteProcedure">
                <anchor moveWithCells="1" sizeWithCells="1">
                  <from>
                    <xdr:col>6</xdr:col>
                    <xdr:colOff>0</xdr:colOff>
                    <xdr:row>763</xdr:row>
                    <xdr:rowOff>0</xdr:rowOff>
                  </from>
                  <to>
                    <xdr:col>7</xdr:col>
                    <xdr:colOff>0</xdr:colOff>
                    <xdr:row>764</xdr:row>
                    <xdr:rowOff>0</xdr:rowOff>
                  </to>
                </anchor>
              </controlPr>
            </control>
          </mc:Choice>
        </mc:AlternateContent>
        <mc:AlternateContent xmlns:mc="http://schemas.openxmlformats.org/markup-compatibility/2006">
          <mc:Choice Requires="x14">
            <control shapeId="13628" r:id="rId538" name="Button 2364">
              <controlPr defaultSize="0" autoFill="0" autoLine="0" autoPict="0" macro="[0]!Sheet1.InsertNewTableRow">
                <anchor moveWithCells="1" sizeWithCells="1">
                  <from>
                    <xdr:col>6</xdr:col>
                    <xdr:colOff>0</xdr:colOff>
                    <xdr:row>770</xdr:row>
                    <xdr:rowOff>0</xdr:rowOff>
                  </from>
                  <to>
                    <xdr:col>7</xdr:col>
                    <xdr:colOff>0</xdr:colOff>
                    <xdr:row>770</xdr:row>
                    <xdr:rowOff>38100</xdr:rowOff>
                  </to>
                </anchor>
              </controlPr>
            </control>
          </mc:Choice>
        </mc:AlternateContent>
        <mc:AlternateContent xmlns:mc="http://schemas.openxmlformats.org/markup-compatibility/2006">
          <mc:Choice Requires="x14">
            <control shapeId="13627" r:id="rId539" name="Button 2363">
              <controlPr defaultSize="0" autoFill="0" autoLine="0" autoPict="0" macro="[0]!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3626" r:id="rId540" name="Button 2362">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3625" r:id="rId541" name="Button 2361">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3624" r:id="rId542" name="Button 2360">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3623" r:id="rId543" name="Button 2359">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3622" r:id="rId544" name="Button 2358">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3621" r:id="rId545" name="Button 2357">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3620" r:id="rId546" name="Button 2356">
              <controlPr defaultSize="0" autoFill="0" autoLine="0" autoPict="0" macro="[0]!Sheet1.deleteRow">
                <anchor moveWithCells="1" sizeWithCells="1">
                  <from>
                    <xdr:col>6</xdr:col>
                    <xdr:colOff>0</xdr:colOff>
                    <xdr:row>778</xdr:row>
                    <xdr:rowOff>0</xdr:rowOff>
                  </from>
                  <to>
                    <xdr:col>7</xdr:col>
                    <xdr:colOff>0</xdr:colOff>
                    <xdr:row>778</xdr:row>
                    <xdr:rowOff>161925</xdr:rowOff>
                  </to>
                </anchor>
              </controlPr>
            </control>
          </mc:Choice>
        </mc:AlternateContent>
        <mc:AlternateContent xmlns:mc="http://schemas.openxmlformats.org/markup-compatibility/2006">
          <mc:Choice Requires="x14">
            <control shapeId="13619" r:id="rId547" name="Button 2355">
              <controlPr defaultSize="0" autoFill="0" autoLine="0" autoPict="0" macro="[0]!Sheet1.deleteProcedure">
                <anchor moveWithCells="1" sizeWithCells="1">
                  <from>
                    <xdr:col>6</xdr:col>
                    <xdr:colOff>0</xdr:colOff>
                    <xdr:row>781</xdr:row>
                    <xdr:rowOff>0</xdr:rowOff>
                  </from>
                  <to>
                    <xdr:col>7</xdr:col>
                    <xdr:colOff>0</xdr:colOff>
                    <xdr:row>782</xdr:row>
                    <xdr:rowOff>0</xdr:rowOff>
                  </to>
                </anchor>
              </controlPr>
            </control>
          </mc:Choice>
        </mc:AlternateContent>
        <mc:AlternateContent xmlns:mc="http://schemas.openxmlformats.org/markup-compatibility/2006">
          <mc:Choice Requires="x14">
            <control shapeId="13618" r:id="rId548" name="Button 2354">
              <controlPr defaultSize="0" autoFill="0" autoLine="0" autoPict="0" macro="[0]!Sheet1.InsertNewTableRow">
                <anchor moveWithCells="1" sizeWithCells="1">
                  <from>
                    <xdr:col>6</xdr:col>
                    <xdr:colOff>0</xdr:colOff>
                    <xdr:row>788</xdr:row>
                    <xdr:rowOff>0</xdr:rowOff>
                  </from>
                  <to>
                    <xdr:col>7</xdr:col>
                    <xdr:colOff>0</xdr:colOff>
                    <xdr:row>788</xdr:row>
                    <xdr:rowOff>38100</xdr:rowOff>
                  </to>
                </anchor>
              </controlPr>
            </control>
          </mc:Choice>
        </mc:AlternateContent>
        <mc:AlternateContent xmlns:mc="http://schemas.openxmlformats.org/markup-compatibility/2006">
          <mc:Choice Requires="x14">
            <control shapeId="13617" r:id="rId549" name="Button 2353">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3616" r:id="rId550" name="Button 2352">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3615" r:id="rId551" name="Button 2351">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3614" r:id="rId552" name="Button 2350">
              <controlPr defaultSize="0" autoFill="0" autoLine="0" autoPict="0" macro="[0]!Sheet1.deleteRow">
                <anchor moveWithCells="1" sizeWithCells="1">
                  <from>
                    <xdr:col>6</xdr:col>
                    <xdr:colOff>0</xdr:colOff>
                    <xdr:row>792</xdr:row>
                    <xdr:rowOff>0</xdr:rowOff>
                  </from>
                  <to>
                    <xdr:col>7</xdr:col>
                    <xdr:colOff>0</xdr:colOff>
                    <xdr:row>792</xdr:row>
                    <xdr:rowOff>161925</xdr:rowOff>
                  </to>
                </anchor>
              </controlPr>
            </control>
          </mc:Choice>
        </mc:AlternateContent>
        <mc:AlternateContent xmlns:mc="http://schemas.openxmlformats.org/markup-compatibility/2006">
          <mc:Choice Requires="x14">
            <control shapeId="13613" r:id="rId553" name="Button 2349">
              <controlPr defaultSize="0" autoFill="0" autoLine="0" autoPict="0" macro="[0]!Sheet1.deleteRow">
                <anchor moveWithCells="1" sizeWithCells="1">
                  <from>
                    <xdr:col>6</xdr:col>
                    <xdr:colOff>0</xdr:colOff>
                    <xdr:row>793</xdr:row>
                    <xdr:rowOff>0</xdr:rowOff>
                  </from>
                  <to>
                    <xdr:col>7</xdr:col>
                    <xdr:colOff>0</xdr:colOff>
                    <xdr:row>793</xdr:row>
                    <xdr:rowOff>161925</xdr:rowOff>
                  </to>
                </anchor>
              </controlPr>
            </control>
          </mc:Choice>
        </mc:AlternateContent>
        <mc:AlternateContent xmlns:mc="http://schemas.openxmlformats.org/markup-compatibility/2006">
          <mc:Choice Requires="x14">
            <control shapeId="13612" r:id="rId554" name="Button 2348">
              <controlPr defaultSize="0" autoFill="0" autoLine="0" autoPict="0" macro="[0]!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3611" r:id="rId555" name="Button 2347">
              <controlPr defaultSize="0" autoFill="0" autoLine="0" autoPict="0" macro="[0]!Sheet1.deleteRow">
                <anchor moveWithCells="1" sizeWithCells="1">
                  <from>
                    <xdr:col>6</xdr:col>
                    <xdr:colOff>0</xdr:colOff>
                    <xdr:row>795</xdr:row>
                    <xdr:rowOff>0</xdr:rowOff>
                  </from>
                  <to>
                    <xdr:col>7</xdr:col>
                    <xdr:colOff>0</xdr:colOff>
                    <xdr:row>795</xdr:row>
                    <xdr:rowOff>161925</xdr:rowOff>
                  </to>
                </anchor>
              </controlPr>
            </control>
          </mc:Choice>
        </mc:AlternateContent>
        <mc:AlternateContent xmlns:mc="http://schemas.openxmlformats.org/markup-compatibility/2006">
          <mc:Choice Requires="x14">
            <control shapeId="13610" r:id="rId556" name="Button 2346">
              <controlPr defaultSize="0" autoFill="0" autoLine="0" autoPict="0" macro="[0]!Sheet1.deleteRow">
                <anchor moveWithCells="1" sizeWithCells="1">
                  <from>
                    <xdr:col>6</xdr:col>
                    <xdr:colOff>0</xdr:colOff>
                    <xdr:row>796</xdr:row>
                    <xdr:rowOff>0</xdr:rowOff>
                  </from>
                  <to>
                    <xdr:col>7</xdr:col>
                    <xdr:colOff>0</xdr:colOff>
                    <xdr:row>796</xdr:row>
                    <xdr:rowOff>161925</xdr:rowOff>
                  </to>
                </anchor>
              </controlPr>
            </control>
          </mc:Choice>
        </mc:AlternateContent>
        <mc:AlternateContent xmlns:mc="http://schemas.openxmlformats.org/markup-compatibility/2006">
          <mc:Choice Requires="x14">
            <control shapeId="13609" r:id="rId557" name="Button 2345">
              <controlPr defaultSize="0" autoFill="0" autoLine="0" autoPict="0" macro="[0]!Sheet1.deleteRow">
                <anchor moveWithCells="1" sizeWithCells="1">
                  <from>
                    <xdr:col>6</xdr:col>
                    <xdr:colOff>0</xdr:colOff>
                    <xdr:row>797</xdr:row>
                    <xdr:rowOff>0</xdr:rowOff>
                  </from>
                  <to>
                    <xdr:col>7</xdr:col>
                    <xdr:colOff>0</xdr:colOff>
                    <xdr:row>797</xdr:row>
                    <xdr:rowOff>161925</xdr:rowOff>
                  </to>
                </anchor>
              </controlPr>
            </control>
          </mc:Choice>
        </mc:AlternateContent>
        <mc:AlternateContent xmlns:mc="http://schemas.openxmlformats.org/markup-compatibility/2006">
          <mc:Choice Requires="x14">
            <control shapeId="13608" r:id="rId558" name="Button 2344">
              <controlPr defaultSize="0" autoFill="0" autoLine="0" autoPict="0" macro="[0]!Sheet1.deleteRow">
                <anchor moveWithCells="1" sizeWithCells="1">
                  <from>
                    <xdr:col>6</xdr:col>
                    <xdr:colOff>0</xdr:colOff>
                    <xdr:row>798</xdr:row>
                    <xdr:rowOff>0</xdr:rowOff>
                  </from>
                  <to>
                    <xdr:col>7</xdr:col>
                    <xdr:colOff>0</xdr:colOff>
                    <xdr:row>798</xdr:row>
                    <xdr:rowOff>161925</xdr:rowOff>
                  </to>
                </anchor>
              </controlPr>
            </control>
          </mc:Choice>
        </mc:AlternateContent>
        <mc:AlternateContent xmlns:mc="http://schemas.openxmlformats.org/markup-compatibility/2006">
          <mc:Choice Requires="x14">
            <control shapeId="13607" r:id="rId559" name="Button 2343">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3606" r:id="rId560" name="Button 2342">
              <controlPr defaultSize="0" autoFill="0" autoLine="0" autoPict="0" macro="[0]!Sheet1.deleteRow">
                <anchor moveWithCells="1" sizeWithCells="1">
                  <from>
                    <xdr:col>6</xdr:col>
                    <xdr:colOff>0</xdr:colOff>
                    <xdr:row>800</xdr:row>
                    <xdr:rowOff>0</xdr:rowOff>
                  </from>
                  <to>
                    <xdr:col>7</xdr:col>
                    <xdr:colOff>0</xdr:colOff>
                    <xdr:row>800</xdr:row>
                    <xdr:rowOff>161925</xdr:rowOff>
                  </to>
                </anchor>
              </controlPr>
            </control>
          </mc:Choice>
        </mc:AlternateContent>
        <mc:AlternateContent xmlns:mc="http://schemas.openxmlformats.org/markup-compatibility/2006">
          <mc:Choice Requires="x14">
            <control shapeId="13605" r:id="rId561" name="Button 2341">
              <controlPr defaultSize="0" autoFill="0" autoLine="0" autoPict="0" macro="[0]!Sheet1.deleteRow">
                <anchor moveWithCells="1" sizeWithCells="1">
                  <from>
                    <xdr:col>6</xdr:col>
                    <xdr:colOff>0</xdr:colOff>
                    <xdr:row>801</xdr:row>
                    <xdr:rowOff>0</xdr:rowOff>
                  </from>
                  <to>
                    <xdr:col>7</xdr:col>
                    <xdr:colOff>0</xdr:colOff>
                    <xdr:row>801</xdr:row>
                    <xdr:rowOff>161925</xdr:rowOff>
                  </to>
                </anchor>
              </controlPr>
            </control>
          </mc:Choice>
        </mc:AlternateContent>
        <mc:AlternateContent xmlns:mc="http://schemas.openxmlformats.org/markup-compatibility/2006">
          <mc:Choice Requires="x14">
            <control shapeId="13604" r:id="rId562" name="Button 2340">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3603" r:id="rId563" name="Button 2339">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3602" r:id="rId564" name="Button 2338">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3601" r:id="rId565" name="Button 2337">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3600" r:id="rId566" name="Button 2336">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3599" r:id="rId567" name="Button 2335">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3598" r:id="rId568" name="Button 2334">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3597" r:id="rId569" name="Button 2333">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3596" r:id="rId570" name="Button 2332">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3595" r:id="rId571" name="Button 2331">
              <controlPr defaultSize="0" autoFill="0" autoLine="0" autoPict="0" macro="[0]!Sheet1.deleteRow">
                <anchor moveWithCells="1" sizeWithCells="1">
                  <from>
                    <xdr:col>6</xdr:col>
                    <xdr:colOff>0</xdr:colOff>
                    <xdr:row>811</xdr:row>
                    <xdr:rowOff>0</xdr:rowOff>
                  </from>
                  <to>
                    <xdr:col>7</xdr:col>
                    <xdr:colOff>0</xdr:colOff>
                    <xdr:row>811</xdr:row>
                    <xdr:rowOff>161925</xdr:rowOff>
                  </to>
                </anchor>
              </controlPr>
            </control>
          </mc:Choice>
        </mc:AlternateContent>
        <mc:AlternateContent xmlns:mc="http://schemas.openxmlformats.org/markup-compatibility/2006">
          <mc:Choice Requires="x14">
            <control shapeId="13594" r:id="rId572" name="Button 2330">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3593" r:id="rId573" name="Button 2329">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3592" r:id="rId574" name="Button 2328">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3591" r:id="rId575" name="Button 2327">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3590" r:id="rId576" name="Button 2326">
              <controlPr defaultSize="0" autoFill="0" autoLine="0" autoPict="0" macro="[0]!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3589" r:id="rId577" name="Button 2325">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3588" r:id="rId578" name="Button 2324">
              <controlPr defaultSize="0" autoFill="0" autoLine="0" autoPict="0" macro="[0]!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3587" r:id="rId579" name="Button 2323">
              <controlPr defaultSize="0" autoFill="0" autoLine="0" autoPict="0" macro="[0]!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3586" r:id="rId580" name="Button 2322">
              <controlPr defaultSize="0" autoFill="0" autoLine="0" autoPict="0" macro="[0]!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3585" r:id="rId581" name="Button 2321">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3584" r:id="rId582" name="Button 2320">
              <controlPr defaultSize="0" autoFill="0" autoLine="0" autoPict="0" macro="[0]!Sheet1.deleteRow">
                <anchor moveWithCells="1" sizeWithCells="1">
                  <from>
                    <xdr:col>6</xdr:col>
                    <xdr:colOff>0</xdr:colOff>
                    <xdr:row>822</xdr:row>
                    <xdr:rowOff>0</xdr:rowOff>
                  </from>
                  <to>
                    <xdr:col>7</xdr:col>
                    <xdr:colOff>0</xdr:colOff>
                    <xdr:row>822</xdr:row>
                    <xdr:rowOff>161925</xdr:rowOff>
                  </to>
                </anchor>
              </controlPr>
            </control>
          </mc:Choice>
        </mc:AlternateContent>
        <mc:AlternateContent xmlns:mc="http://schemas.openxmlformats.org/markup-compatibility/2006">
          <mc:Choice Requires="x14">
            <control shapeId="13583" r:id="rId583" name="Button 2319">
              <controlPr defaultSize="0" autoFill="0" autoLine="0" autoPict="0" macro="[0]!Sheet1.deleteRow">
                <anchor moveWithCells="1" sizeWithCells="1">
                  <from>
                    <xdr:col>6</xdr:col>
                    <xdr:colOff>0</xdr:colOff>
                    <xdr:row>823</xdr:row>
                    <xdr:rowOff>0</xdr:rowOff>
                  </from>
                  <to>
                    <xdr:col>7</xdr:col>
                    <xdr:colOff>0</xdr:colOff>
                    <xdr:row>823</xdr:row>
                    <xdr:rowOff>161925</xdr:rowOff>
                  </to>
                </anchor>
              </controlPr>
            </control>
          </mc:Choice>
        </mc:AlternateContent>
        <mc:AlternateContent xmlns:mc="http://schemas.openxmlformats.org/markup-compatibility/2006">
          <mc:Choice Requires="x14">
            <control shapeId="13582" r:id="rId584" name="Button 2318">
              <controlPr defaultSize="0" autoFill="0" autoLine="0" autoPict="0" macro="[0]!Sheet1.deleteRow">
                <anchor moveWithCells="1" sizeWithCells="1">
                  <from>
                    <xdr:col>6</xdr:col>
                    <xdr:colOff>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3581" r:id="rId585" name="Button 2317">
              <controlPr defaultSize="0" autoFill="0" autoLine="0" autoPict="0" macro="[0]!Sheet1.deleteRow">
                <anchor moveWithCells="1" sizeWithCells="1">
                  <from>
                    <xdr:col>6</xdr:col>
                    <xdr:colOff>0</xdr:colOff>
                    <xdr:row>825</xdr:row>
                    <xdr:rowOff>0</xdr:rowOff>
                  </from>
                  <to>
                    <xdr:col>7</xdr:col>
                    <xdr:colOff>0</xdr:colOff>
                    <xdr:row>825</xdr:row>
                    <xdr:rowOff>161925</xdr:rowOff>
                  </to>
                </anchor>
              </controlPr>
            </control>
          </mc:Choice>
        </mc:AlternateContent>
        <mc:AlternateContent xmlns:mc="http://schemas.openxmlformats.org/markup-compatibility/2006">
          <mc:Choice Requires="x14">
            <control shapeId="13580" r:id="rId586" name="Button 2316">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3579" r:id="rId587" name="Button 2315">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3578" r:id="rId588" name="Button 2314">
              <controlPr defaultSize="0" autoFill="0" autoLine="0" autoPict="0" macro="[0]!Sheet1.deleteRow">
                <anchor moveWithCells="1" sizeWithCells="1">
                  <from>
                    <xdr:col>6</xdr:col>
                    <xdr:colOff>0</xdr:colOff>
                    <xdr:row>828</xdr:row>
                    <xdr:rowOff>0</xdr:rowOff>
                  </from>
                  <to>
                    <xdr:col>7</xdr:col>
                    <xdr:colOff>0</xdr:colOff>
                    <xdr:row>828</xdr:row>
                    <xdr:rowOff>161925</xdr:rowOff>
                  </to>
                </anchor>
              </controlPr>
            </control>
          </mc:Choice>
        </mc:AlternateContent>
        <mc:AlternateContent xmlns:mc="http://schemas.openxmlformats.org/markup-compatibility/2006">
          <mc:Choice Requires="x14">
            <control shapeId="13577" r:id="rId589" name="Button 2313">
              <controlPr defaultSize="0" autoFill="0" autoLine="0" autoPict="0" macro="[0]!Sheet1.deleteRow">
                <anchor moveWithCells="1" sizeWithCells="1">
                  <from>
                    <xdr:col>6</xdr:col>
                    <xdr:colOff>0</xdr:colOff>
                    <xdr:row>829</xdr:row>
                    <xdr:rowOff>0</xdr:rowOff>
                  </from>
                  <to>
                    <xdr:col>7</xdr:col>
                    <xdr:colOff>0</xdr:colOff>
                    <xdr:row>829</xdr:row>
                    <xdr:rowOff>161925</xdr:rowOff>
                  </to>
                </anchor>
              </controlPr>
            </control>
          </mc:Choice>
        </mc:AlternateContent>
        <mc:AlternateContent xmlns:mc="http://schemas.openxmlformats.org/markup-compatibility/2006">
          <mc:Choice Requires="x14">
            <control shapeId="13576" r:id="rId590" name="Button 2312">
              <controlPr defaultSize="0" autoFill="0" autoLine="0" autoPict="0" macro="[0]!Sheet1.deleteRow">
                <anchor moveWithCells="1" sizeWithCells="1">
                  <from>
                    <xdr:col>6</xdr:col>
                    <xdr:colOff>0</xdr:colOff>
                    <xdr:row>830</xdr:row>
                    <xdr:rowOff>0</xdr:rowOff>
                  </from>
                  <to>
                    <xdr:col>7</xdr:col>
                    <xdr:colOff>0</xdr:colOff>
                    <xdr:row>830</xdr:row>
                    <xdr:rowOff>161925</xdr:rowOff>
                  </to>
                </anchor>
              </controlPr>
            </control>
          </mc:Choice>
        </mc:AlternateContent>
        <mc:AlternateContent xmlns:mc="http://schemas.openxmlformats.org/markup-compatibility/2006">
          <mc:Choice Requires="x14">
            <control shapeId="13575" r:id="rId591" name="Button 2311">
              <controlPr defaultSize="0" autoFill="0" autoLine="0" autoPict="0" macro="[0]!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3574" r:id="rId592" name="Button 2310">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3573" r:id="rId593" name="Button 2309">
              <controlPr defaultSize="0" autoFill="0" autoLine="0" autoPict="0" macro="[0]!Sheet1.deleteRow">
                <anchor moveWithCells="1" sizeWithCells="1">
                  <from>
                    <xdr:col>6</xdr:col>
                    <xdr:colOff>0</xdr:colOff>
                    <xdr:row>833</xdr:row>
                    <xdr:rowOff>0</xdr:rowOff>
                  </from>
                  <to>
                    <xdr:col>7</xdr:col>
                    <xdr:colOff>0</xdr:colOff>
                    <xdr:row>833</xdr:row>
                    <xdr:rowOff>161925</xdr:rowOff>
                  </to>
                </anchor>
              </controlPr>
            </control>
          </mc:Choice>
        </mc:AlternateContent>
        <mc:AlternateContent xmlns:mc="http://schemas.openxmlformats.org/markup-compatibility/2006">
          <mc:Choice Requires="x14">
            <control shapeId="13572" r:id="rId594" name="Button 2308">
              <controlPr defaultSize="0" autoFill="0" autoLine="0" autoPict="0" macro="[0]!Sheet1.deleteRow">
                <anchor moveWithCells="1" sizeWithCells="1">
                  <from>
                    <xdr:col>6</xdr:col>
                    <xdr:colOff>0</xdr:colOff>
                    <xdr:row>834</xdr:row>
                    <xdr:rowOff>0</xdr:rowOff>
                  </from>
                  <to>
                    <xdr:col>7</xdr:col>
                    <xdr:colOff>0</xdr:colOff>
                    <xdr:row>834</xdr:row>
                    <xdr:rowOff>161925</xdr:rowOff>
                  </to>
                </anchor>
              </controlPr>
            </control>
          </mc:Choice>
        </mc:AlternateContent>
        <mc:AlternateContent xmlns:mc="http://schemas.openxmlformats.org/markup-compatibility/2006">
          <mc:Choice Requires="x14">
            <control shapeId="13571" r:id="rId595" name="Button 2307">
              <controlPr defaultSize="0" autoFill="0" autoLine="0" autoPict="0" macro="[0]!Sheet1.deleteRow">
                <anchor moveWithCells="1" sizeWithCells="1">
                  <from>
                    <xdr:col>6</xdr:col>
                    <xdr:colOff>0</xdr:colOff>
                    <xdr:row>835</xdr:row>
                    <xdr:rowOff>0</xdr:rowOff>
                  </from>
                  <to>
                    <xdr:col>7</xdr:col>
                    <xdr:colOff>0</xdr:colOff>
                    <xdr:row>835</xdr:row>
                    <xdr:rowOff>161925</xdr:rowOff>
                  </to>
                </anchor>
              </controlPr>
            </control>
          </mc:Choice>
        </mc:AlternateContent>
        <mc:AlternateContent xmlns:mc="http://schemas.openxmlformats.org/markup-compatibility/2006">
          <mc:Choice Requires="x14">
            <control shapeId="13570" r:id="rId596" name="Button 2306">
              <controlPr defaultSize="0" autoFill="0" autoLine="0" autoPict="0" macro="[0]!Sheet1.deleteRow">
                <anchor moveWithCells="1" sizeWithCells="1">
                  <from>
                    <xdr:col>6</xdr:col>
                    <xdr:colOff>0</xdr:colOff>
                    <xdr:row>836</xdr:row>
                    <xdr:rowOff>0</xdr:rowOff>
                  </from>
                  <to>
                    <xdr:col>7</xdr:col>
                    <xdr:colOff>0</xdr:colOff>
                    <xdr:row>836</xdr:row>
                    <xdr:rowOff>161925</xdr:rowOff>
                  </to>
                </anchor>
              </controlPr>
            </control>
          </mc:Choice>
        </mc:AlternateContent>
        <mc:AlternateContent xmlns:mc="http://schemas.openxmlformats.org/markup-compatibility/2006">
          <mc:Choice Requires="x14">
            <control shapeId="13569" r:id="rId597" name="Button 2305">
              <controlPr defaultSize="0" autoFill="0" autoLine="0" autoPict="0" macro="[0]!Sheet1.deleteRow">
                <anchor moveWithCells="1" sizeWithCells="1">
                  <from>
                    <xdr:col>6</xdr:col>
                    <xdr:colOff>0</xdr:colOff>
                    <xdr:row>837</xdr:row>
                    <xdr:rowOff>0</xdr:rowOff>
                  </from>
                  <to>
                    <xdr:col>7</xdr:col>
                    <xdr:colOff>0</xdr:colOff>
                    <xdr:row>837</xdr:row>
                    <xdr:rowOff>161925</xdr:rowOff>
                  </to>
                </anchor>
              </controlPr>
            </control>
          </mc:Choice>
        </mc:AlternateContent>
        <mc:AlternateContent xmlns:mc="http://schemas.openxmlformats.org/markup-compatibility/2006">
          <mc:Choice Requires="x14">
            <control shapeId="13568" r:id="rId598" name="Button 2304">
              <controlPr defaultSize="0" autoFill="0" autoLine="0" autoPict="0" macro="[0]!Sheet1.deleteRow">
                <anchor moveWithCells="1" sizeWithCells="1">
                  <from>
                    <xdr:col>6</xdr:col>
                    <xdr:colOff>0</xdr:colOff>
                    <xdr:row>838</xdr:row>
                    <xdr:rowOff>0</xdr:rowOff>
                  </from>
                  <to>
                    <xdr:col>7</xdr:col>
                    <xdr:colOff>0</xdr:colOff>
                    <xdr:row>838</xdr:row>
                    <xdr:rowOff>161925</xdr:rowOff>
                  </to>
                </anchor>
              </controlPr>
            </control>
          </mc:Choice>
        </mc:AlternateContent>
        <mc:AlternateContent xmlns:mc="http://schemas.openxmlformats.org/markup-compatibility/2006">
          <mc:Choice Requires="x14">
            <control shapeId="13567" r:id="rId599" name="Button 2303">
              <controlPr defaultSize="0" autoFill="0" autoLine="0" autoPict="0" macro="[0]!Sheet1.deleteProcedure">
                <anchor moveWithCells="1" sizeWithCells="1">
                  <from>
                    <xdr:col>6</xdr:col>
                    <xdr:colOff>0</xdr:colOff>
                    <xdr:row>841</xdr:row>
                    <xdr:rowOff>0</xdr:rowOff>
                  </from>
                  <to>
                    <xdr:col>7</xdr:col>
                    <xdr:colOff>0</xdr:colOff>
                    <xdr:row>842</xdr:row>
                    <xdr:rowOff>0</xdr:rowOff>
                  </to>
                </anchor>
              </controlPr>
            </control>
          </mc:Choice>
        </mc:AlternateContent>
        <mc:AlternateContent xmlns:mc="http://schemas.openxmlformats.org/markup-compatibility/2006">
          <mc:Choice Requires="x14">
            <control shapeId="13566" r:id="rId600" name="Button 2302">
              <controlPr defaultSize="0" autoFill="0" autoLine="0" autoPict="0" macro="[0]!Sheet1.InsertNewTableRow">
                <anchor moveWithCells="1" sizeWithCells="1">
                  <from>
                    <xdr:col>6</xdr:col>
                    <xdr:colOff>0</xdr:colOff>
                    <xdr:row>848</xdr:row>
                    <xdr:rowOff>0</xdr:rowOff>
                  </from>
                  <to>
                    <xdr:col>7</xdr:col>
                    <xdr:colOff>0</xdr:colOff>
                    <xdr:row>848</xdr:row>
                    <xdr:rowOff>38100</xdr:rowOff>
                  </to>
                </anchor>
              </controlPr>
            </control>
          </mc:Choice>
        </mc:AlternateContent>
        <mc:AlternateContent xmlns:mc="http://schemas.openxmlformats.org/markup-compatibility/2006">
          <mc:Choice Requires="x14">
            <control shapeId="13565" r:id="rId601" name="Button 2301">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3564" r:id="rId602" name="Button 2300">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3563" r:id="rId603" name="Button 2299">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3562" r:id="rId604" name="Button 2298">
              <controlPr defaultSize="0" autoFill="0" autoLine="0" autoPict="0" macro="[0]!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3561" r:id="rId605" name="Button 2297">
              <controlPr defaultSize="0" autoFill="0" autoLine="0" autoPict="0" macro="[0]!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3560" r:id="rId606" name="Button 2296">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3559" r:id="rId607" name="Button 2295">
              <controlPr defaultSize="0" autoFill="0" autoLine="0" autoPict="0" macro="[0]!Sheet1.deleteProcedure">
                <anchor moveWithCells="1" sizeWithCells="1">
                  <from>
                    <xdr:col>6</xdr:col>
                    <xdr:colOff>0</xdr:colOff>
                    <xdr:row>857</xdr:row>
                    <xdr:rowOff>0</xdr:rowOff>
                  </from>
                  <to>
                    <xdr:col>7</xdr:col>
                    <xdr:colOff>0</xdr:colOff>
                    <xdr:row>858</xdr:row>
                    <xdr:rowOff>0</xdr:rowOff>
                  </to>
                </anchor>
              </controlPr>
            </control>
          </mc:Choice>
        </mc:AlternateContent>
        <mc:AlternateContent xmlns:mc="http://schemas.openxmlformats.org/markup-compatibility/2006">
          <mc:Choice Requires="x14">
            <control shapeId="13558" r:id="rId608" name="Button 2294">
              <controlPr defaultSize="0" autoFill="0" autoLine="0" autoPict="0" macro="[0]!Sheet1.InsertNewTableRow">
                <anchor moveWithCells="1" sizeWithCells="1">
                  <from>
                    <xdr:col>6</xdr:col>
                    <xdr:colOff>0</xdr:colOff>
                    <xdr:row>864</xdr:row>
                    <xdr:rowOff>0</xdr:rowOff>
                  </from>
                  <to>
                    <xdr:col>7</xdr:col>
                    <xdr:colOff>0</xdr:colOff>
                    <xdr:row>864</xdr:row>
                    <xdr:rowOff>38100</xdr:rowOff>
                  </to>
                </anchor>
              </controlPr>
            </control>
          </mc:Choice>
        </mc:AlternateContent>
        <mc:AlternateContent xmlns:mc="http://schemas.openxmlformats.org/markup-compatibility/2006">
          <mc:Choice Requires="x14">
            <control shapeId="13557" r:id="rId609" name="Button 2293">
              <controlPr defaultSize="0" autoFill="0" autoLine="0" autoPict="0" macro="[0]!Sheet1.deleteRow">
                <anchor moveWithCells="1" sizeWithCells="1">
                  <from>
                    <xdr:col>6</xdr:col>
                    <xdr:colOff>0</xdr:colOff>
                    <xdr:row>865</xdr:row>
                    <xdr:rowOff>0</xdr:rowOff>
                  </from>
                  <to>
                    <xdr:col>7</xdr:col>
                    <xdr:colOff>0</xdr:colOff>
                    <xdr:row>865</xdr:row>
                    <xdr:rowOff>161925</xdr:rowOff>
                  </to>
                </anchor>
              </controlPr>
            </control>
          </mc:Choice>
        </mc:AlternateContent>
        <mc:AlternateContent xmlns:mc="http://schemas.openxmlformats.org/markup-compatibility/2006">
          <mc:Choice Requires="x14">
            <control shapeId="13556" r:id="rId610" name="Button 2292">
              <controlPr defaultSize="0" autoFill="0" autoLine="0" autoPict="0" macro="[0]!Sheet1.deleteProcedure">
                <anchor moveWithCells="1" sizeWithCells="1">
                  <from>
                    <xdr:col>6</xdr:col>
                    <xdr:colOff>0</xdr:colOff>
                    <xdr:row>868</xdr:row>
                    <xdr:rowOff>0</xdr:rowOff>
                  </from>
                  <to>
                    <xdr:col>7</xdr:col>
                    <xdr:colOff>0</xdr:colOff>
                    <xdr:row>869</xdr:row>
                    <xdr:rowOff>0</xdr:rowOff>
                  </to>
                </anchor>
              </controlPr>
            </control>
          </mc:Choice>
        </mc:AlternateContent>
        <mc:AlternateContent xmlns:mc="http://schemas.openxmlformats.org/markup-compatibility/2006">
          <mc:Choice Requires="x14">
            <control shapeId="13555" r:id="rId611" name="Button 2291">
              <controlPr defaultSize="0" autoFill="0" autoLine="0" autoPict="0" macro="[0]!Sheet1.InsertNewTableRow">
                <anchor moveWithCells="1" sizeWithCells="1">
                  <from>
                    <xdr:col>6</xdr:col>
                    <xdr:colOff>0</xdr:colOff>
                    <xdr:row>875</xdr:row>
                    <xdr:rowOff>0</xdr:rowOff>
                  </from>
                  <to>
                    <xdr:col>7</xdr:col>
                    <xdr:colOff>0</xdr:colOff>
                    <xdr:row>875</xdr:row>
                    <xdr:rowOff>38100</xdr:rowOff>
                  </to>
                </anchor>
              </controlPr>
            </control>
          </mc:Choice>
        </mc:AlternateContent>
        <mc:AlternateContent xmlns:mc="http://schemas.openxmlformats.org/markup-compatibility/2006">
          <mc:Choice Requires="x14">
            <control shapeId="13554" r:id="rId612" name="Button 2290">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3553" r:id="rId613" name="Button 2289">
              <controlPr defaultSize="0" autoFill="0" autoLine="0" autoPict="0" macro="[0]!Sheet1.deleteRow">
                <anchor moveWithCells="1" sizeWithCells="1">
                  <from>
                    <xdr:col>6</xdr:col>
                    <xdr:colOff>0</xdr:colOff>
                    <xdr:row>877</xdr:row>
                    <xdr:rowOff>0</xdr:rowOff>
                  </from>
                  <to>
                    <xdr:col>7</xdr:col>
                    <xdr:colOff>0</xdr:colOff>
                    <xdr:row>877</xdr:row>
                    <xdr:rowOff>161925</xdr:rowOff>
                  </to>
                </anchor>
              </controlPr>
            </control>
          </mc:Choice>
        </mc:AlternateContent>
        <mc:AlternateContent xmlns:mc="http://schemas.openxmlformats.org/markup-compatibility/2006">
          <mc:Choice Requires="x14">
            <control shapeId="13552" r:id="rId614" name="Button 2288">
              <controlPr defaultSize="0" autoFill="0" autoLine="0" autoPict="0" macro="[0]!Sheet1.deleteProcedure">
                <anchor moveWithCells="1" sizeWithCells="1">
                  <from>
                    <xdr:col>6</xdr:col>
                    <xdr:colOff>0</xdr:colOff>
                    <xdr:row>880</xdr:row>
                    <xdr:rowOff>0</xdr:rowOff>
                  </from>
                  <to>
                    <xdr:col>7</xdr:col>
                    <xdr:colOff>0</xdr:colOff>
                    <xdr:row>881</xdr:row>
                    <xdr:rowOff>0</xdr:rowOff>
                  </to>
                </anchor>
              </controlPr>
            </control>
          </mc:Choice>
        </mc:AlternateContent>
        <mc:AlternateContent xmlns:mc="http://schemas.openxmlformats.org/markup-compatibility/2006">
          <mc:Choice Requires="x14">
            <control shapeId="13551" r:id="rId615" name="Button 2287">
              <controlPr defaultSize="0" autoFill="0" autoLine="0" autoPict="0" macro="[0]!Sheet1.InsertNewTableRow">
                <anchor moveWithCells="1" sizeWithCells="1">
                  <from>
                    <xdr:col>6</xdr:col>
                    <xdr:colOff>0</xdr:colOff>
                    <xdr:row>887</xdr:row>
                    <xdr:rowOff>0</xdr:rowOff>
                  </from>
                  <to>
                    <xdr:col>7</xdr:col>
                    <xdr:colOff>0</xdr:colOff>
                    <xdr:row>887</xdr:row>
                    <xdr:rowOff>38100</xdr:rowOff>
                  </to>
                </anchor>
              </controlPr>
            </control>
          </mc:Choice>
        </mc:AlternateContent>
        <mc:AlternateContent xmlns:mc="http://schemas.openxmlformats.org/markup-compatibility/2006">
          <mc:Choice Requires="x14">
            <control shapeId="13550" r:id="rId616" name="Button 2286">
              <controlPr defaultSize="0" autoFill="0" autoLine="0" autoPict="0" macro="[0]!Sheet1.deleteRow">
                <anchor moveWithCells="1" sizeWithCells="1">
                  <from>
                    <xdr:col>6</xdr:col>
                    <xdr:colOff>0</xdr:colOff>
                    <xdr:row>888</xdr:row>
                    <xdr:rowOff>0</xdr:rowOff>
                  </from>
                  <to>
                    <xdr:col>7</xdr:col>
                    <xdr:colOff>0</xdr:colOff>
                    <xdr:row>888</xdr:row>
                    <xdr:rowOff>161925</xdr:rowOff>
                  </to>
                </anchor>
              </controlPr>
            </control>
          </mc:Choice>
        </mc:AlternateContent>
        <mc:AlternateContent xmlns:mc="http://schemas.openxmlformats.org/markup-compatibility/2006">
          <mc:Choice Requires="x14">
            <control shapeId="13549" r:id="rId617" name="Button 2285">
              <controlPr defaultSize="0" autoFill="0" autoLine="0" autoPict="0" macro="[0]!Sheet1.deleteRow">
                <anchor moveWithCells="1" sizeWithCells="1">
                  <from>
                    <xdr:col>6</xdr:col>
                    <xdr:colOff>0</xdr:colOff>
                    <xdr:row>889</xdr:row>
                    <xdr:rowOff>0</xdr:rowOff>
                  </from>
                  <to>
                    <xdr:col>7</xdr:col>
                    <xdr:colOff>0</xdr:colOff>
                    <xdr:row>889</xdr:row>
                    <xdr:rowOff>161925</xdr:rowOff>
                  </to>
                </anchor>
              </controlPr>
            </control>
          </mc:Choice>
        </mc:AlternateContent>
        <mc:AlternateContent xmlns:mc="http://schemas.openxmlformats.org/markup-compatibility/2006">
          <mc:Choice Requires="x14">
            <control shapeId="13548" r:id="rId618" name="Button 2284">
              <controlPr defaultSize="0" autoFill="0" autoLine="0" autoPict="0" macro="[0]!Sheet1.deleteProcedure">
                <anchor moveWithCells="1" sizeWithCells="1">
                  <from>
                    <xdr:col>6</xdr:col>
                    <xdr:colOff>0</xdr:colOff>
                    <xdr:row>892</xdr:row>
                    <xdr:rowOff>0</xdr:rowOff>
                  </from>
                  <to>
                    <xdr:col>7</xdr:col>
                    <xdr:colOff>0</xdr:colOff>
                    <xdr:row>893</xdr:row>
                    <xdr:rowOff>0</xdr:rowOff>
                  </to>
                </anchor>
              </controlPr>
            </control>
          </mc:Choice>
        </mc:AlternateContent>
        <mc:AlternateContent xmlns:mc="http://schemas.openxmlformats.org/markup-compatibility/2006">
          <mc:Choice Requires="x14">
            <control shapeId="13547" r:id="rId619" name="Button 2283">
              <controlPr defaultSize="0" autoFill="0" autoLine="0" autoPict="0" macro="[0]!Sheet1.InsertNewTableRow">
                <anchor moveWithCells="1" sizeWithCells="1">
                  <from>
                    <xdr:col>6</xdr:col>
                    <xdr:colOff>0</xdr:colOff>
                    <xdr:row>899</xdr:row>
                    <xdr:rowOff>0</xdr:rowOff>
                  </from>
                  <to>
                    <xdr:col>7</xdr:col>
                    <xdr:colOff>0</xdr:colOff>
                    <xdr:row>899</xdr:row>
                    <xdr:rowOff>38100</xdr:rowOff>
                  </to>
                </anchor>
              </controlPr>
            </control>
          </mc:Choice>
        </mc:AlternateContent>
        <mc:AlternateContent xmlns:mc="http://schemas.openxmlformats.org/markup-compatibility/2006">
          <mc:Choice Requires="x14">
            <control shapeId="13546" r:id="rId620" name="Button 2282">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3545" r:id="rId621" name="Button 2281">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3544" r:id="rId622" name="Button 2280">
              <controlPr defaultSize="0" autoFill="0" autoLine="0" autoPict="0" macro="[0]!Sheet1.deleteProcedure">
                <anchor moveWithCells="1" sizeWithCells="1">
                  <from>
                    <xdr:col>6</xdr:col>
                    <xdr:colOff>0</xdr:colOff>
                    <xdr:row>904</xdr:row>
                    <xdr:rowOff>0</xdr:rowOff>
                  </from>
                  <to>
                    <xdr:col>7</xdr:col>
                    <xdr:colOff>0</xdr:colOff>
                    <xdr:row>905</xdr:row>
                    <xdr:rowOff>0</xdr:rowOff>
                  </to>
                </anchor>
              </controlPr>
            </control>
          </mc:Choice>
        </mc:AlternateContent>
        <mc:AlternateContent xmlns:mc="http://schemas.openxmlformats.org/markup-compatibility/2006">
          <mc:Choice Requires="x14">
            <control shapeId="13543" r:id="rId623" name="Button 2279">
              <controlPr defaultSize="0" autoFill="0" autoLine="0" autoPict="0" macro="[0]!Sheet1.InsertNewTableRow">
                <anchor moveWithCells="1" sizeWithCells="1">
                  <from>
                    <xdr:col>6</xdr:col>
                    <xdr:colOff>0</xdr:colOff>
                    <xdr:row>911</xdr:row>
                    <xdr:rowOff>0</xdr:rowOff>
                  </from>
                  <to>
                    <xdr:col>7</xdr:col>
                    <xdr:colOff>0</xdr:colOff>
                    <xdr:row>911</xdr:row>
                    <xdr:rowOff>38100</xdr:rowOff>
                  </to>
                </anchor>
              </controlPr>
            </control>
          </mc:Choice>
        </mc:AlternateContent>
        <mc:AlternateContent xmlns:mc="http://schemas.openxmlformats.org/markup-compatibility/2006">
          <mc:Choice Requires="x14">
            <control shapeId="13542" r:id="rId624" name="Button 2278">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3541" r:id="rId625" name="Button 2277">
              <controlPr defaultSize="0" autoFill="0" autoLine="0" autoPict="0" macro="[0]!Sheet1.deleteRow">
                <anchor moveWithCells="1" sizeWithCells="1">
                  <from>
                    <xdr:col>6</xdr:col>
                    <xdr:colOff>0</xdr:colOff>
                    <xdr:row>913</xdr:row>
                    <xdr:rowOff>0</xdr:rowOff>
                  </from>
                  <to>
                    <xdr:col>7</xdr:col>
                    <xdr:colOff>0</xdr:colOff>
                    <xdr:row>913</xdr:row>
                    <xdr:rowOff>161925</xdr:rowOff>
                  </to>
                </anchor>
              </controlPr>
            </control>
          </mc:Choice>
        </mc:AlternateContent>
        <mc:AlternateContent xmlns:mc="http://schemas.openxmlformats.org/markup-compatibility/2006">
          <mc:Choice Requires="x14">
            <control shapeId="13540" r:id="rId626" name="Button 2276">
              <controlPr defaultSize="0" autoFill="0" autoLine="0" autoPict="0" macro="[0]!Sheet1.deleteRow">
                <anchor moveWithCells="1" sizeWithCells="1">
                  <from>
                    <xdr:col>6</xdr:col>
                    <xdr:colOff>0</xdr:colOff>
                    <xdr:row>914</xdr:row>
                    <xdr:rowOff>0</xdr:rowOff>
                  </from>
                  <to>
                    <xdr:col>7</xdr:col>
                    <xdr:colOff>0</xdr:colOff>
                    <xdr:row>914</xdr:row>
                    <xdr:rowOff>161925</xdr:rowOff>
                  </to>
                </anchor>
              </controlPr>
            </control>
          </mc:Choice>
        </mc:AlternateContent>
        <mc:AlternateContent xmlns:mc="http://schemas.openxmlformats.org/markup-compatibility/2006">
          <mc:Choice Requires="x14">
            <control shapeId="13539" r:id="rId627" name="Button 2275">
              <controlPr defaultSize="0" autoFill="0" autoLine="0" autoPict="0" macro="[0]!Sheet1.deleteProcedure">
                <anchor moveWithCells="1" sizeWithCells="1">
                  <from>
                    <xdr:col>6</xdr:col>
                    <xdr:colOff>0</xdr:colOff>
                    <xdr:row>917</xdr:row>
                    <xdr:rowOff>0</xdr:rowOff>
                  </from>
                  <to>
                    <xdr:col>7</xdr:col>
                    <xdr:colOff>0</xdr:colOff>
                    <xdr:row>918</xdr:row>
                    <xdr:rowOff>0</xdr:rowOff>
                  </to>
                </anchor>
              </controlPr>
            </control>
          </mc:Choice>
        </mc:AlternateContent>
        <mc:AlternateContent xmlns:mc="http://schemas.openxmlformats.org/markup-compatibility/2006">
          <mc:Choice Requires="x14">
            <control shapeId="13538" r:id="rId628" name="Button 2274">
              <controlPr defaultSize="0" autoFill="0" autoLine="0" autoPict="0" macro="[0]!Sheet1.InsertNewTableRow">
                <anchor moveWithCells="1" sizeWithCells="1">
                  <from>
                    <xdr:col>6</xdr:col>
                    <xdr:colOff>0</xdr:colOff>
                    <xdr:row>924</xdr:row>
                    <xdr:rowOff>0</xdr:rowOff>
                  </from>
                  <to>
                    <xdr:col>7</xdr:col>
                    <xdr:colOff>0</xdr:colOff>
                    <xdr:row>924</xdr:row>
                    <xdr:rowOff>38100</xdr:rowOff>
                  </to>
                </anchor>
              </controlPr>
            </control>
          </mc:Choice>
        </mc:AlternateContent>
        <mc:AlternateContent xmlns:mc="http://schemas.openxmlformats.org/markup-compatibility/2006">
          <mc:Choice Requires="x14">
            <control shapeId="13537" r:id="rId629" name="Button 2273">
              <controlPr defaultSize="0" autoFill="0" autoLine="0" autoPict="0" macro="[0]!Sheet1.deleteRow">
                <anchor moveWithCells="1" sizeWithCells="1">
                  <from>
                    <xdr:col>6</xdr:col>
                    <xdr:colOff>0</xdr:colOff>
                    <xdr:row>925</xdr:row>
                    <xdr:rowOff>0</xdr:rowOff>
                  </from>
                  <to>
                    <xdr:col>7</xdr:col>
                    <xdr:colOff>0</xdr:colOff>
                    <xdr:row>925</xdr:row>
                    <xdr:rowOff>161925</xdr:rowOff>
                  </to>
                </anchor>
              </controlPr>
            </control>
          </mc:Choice>
        </mc:AlternateContent>
        <mc:AlternateContent xmlns:mc="http://schemas.openxmlformats.org/markup-compatibility/2006">
          <mc:Choice Requires="x14">
            <control shapeId="13536" r:id="rId630" name="Button 2272">
              <controlPr defaultSize="0" autoFill="0" autoLine="0" autoPict="0" macro="[0]!Sheet1.deleteRow">
                <anchor moveWithCells="1" sizeWithCells="1">
                  <from>
                    <xdr:col>6</xdr:col>
                    <xdr:colOff>0</xdr:colOff>
                    <xdr:row>926</xdr:row>
                    <xdr:rowOff>0</xdr:rowOff>
                  </from>
                  <to>
                    <xdr:col>7</xdr:col>
                    <xdr:colOff>0</xdr:colOff>
                    <xdr:row>926</xdr:row>
                    <xdr:rowOff>161925</xdr:rowOff>
                  </to>
                </anchor>
              </controlPr>
            </control>
          </mc:Choice>
        </mc:AlternateContent>
        <mc:AlternateContent xmlns:mc="http://schemas.openxmlformats.org/markup-compatibility/2006">
          <mc:Choice Requires="x14">
            <control shapeId="13535" r:id="rId631" name="Button 2271">
              <controlPr defaultSize="0" autoFill="0" autoLine="0" autoPict="0" macro="[0]!Sheet1.deleteRow">
                <anchor moveWithCells="1" sizeWithCells="1">
                  <from>
                    <xdr:col>6</xdr:col>
                    <xdr:colOff>0</xdr:colOff>
                    <xdr:row>927</xdr:row>
                    <xdr:rowOff>0</xdr:rowOff>
                  </from>
                  <to>
                    <xdr:col>7</xdr:col>
                    <xdr:colOff>0</xdr:colOff>
                    <xdr:row>927</xdr:row>
                    <xdr:rowOff>161925</xdr:rowOff>
                  </to>
                </anchor>
              </controlPr>
            </control>
          </mc:Choice>
        </mc:AlternateContent>
        <mc:AlternateContent xmlns:mc="http://schemas.openxmlformats.org/markup-compatibility/2006">
          <mc:Choice Requires="x14">
            <control shapeId="13534" r:id="rId632" name="Button 2270">
              <controlPr defaultSize="0" autoFill="0" autoLine="0" autoPict="0" macro="[0]!Sheet1.deleteRow">
                <anchor moveWithCells="1" sizeWithCells="1">
                  <from>
                    <xdr:col>6</xdr:col>
                    <xdr:colOff>0</xdr:colOff>
                    <xdr:row>928</xdr:row>
                    <xdr:rowOff>0</xdr:rowOff>
                  </from>
                  <to>
                    <xdr:col>7</xdr:col>
                    <xdr:colOff>0</xdr:colOff>
                    <xdr:row>928</xdr:row>
                    <xdr:rowOff>161925</xdr:rowOff>
                  </to>
                </anchor>
              </controlPr>
            </control>
          </mc:Choice>
        </mc:AlternateContent>
        <mc:AlternateContent xmlns:mc="http://schemas.openxmlformats.org/markup-compatibility/2006">
          <mc:Choice Requires="x14">
            <control shapeId="13533" r:id="rId633" name="Button 2269">
              <controlPr defaultSize="0" autoFill="0" autoLine="0" autoPict="0" macro="[0]!Sheet1.deleteRow">
                <anchor moveWithCells="1" sizeWithCells="1">
                  <from>
                    <xdr:col>6</xdr:col>
                    <xdr:colOff>0</xdr:colOff>
                    <xdr:row>929</xdr:row>
                    <xdr:rowOff>0</xdr:rowOff>
                  </from>
                  <to>
                    <xdr:col>7</xdr:col>
                    <xdr:colOff>0</xdr:colOff>
                    <xdr:row>929</xdr:row>
                    <xdr:rowOff>161925</xdr:rowOff>
                  </to>
                </anchor>
              </controlPr>
            </control>
          </mc:Choice>
        </mc:AlternateContent>
        <mc:AlternateContent xmlns:mc="http://schemas.openxmlformats.org/markup-compatibility/2006">
          <mc:Choice Requires="x14">
            <control shapeId="13532" r:id="rId634" name="Button 2268">
              <controlPr defaultSize="0" autoFill="0" autoLine="0" autoPict="0" macro="[0]!Sheet1.deleteRow">
                <anchor moveWithCells="1" sizeWithCells="1">
                  <from>
                    <xdr:col>6</xdr:col>
                    <xdr:colOff>0</xdr:colOff>
                    <xdr:row>930</xdr:row>
                    <xdr:rowOff>0</xdr:rowOff>
                  </from>
                  <to>
                    <xdr:col>7</xdr:col>
                    <xdr:colOff>0</xdr:colOff>
                    <xdr:row>930</xdr:row>
                    <xdr:rowOff>161925</xdr:rowOff>
                  </to>
                </anchor>
              </controlPr>
            </control>
          </mc:Choice>
        </mc:AlternateContent>
        <mc:AlternateContent xmlns:mc="http://schemas.openxmlformats.org/markup-compatibility/2006">
          <mc:Choice Requires="x14">
            <control shapeId="13531" r:id="rId635" name="Button 2267">
              <controlPr defaultSize="0" autoFill="0" autoLine="0" autoPict="0" macro="[0]!Sheet1.deleteRow">
                <anchor moveWithCells="1" sizeWithCells="1">
                  <from>
                    <xdr:col>6</xdr:col>
                    <xdr:colOff>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3530" r:id="rId636" name="Button 2266">
              <controlPr defaultSize="0" autoFill="0" autoLine="0" autoPict="0" macro="[0]!Sheet1.deleteRow">
                <anchor moveWithCells="1" sizeWithCells="1">
                  <from>
                    <xdr:col>6</xdr:col>
                    <xdr:colOff>0</xdr:colOff>
                    <xdr:row>932</xdr:row>
                    <xdr:rowOff>0</xdr:rowOff>
                  </from>
                  <to>
                    <xdr:col>7</xdr:col>
                    <xdr:colOff>0</xdr:colOff>
                    <xdr:row>932</xdr:row>
                    <xdr:rowOff>161925</xdr:rowOff>
                  </to>
                </anchor>
              </controlPr>
            </control>
          </mc:Choice>
        </mc:AlternateContent>
        <mc:AlternateContent xmlns:mc="http://schemas.openxmlformats.org/markup-compatibility/2006">
          <mc:Choice Requires="x14">
            <control shapeId="13529" r:id="rId637" name="Button 2265">
              <controlPr defaultSize="0" autoFill="0" autoLine="0" autoPict="0" macro="[0]!Sheet1.deleteRow">
                <anchor moveWithCells="1" sizeWithCells="1">
                  <from>
                    <xdr:col>6</xdr:col>
                    <xdr:colOff>0</xdr:colOff>
                    <xdr:row>933</xdr:row>
                    <xdr:rowOff>0</xdr:rowOff>
                  </from>
                  <to>
                    <xdr:col>7</xdr:col>
                    <xdr:colOff>0</xdr:colOff>
                    <xdr:row>933</xdr:row>
                    <xdr:rowOff>161925</xdr:rowOff>
                  </to>
                </anchor>
              </controlPr>
            </control>
          </mc:Choice>
        </mc:AlternateContent>
        <mc:AlternateContent xmlns:mc="http://schemas.openxmlformats.org/markup-compatibility/2006">
          <mc:Choice Requires="x14">
            <control shapeId="13528" r:id="rId638" name="Button 2264">
              <controlPr defaultSize="0" autoFill="0" autoLine="0" autoPict="0" macro="[0]!Sheet1.deleteRow">
                <anchor moveWithCells="1" sizeWithCells="1">
                  <from>
                    <xdr:col>6</xdr:col>
                    <xdr:colOff>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3527" r:id="rId639" name="Button 2263">
              <controlPr defaultSize="0" autoFill="0" autoLine="0" autoPict="0" macro="[0]!Sheet1.deleteRow">
                <anchor moveWithCells="1" sizeWithCells="1">
                  <from>
                    <xdr:col>6</xdr:col>
                    <xdr:colOff>0</xdr:colOff>
                    <xdr:row>935</xdr:row>
                    <xdr:rowOff>0</xdr:rowOff>
                  </from>
                  <to>
                    <xdr:col>7</xdr:col>
                    <xdr:colOff>0</xdr:colOff>
                    <xdr:row>935</xdr:row>
                    <xdr:rowOff>161925</xdr:rowOff>
                  </to>
                </anchor>
              </controlPr>
            </control>
          </mc:Choice>
        </mc:AlternateContent>
        <mc:AlternateContent xmlns:mc="http://schemas.openxmlformats.org/markup-compatibility/2006">
          <mc:Choice Requires="x14">
            <control shapeId="13526" r:id="rId640" name="Button 2262">
              <controlPr defaultSize="0" autoFill="0" autoLine="0" autoPict="0" macro="[0]!Sheet1.deleteRow">
                <anchor moveWithCells="1" sizeWithCells="1">
                  <from>
                    <xdr:col>6</xdr:col>
                    <xdr:colOff>0</xdr:colOff>
                    <xdr:row>936</xdr:row>
                    <xdr:rowOff>0</xdr:rowOff>
                  </from>
                  <to>
                    <xdr:col>7</xdr:col>
                    <xdr:colOff>0</xdr:colOff>
                    <xdr:row>936</xdr:row>
                    <xdr:rowOff>161925</xdr:rowOff>
                  </to>
                </anchor>
              </controlPr>
            </control>
          </mc:Choice>
        </mc:AlternateContent>
        <mc:AlternateContent xmlns:mc="http://schemas.openxmlformats.org/markup-compatibility/2006">
          <mc:Choice Requires="x14">
            <control shapeId="13525" r:id="rId641" name="Button 2261">
              <controlPr defaultSize="0" autoFill="0" autoLine="0" autoPict="0" macro="[0]!Sheet1.deleteRow">
                <anchor moveWithCells="1" sizeWithCells="1">
                  <from>
                    <xdr:col>6</xdr:col>
                    <xdr:colOff>0</xdr:colOff>
                    <xdr:row>937</xdr:row>
                    <xdr:rowOff>0</xdr:rowOff>
                  </from>
                  <to>
                    <xdr:col>7</xdr:col>
                    <xdr:colOff>0</xdr:colOff>
                    <xdr:row>937</xdr:row>
                    <xdr:rowOff>161925</xdr:rowOff>
                  </to>
                </anchor>
              </controlPr>
            </control>
          </mc:Choice>
        </mc:AlternateContent>
        <mc:AlternateContent xmlns:mc="http://schemas.openxmlformats.org/markup-compatibility/2006">
          <mc:Choice Requires="x14">
            <control shapeId="13524" r:id="rId642" name="Button 2260">
              <controlPr defaultSize="0" autoFill="0" autoLine="0" autoPict="0" macro="[0]!Sheet1.deleteRow">
                <anchor moveWithCells="1" sizeWithCells="1">
                  <from>
                    <xdr:col>6</xdr:col>
                    <xdr:colOff>0</xdr:colOff>
                    <xdr:row>938</xdr:row>
                    <xdr:rowOff>0</xdr:rowOff>
                  </from>
                  <to>
                    <xdr:col>7</xdr:col>
                    <xdr:colOff>0</xdr:colOff>
                    <xdr:row>938</xdr:row>
                    <xdr:rowOff>161925</xdr:rowOff>
                  </to>
                </anchor>
              </controlPr>
            </control>
          </mc:Choice>
        </mc:AlternateContent>
        <mc:AlternateContent xmlns:mc="http://schemas.openxmlformats.org/markup-compatibility/2006">
          <mc:Choice Requires="x14">
            <control shapeId="13523" r:id="rId643" name="Button 2259">
              <controlPr defaultSize="0" autoFill="0" autoLine="0" autoPict="0" macro="[0]!Sheet1.deleteRow">
                <anchor moveWithCells="1" sizeWithCells="1">
                  <from>
                    <xdr:col>6</xdr:col>
                    <xdr:colOff>0</xdr:colOff>
                    <xdr:row>939</xdr:row>
                    <xdr:rowOff>0</xdr:rowOff>
                  </from>
                  <to>
                    <xdr:col>7</xdr:col>
                    <xdr:colOff>0</xdr:colOff>
                    <xdr:row>939</xdr:row>
                    <xdr:rowOff>161925</xdr:rowOff>
                  </to>
                </anchor>
              </controlPr>
            </control>
          </mc:Choice>
        </mc:AlternateContent>
        <mc:AlternateContent xmlns:mc="http://schemas.openxmlformats.org/markup-compatibility/2006">
          <mc:Choice Requires="x14">
            <control shapeId="13522" r:id="rId644" name="Button 2258">
              <controlPr defaultSize="0" autoFill="0" autoLine="0" autoPict="0" macro="[0]!Sheet1.deleteRow">
                <anchor moveWithCells="1" sizeWithCells="1">
                  <from>
                    <xdr:col>6</xdr:col>
                    <xdr:colOff>0</xdr:colOff>
                    <xdr:row>940</xdr:row>
                    <xdr:rowOff>0</xdr:rowOff>
                  </from>
                  <to>
                    <xdr:col>7</xdr:col>
                    <xdr:colOff>0</xdr:colOff>
                    <xdr:row>940</xdr:row>
                    <xdr:rowOff>161925</xdr:rowOff>
                  </to>
                </anchor>
              </controlPr>
            </control>
          </mc:Choice>
        </mc:AlternateContent>
        <mc:AlternateContent xmlns:mc="http://schemas.openxmlformats.org/markup-compatibility/2006">
          <mc:Choice Requires="x14">
            <control shapeId="13521" r:id="rId645" name="Button 2257">
              <controlPr defaultSize="0" autoFill="0" autoLine="0" autoPict="0" macro="[0]!Sheet1.deleteRow">
                <anchor moveWithCells="1" sizeWithCells="1">
                  <from>
                    <xdr:col>6</xdr:col>
                    <xdr:colOff>0</xdr:colOff>
                    <xdr:row>941</xdr:row>
                    <xdr:rowOff>0</xdr:rowOff>
                  </from>
                  <to>
                    <xdr:col>7</xdr:col>
                    <xdr:colOff>0</xdr:colOff>
                    <xdr:row>941</xdr:row>
                    <xdr:rowOff>161925</xdr:rowOff>
                  </to>
                </anchor>
              </controlPr>
            </control>
          </mc:Choice>
        </mc:AlternateContent>
        <mc:AlternateContent xmlns:mc="http://schemas.openxmlformats.org/markup-compatibility/2006">
          <mc:Choice Requires="x14">
            <control shapeId="13520" r:id="rId646" name="Button 2256">
              <controlPr defaultSize="0" autoFill="0" autoLine="0" autoPict="0" macro="[0]!Sheet1.deleteProcedure">
                <anchor moveWithCells="1" sizeWithCells="1">
                  <from>
                    <xdr:col>6</xdr:col>
                    <xdr:colOff>0</xdr:colOff>
                    <xdr:row>944</xdr:row>
                    <xdr:rowOff>0</xdr:rowOff>
                  </from>
                  <to>
                    <xdr:col>7</xdr:col>
                    <xdr:colOff>0</xdr:colOff>
                    <xdr:row>945</xdr:row>
                    <xdr:rowOff>0</xdr:rowOff>
                  </to>
                </anchor>
              </controlPr>
            </control>
          </mc:Choice>
        </mc:AlternateContent>
        <mc:AlternateContent xmlns:mc="http://schemas.openxmlformats.org/markup-compatibility/2006">
          <mc:Choice Requires="x14">
            <control shapeId="13519" r:id="rId647" name="Button 2255">
              <controlPr defaultSize="0" autoFill="0" autoLine="0" autoPict="0" macro="[0]!Sheet1.InsertNewTableRow">
                <anchor moveWithCells="1" sizeWithCells="1">
                  <from>
                    <xdr:col>6</xdr:col>
                    <xdr:colOff>0</xdr:colOff>
                    <xdr:row>951</xdr:row>
                    <xdr:rowOff>0</xdr:rowOff>
                  </from>
                  <to>
                    <xdr:col>7</xdr:col>
                    <xdr:colOff>0</xdr:colOff>
                    <xdr:row>951</xdr:row>
                    <xdr:rowOff>38100</xdr:rowOff>
                  </to>
                </anchor>
              </controlPr>
            </control>
          </mc:Choice>
        </mc:AlternateContent>
        <mc:AlternateContent xmlns:mc="http://schemas.openxmlformats.org/markup-compatibility/2006">
          <mc:Choice Requires="x14">
            <control shapeId="13518" r:id="rId648" name="Button 2254">
              <controlPr defaultSize="0" autoFill="0" autoLine="0" autoPict="0" macro="[0]!Sheet1.deleteRow">
                <anchor moveWithCells="1" sizeWithCells="1">
                  <from>
                    <xdr:col>6</xdr:col>
                    <xdr:colOff>0</xdr:colOff>
                    <xdr:row>952</xdr:row>
                    <xdr:rowOff>0</xdr:rowOff>
                  </from>
                  <to>
                    <xdr:col>7</xdr:col>
                    <xdr:colOff>0</xdr:colOff>
                    <xdr:row>952</xdr:row>
                    <xdr:rowOff>161925</xdr:rowOff>
                  </to>
                </anchor>
              </controlPr>
            </control>
          </mc:Choice>
        </mc:AlternateContent>
        <mc:AlternateContent xmlns:mc="http://schemas.openxmlformats.org/markup-compatibility/2006">
          <mc:Choice Requires="x14">
            <control shapeId="13517" r:id="rId649" name="Button 2253">
              <controlPr defaultSize="0" autoFill="0" autoLine="0" autoPict="0" macro="[0]!Sheet1.deleteProcedure">
                <anchor moveWithCells="1" sizeWithCells="1">
                  <from>
                    <xdr:col>6</xdr:col>
                    <xdr:colOff>0</xdr:colOff>
                    <xdr:row>955</xdr:row>
                    <xdr:rowOff>0</xdr:rowOff>
                  </from>
                  <to>
                    <xdr:col>7</xdr:col>
                    <xdr:colOff>0</xdr:colOff>
                    <xdr:row>956</xdr:row>
                    <xdr:rowOff>0</xdr:rowOff>
                  </to>
                </anchor>
              </controlPr>
            </control>
          </mc:Choice>
        </mc:AlternateContent>
        <mc:AlternateContent xmlns:mc="http://schemas.openxmlformats.org/markup-compatibility/2006">
          <mc:Choice Requires="x14">
            <control shapeId="13516" r:id="rId650" name="Button 2252">
              <controlPr defaultSize="0" autoFill="0" autoLine="0" autoPict="0" macro="[0]!Sheet1.InsertNewTableRow">
                <anchor moveWithCells="1" sizeWithCells="1">
                  <from>
                    <xdr:col>6</xdr:col>
                    <xdr:colOff>0</xdr:colOff>
                    <xdr:row>962</xdr:row>
                    <xdr:rowOff>0</xdr:rowOff>
                  </from>
                  <to>
                    <xdr:col>7</xdr:col>
                    <xdr:colOff>0</xdr:colOff>
                    <xdr:row>962</xdr:row>
                    <xdr:rowOff>38100</xdr:rowOff>
                  </to>
                </anchor>
              </controlPr>
            </control>
          </mc:Choice>
        </mc:AlternateContent>
        <mc:AlternateContent xmlns:mc="http://schemas.openxmlformats.org/markup-compatibility/2006">
          <mc:Choice Requires="x14">
            <control shapeId="13515" r:id="rId651" name="Button 2251">
              <controlPr defaultSize="0" autoFill="0" autoLine="0" autoPict="0" macro="[0]!Sheet1.deleteRow">
                <anchor moveWithCells="1" sizeWithCells="1">
                  <from>
                    <xdr:col>6</xdr:col>
                    <xdr:colOff>0</xdr:colOff>
                    <xdr:row>963</xdr:row>
                    <xdr:rowOff>0</xdr:rowOff>
                  </from>
                  <to>
                    <xdr:col>7</xdr:col>
                    <xdr:colOff>0</xdr:colOff>
                    <xdr:row>963</xdr:row>
                    <xdr:rowOff>161925</xdr:rowOff>
                  </to>
                </anchor>
              </controlPr>
            </control>
          </mc:Choice>
        </mc:AlternateContent>
        <mc:AlternateContent xmlns:mc="http://schemas.openxmlformats.org/markup-compatibility/2006">
          <mc:Choice Requires="x14">
            <control shapeId="13514" r:id="rId652" name="Button 2250">
              <controlPr defaultSize="0" autoFill="0" autoLine="0" autoPict="0" macro="[0]!Sheet1.deleteProcedure">
                <anchor moveWithCells="1" sizeWithCells="1">
                  <from>
                    <xdr:col>6</xdr:col>
                    <xdr:colOff>0</xdr:colOff>
                    <xdr:row>966</xdr:row>
                    <xdr:rowOff>0</xdr:rowOff>
                  </from>
                  <to>
                    <xdr:col>7</xdr:col>
                    <xdr:colOff>0</xdr:colOff>
                    <xdr:row>967</xdr:row>
                    <xdr:rowOff>0</xdr:rowOff>
                  </to>
                </anchor>
              </controlPr>
            </control>
          </mc:Choice>
        </mc:AlternateContent>
        <mc:AlternateContent xmlns:mc="http://schemas.openxmlformats.org/markup-compatibility/2006">
          <mc:Choice Requires="x14">
            <control shapeId="13513" r:id="rId653" name="Button 2249">
              <controlPr defaultSize="0" autoFill="0" autoLine="0" autoPict="0" macro="[0]!Sheet1.InsertNewTableRow">
                <anchor moveWithCells="1" sizeWithCells="1">
                  <from>
                    <xdr:col>6</xdr:col>
                    <xdr:colOff>0</xdr:colOff>
                    <xdr:row>973</xdr:row>
                    <xdr:rowOff>0</xdr:rowOff>
                  </from>
                  <to>
                    <xdr:col>7</xdr:col>
                    <xdr:colOff>0</xdr:colOff>
                    <xdr:row>973</xdr:row>
                    <xdr:rowOff>38100</xdr:rowOff>
                  </to>
                </anchor>
              </controlPr>
            </control>
          </mc:Choice>
        </mc:AlternateContent>
        <mc:AlternateContent xmlns:mc="http://schemas.openxmlformats.org/markup-compatibility/2006">
          <mc:Choice Requires="x14">
            <control shapeId="13512" r:id="rId654" name="Button 2248">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3511" r:id="rId655" name="Button 2247">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3510" r:id="rId656" name="Button 2246">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3509" r:id="rId657" name="Button 2245">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3508" r:id="rId658" name="Button 2244">
              <controlPr defaultSize="0" autoFill="0" autoLine="0" autoPict="0" macro="[0]!Sheet1.deleteProcedure">
                <anchor moveWithCells="1" sizeWithCells="1">
                  <from>
                    <xdr:col>6</xdr:col>
                    <xdr:colOff>0</xdr:colOff>
                    <xdr:row>980</xdr:row>
                    <xdr:rowOff>0</xdr:rowOff>
                  </from>
                  <to>
                    <xdr:col>7</xdr:col>
                    <xdr:colOff>0</xdr:colOff>
                    <xdr:row>981</xdr:row>
                    <xdr:rowOff>0</xdr:rowOff>
                  </to>
                </anchor>
              </controlPr>
            </control>
          </mc:Choice>
        </mc:AlternateContent>
        <mc:AlternateContent xmlns:mc="http://schemas.openxmlformats.org/markup-compatibility/2006">
          <mc:Choice Requires="x14">
            <control shapeId="13507" r:id="rId659" name="Button 2243">
              <controlPr defaultSize="0" autoFill="0" autoLine="0" autoPict="0" macro="[0]!Sheet1.InsertNewTableRow">
                <anchor moveWithCells="1" sizeWithCells="1">
                  <from>
                    <xdr:col>6</xdr:col>
                    <xdr:colOff>0</xdr:colOff>
                    <xdr:row>987</xdr:row>
                    <xdr:rowOff>0</xdr:rowOff>
                  </from>
                  <to>
                    <xdr:col>7</xdr:col>
                    <xdr:colOff>0</xdr:colOff>
                    <xdr:row>987</xdr:row>
                    <xdr:rowOff>38100</xdr:rowOff>
                  </to>
                </anchor>
              </controlPr>
            </control>
          </mc:Choice>
        </mc:AlternateContent>
        <mc:AlternateContent xmlns:mc="http://schemas.openxmlformats.org/markup-compatibility/2006">
          <mc:Choice Requires="x14">
            <control shapeId="13506" r:id="rId660" name="Button 2242">
              <controlPr defaultSize="0" autoFill="0" autoLine="0" autoPict="0" macro="[0]!Sheet1.deleteRow">
                <anchor moveWithCells="1" sizeWithCells="1">
                  <from>
                    <xdr:col>6</xdr:col>
                    <xdr:colOff>0</xdr:colOff>
                    <xdr:row>988</xdr:row>
                    <xdr:rowOff>0</xdr:rowOff>
                  </from>
                  <to>
                    <xdr:col>7</xdr:col>
                    <xdr:colOff>0</xdr:colOff>
                    <xdr:row>988</xdr:row>
                    <xdr:rowOff>161925</xdr:rowOff>
                  </to>
                </anchor>
              </controlPr>
            </control>
          </mc:Choice>
        </mc:AlternateContent>
        <mc:AlternateContent xmlns:mc="http://schemas.openxmlformats.org/markup-compatibility/2006">
          <mc:Choice Requires="x14">
            <control shapeId="13505" r:id="rId661" name="Button 2241">
              <controlPr defaultSize="0" autoFill="0" autoLine="0" autoPict="0" macro="[0]!Sheet1.deleteProcedure">
                <anchor moveWithCells="1" sizeWithCells="1">
                  <from>
                    <xdr:col>6</xdr:col>
                    <xdr:colOff>0</xdr:colOff>
                    <xdr:row>991</xdr:row>
                    <xdr:rowOff>0</xdr:rowOff>
                  </from>
                  <to>
                    <xdr:col>7</xdr:col>
                    <xdr:colOff>0</xdr:colOff>
                    <xdr:row>992</xdr:row>
                    <xdr:rowOff>0</xdr:rowOff>
                  </to>
                </anchor>
              </controlPr>
            </control>
          </mc:Choice>
        </mc:AlternateContent>
        <mc:AlternateContent xmlns:mc="http://schemas.openxmlformats.org/markup-compatibility/2006">
          <mc:Choice Requires="x14">
            <control shapeId="13504" r:id="rId662" name="Button 2240">
              <controlPr defaultSize="0" autoFill="0" autoLine="0" autoPict="0" macro="[0]!Sheet1.InsertNewTableRow">
                <anchor moveWithCells="1" sizeWithCells="1">
                  <from>
                    <xdr:col>6</xdr:col>
                    <xdr:colOff>0</xdr:colOff>
                    <xdr:row>998</xdr:row>
                    <xdr:rowOff>0</xdr:rowOff>
                  </from>
                  <to>
                    <xdr:col>7</xdr:col>
                    <xdr:colOff>0</xdr:colOff>
                    <xdr:row>998</xdr:row>
                    <xdr:rowOff>38100</xdr:rowOff>
                  </to>
                </anchor>
              </controlPr>
            </control>
          </mc:Choice>
        </mc:AlternateContent>
        <mc:AlternateContent xmlns:mc="http://schemas.openxmlformats.org/markup-compatibility/2006">
          <mc:Choice Requires="x14">
            <control shapeId="13503" r:id="rId663" name="Button 2239">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3502" r:id="rId664" name="Button 2238">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3501" r:id="rId665" name="Button 2237">
              <controlPr defaultSize="0" autoFill="0" autoLine="0" autoPict="0" macro="[0]!Sheet1.deleteProcedure">
                <anchor moveWithCells="1" sizeWithCells="1">
                  <from>
                    <xdr:col>6</xdr:col>
                    <xdr:colOff>0</xdr:colOff>
                    <xdr:row>1003</xdr:row>
                    <xdr:rowOff>0</xdr:rowOff>
                  </from>
                  <to>
                    <xdr:col>7</xdr:col>
                    <xdr:colOff>0</xdr:colOff>
                    <xdr:row>1004</xdr:row>
                    <xdr:rowOff>0</xdr:rowOff>
                  </to>
                </anchor>
              </controlPr>
            </control>
          </mc:Choice>
        </mc:AlternateContent>
        <mc:AlternateContent xmlns:mc="http://schemas.openxmlformats.org/markup-compatibility/2006">
          <mc:Choice Requires="x14">
            <control shapeId="13500" r:id="rId666" name="Button 2236">
              <controlPr defaultSize="0" autoFill="0" autoLine="0" autoPict="0" macro="[0]!Sheet1.InsertNewTableRow">
                <anchor moveWithCells="1" sizeWithCells="1">
                  <from>
                    <xdr:col>6</xdr:col>
                    <xdr:colOff>0</xdr:colOff>
                    <xdr:row>1010</xdr:row>
                    <xdr:rowOff>0</xdr:rowOff>
                  </from>
                  <to>
                    <xdr:col>7</xdr:col>
                    <xdr:colOff>0</xdr:colOff>
                    <xdr:row>1010</xdr:row>
                    <xdr:rowOff>38100</xdr:rowOff>
                  </to>
                </anchor>
              </controlPr>
            </control>
          </mc:Choice>
        </mc:AlternateContent>
        <mc:AlternateContent xmlns:mc="http://schemas.openxmlformats.org/markup-compatibility/2006">
          <mc:Choice Requires="x14">
            <control shapeId="13499" r:id="rId667" name="Button 2235">
              <controlPr defaultSize="0" autoFill="0" autoLine="0" autoPict="0" macro="[0]!Sheet1.deleteRow">
                <anchor moveWithCells="1" sizeWithCells="1">
                  <from>
                    <xdr:col>6</xdr:col>
                    <xdr:colOff>0</xdr:colOff>
                    <xdr:row>1011</xdr:row>
                    <xdr:rowOff>0</xdr:rowOff>
                  </from>
                  <to>
                    <xdr:col>7</xdr:col>
                    <xdr:colOff>0</xdr:colOff>
                    <xdr:row>1011</xdr:row>
                    <xdr:rowOff>161925</xdr:rowOff>
                  </to>
                </anchor>
              </controlPr>
            </control>
          </mc:Choice>
        </mc:AlternateContent>
        <mc:AlternateContent xmlns:mc="http://schemas.openxmlformats.org/markup-compatibility/2006">
          <mc:Choice Requires="x14">
            <control shapeId="13498" r:id="rId668" name="Button 2234">
              <controlPr defaultSize="0" autoFill="0" autoLine="0" autoPict="0" macro="[0]!Sheet1.deleteProcedure">
                <anchor moveWithCells="1" sizeWithCells="1">
                  <from>
                    <xdr:col>6</xdr:col>
                    <xdr:colOff>0</xdr:colOff>
                    <xdr:row>1014</xdr:row>
                    <xdr:rowOff>0</xdr:rowOff>
                  </from>
                  <to>
                    <xdr:col>7</xdr:col>
                    <xdr:colOff>0</xdr:colOff>
                    <xdr:row>1015</xdr:row>
                    <xdr:rowOff>0</xdr:rowOff>
                  </to>
                </anchor>
              </controlPr>
            </control>
          </mc:Choice>
        </mc:AlternateContent>
        <mc:AlternateContent xmlns:mc="http://schemas.openxmlformats.org/markup-compatibility/2006">
          <mc:Choice Requires="x14">
            <control shapeId="13497" r:id="rId669" name="Button 2233">
              <controlPr defaultSize="0" autoFill="0" autoLine="0" autoPict="0" macro="[0]!Sheet1.InsertNewTableRow">
                <anchor moveWithCells="1" sizeWithCells="1">
                  <from>
                    <xdr:col>6</xdr:col>
                    <xdr:colOff>0</xdr:colOff>
                    <xdr:row>1021</xdr:row>
                    <xdr:rowOff>0</xdr:rowOff>
                  </from>
                  <to>
                    <xdr:col>7</xdr:col>
                    <xdr:colOff>0</xdr:colOff>
                    <xdr:row>1021</xdr:row>
                    <xdr:rowOff>38100</xdr:rowOff>
                  </to>
                </anchor>
              </controlPr>
            </control>
          </mc:Choice>
        </mc:AlternateContent>
        <mc:AlternateContent xmlns:mc="http://schemas.openxmlformats.org/markup-compatibility/2006">
          <mc:Choice Requires="x14">
            <control shapeId="13496" r:id="rId670" name="Button 2232">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3495" r:id="rId671" name="Button 2231">
              <controlPr defaultSize="0" autoFill="0" autoLine="0" autoPict="0" macro="[0]!Sheet1.deleteProcedure">
                <anchor moveWithCells="1" sizeWithCells="1">
                  <from>
                    <xdr:col>6</xdr:col>
                    <xdr:colOff>0</xdr:colOff>
                    <xdr:row>1025</xdr:row>
                    <xdr:rowOff>0</xdr:rowOff>
                  </from>
                  <to>
                    <xdr:col>7</xdr:col>
                    <xdr:colOff>0</xdr:colOff>
                    <xdr:row>1026</xdr:row>
                    <xdr:rowOff>0</xdr:rowOff>
                  </to>
                </anchor>
              </controlPr>
            </control>
          </mc:Choice>
        </mc:AlternateContent>
        <mc:AlternateContent xmlns:mc="http://schemas.openxmlformats.org/markup-compatibility/2006">
          <mc:Choice Requires="x14">
            <control shapeId="13494" r:id="rId672" name="Button 2230">
              <controlPr defaultSize="0" autoFill="0" autoLine="0" autoPict="0" macro="[0]!Sheet1.InsertNewTableRow">
                <anchor moveWithCells="1" sizeWithCells="1">
                  <from>
                    <xdr:col>6</xdr:col>
                    <xdr:colOff>0</xdr:colOff>
                    <xdr:row>1032</xdr:row>
                    <xdr:rowOff>0</xdr:rowOff>
                  </from>
                  <to>
                    <xdr:col>7</xdr:col>
                    <xdr:colOff>0</xdr:colOff>
                    <xdr:row>1032</xdr:row>
                    <xdr:rowOff>38100</xdr:rowOff>
                  </to>
                </anchor>
              </controlPr>
            </control>
          </mc:Choice>
        </mc:AlternateContent>
        <mc:AlternateContent xmlns:mc="http://schemas.openxmlformats.org/markup-compatibility/2006">
          <mc:Choice Requires="x14">
            <control shapeId="13493" r:id="rId673" name="Button 2229">
              <controlPr defaultSize="0" autoFill="0" autoLine="0" autoPict="0" macro="[0]!Sheet1.deleteRow">
                <anchor moveWithCells="1" sizeWithCells="1">
                  <from>
                    <xdr:col>6</xdr:col>
                    <xdr:colOff>0</xdr:colOff>
                    <xdr:row>1033</xdr:row>
                    <xdr:rowOff>0</xdr:rowOff>
                  </from>
                  <to>
                    <xdr:col>7</xdr:col>
                    <xdr:colOff>0</xdr:colOff>
                    <xdr:row>1033</xdr:row>
                    <xdr:rowOff>161925</xdr:rowOff>
                  </to>
                </anchor>
              </controlPr>
            </control>
          </mc:Choice>
        </mc:AlternateContent>
        <mc:AlternateContent xmlns:mc="http://schemas.openxmlformats.org/markup-compatibility/2006">
          <mc:Choice Requires="x14">
            <control shapeId="13492" r:id="rId674" name="Button 2228">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3491" r:id="rId675" name="Button 2227">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3490" r:id="rId676" name="Button 2226">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3489" r:id="rId677" name="Button 2225">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3488" r:id="rId678" name="Button 2224">
              <controlPr defaultSize="0" autoFill="0" autoLine="0" autoPict="0" macro="[0]!Sheet1.deleteProcedure">
                <anchor moveWithCells="1" sizeWithCells="1">
                  <from>
                    <xdr:col>6</xdr:col>
                    <xdr:colOff>0</xdr:colOff>
                    <xdr:row>1040</xdr:row>
                    <xdr:rowOff>0</xdr:rowOff>
                  </from>
                  <to>
                    <xdr:col>7</xdr:col>
                    <xdr:colOff>0</xdr:colOff>
                    <xdr:row>1041</xdr:row>
                    <xdr:rowOff>0</xdr:rowOff>
                  </to>
                </anchor>
              </controlPr>
            </control>
          </mc:Choice>
        </mc:AlternateContent>
        <mc:AlternateContent xmlns:mc="http://schemas.openxmlformats.org/markup-compatibility/2006">
          <mc:Choice Requires="x14">
            <control shapeId="13487" r:id="rId679" name="Button 2223">
              <controlPr defaultSize="0" autoFill="0" autoLine="0" autoPict="0" macro="[0]!Sheet1.InsertNewTableRow">
                <anchor moveWithCells="1" sizeWithCells="1">
                  <from>
                    <xdr:col>6</xdr:col>
                    <xdr:colOff>0</xdr:colOff>
                    <xdr:row>1047</xdr:row>
                    <xdr:rowOff>0</xdr:rowOff>
                  </from>
                  <to>
                    <xdr:col>7</xdr:col>
                    <xdr:colOff>0</xdr:colOff>
                    <xdr:row>1047</xdr:row>
                    <xdr:rowOff>38100</xdr:rowOff>
                  </to>
                </anchor>
              </controlPr>
            </control>
          </mc:Choice>
        </mc:AlternateContent>
        <mc:AlternateContent xmlns:mc="http://schemas.openxmlformats.org/markup-compatibility/2006">
          <mc:Choice Requires="x14">
            <control shapeId="13486" r:id="rId680" name="Button 2222">
              <controlPr defaultSize="0" autoFill="0" autoLine="0" autoPict="0" macro="[0]!Sheet1.deleteRow">
                <anchor moveWithCells="1" sizeWithCells="1">
                  <from>
                    <xdr:col>6</xdr:col>
                    <xdr:colOff>0</xdr:colOff>
                    <xdr:row>1048</xdr:row>
                    <xdr:rowOff>0</xdr:rowOff>
                  </from>
                  <to>
                    <xdr:col>7</xdr:col>
                    <xdr:colOff>0</xdr:colOff>
                    <xdr:row>1048</xdr:row>
                    <xdr:rowOff>161925</xdr:rowOff>
                  </to>
                </anchor>
              </controlPr>
            </control>
          </mc:Choice>
        </mc:AlternateContent>
        <mc:AlternateContent xmlns:mc="http://schemas.openxmlformats.org/markup-compatibility/2006">
          <mc:Choice Requires="x14">
            <control shapeId="13485" r:id="rId681" name="Button 2221">
              <controlPr defaultSize="0" autoFill="0" autoLine="0" autoPict="0" macro="[0]!Sheet1.deleteRow">
                <anchor moveWithCells="1" sizeWithCells="1">
                  <from>
                    <xdr:col>6</xdr:col>
                    <xdr:colOff>0</xdr:colOff>
                    <xdr:row>1049</xdr:row>
                    <xdr:rowOff>0</xdr:rowOff>
                  </from>
                  <to>
                    <xdr:col>7</xdr:col>
                    <xdr:colOff>0</xdr:colOff>
                    <xdr:row>1049</xdr:row>
                    <xdr:rowOff>161925</xdr:rowOff>
                  </to>
                </anchor>
              </controlPr>
            </control>
          </mc:Choice>
        </mc:AlternateContent>
        <mc:AlternateContent xmlns:mc="http://schemas.openxmlformats.org/markup-compatibility/2006">
          <mc:Choice Requires="x14">
            <control shapeId="13484" r:id="rId682" name="Button 2220">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3483" r:id="rId683" name="Button 2219">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3482" r:id="rId684" name="Button 2218">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3481" r:id="rId685" name="Button 2217">
              <controlPr defaultSize="0" autoFill="0" autoLine="0" autoPict="0" macro="[0]!Sheet1.deleteRow">
                <anchor moveWithCells="1" sizeWithCells="1">
                  <from>
                    <xdr:col>6</xdr:col>
                    <xdr:colOff>0</xdr:colOff>
                    <xdr:row>1053</xdr:row>
                    <xdr:rowOff>0</xdr:rowOff>
                  </from>
                  <to>
                    <xdr:col>7</xdr:col>
                    <xdr:colOff>0</xdr:colOff>
                    <xdr:row>1053</xdr:row>
                    <xdr:rowOff>161925</xdr:rowOff>
                  </to>
                </anchor>
              </controlPr>
            </control>
          </mc:Choice>
        </mc:AlternateContent>
        <mc:AlternateContent xmlns:mc="http://schemas.openxmlformats.org/markup-compatibility/2006">
          <mc:Choice Requires="x14">
            <control shapeId="13480" r:id="rId686" name="Button 2216">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3479" r:id="rId687" name="Button 2215">
              <controlPr defaultSize="0" autoFill="0" autoLine="0" autoPict="0" macro="[0]!Sheet1.deleteRow">
                <anchor moveWithCells="1" sizeWithCells="1">
                  <from>
                    <xdr:col>6</xdr:col>
                    <xdr:colOff>0</xdr:colOff>
                    <xdr:row>1055</xdr:row>
                    <xdr:rowOff>0</xdr:rowOff>
                  </from>
                  <to>
                    <xdr:col>7</xdr:col>
                    <xdr:colOff>0</xdr:colOff>
                    <xdr:row>1055</xdr:row>
                    <xdr:rowOff>161925</xdr:rowOff>
                  </to>
                </anchor>
              </controlPr>
            </control>
          </mc:Choice>
        </mc:AlternateContent>
        <mc:AlternateContent xmlns:mc="http://schemas.openxmlformats.org/markup-compatibility/2006">
          <mc:Choice Requires="x14">
            <control shapeId="13478" r:id="rId688" name="Button 2214">
              <controlPr defaultSize="0" autoFill="0" autoLine="0" autoPict="0" macro="[0]!Sheet1.deleteRow">
                <anchor moveWithCells="1" sizeWithCells="1">
                  <from>
                    <xdr:col>6</xdr:col>
                    <xdr:colOff>0</xdr:colOff>
                    <xdr:row>1056</xdr:row>
                    <xdr:rowOff>0</xdr:rowOff>
                  </from>
                  <to>
                    <xdr:col>7</xdr:col>
                    <xdr:colOff>0</xdr:colOff>
                    <xdr:row>1056</xdr:row>
                    <xdr:rowOff>161925</xdr:rowOff>
                  </to>
                </anchor>
              </controlPr>
            </control>
          </mc:Choice>
        </mc:AlternateContent>
        <mc:AlternateContent xmlns:mc="http://schemas.openxmlformats.org/markup-compatibility/2006">
          <mc:Choice Requires="x14">
            <control shapeId="13477" r:id="rId689" name="Button 2213">
              <controlPr defaultSize="0" autoFill="0" autoLine="0" autoPict="0" macro="[0]!Sheet1.deleteRow">
                <anchor moveWithCells="1" sizeWithCells="1">
                  <from>
                    <xdr:col>6</xdr:col>
                    <xdr:colOff>0</xdr:colOff>
                    <xdr:row>1057</xdr:row>
                    <xdr:rowOff>0</xdr:rowOff>
                  </from>
                  <to>
                    <xdr:col>7</xdr:col>
                    <xdr:colOff>0</xdr:colOff>
                    <xdr:row>1057</xdr:row>
                    <xdr:rowOff>161925</xdr:rowOff>
                  </to>
                </anchor>
              </controlPr>
            </control>
          </mc:Choice>
        </mc:AlternateContent>
        <mc:AlternateContent xmlns:mc="http://schemas.openxmlformats.org/markup-compatibility/2006">
          <mc:Choice Requires="x14">
            <control shapeId="13476" r:id="rId690" name="Button 2212">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3475" r:id="rId691" name="Button 2211">
              <controlPr defaultSize="0" autoFill="0" autoLine="0" autoPict="0" macro="[0]!Sheet1.deleteRow">
                <anchor moveWithCells="1" sizeWithCells="1">
                  <from>
                    <xdr:col>6</xdr:col>
                    <xdr:colOff>0</xdr:colOff>
                    <xdr:row>1059</xdr:row>
                    <xdr:rowOff>0</xdr:rowOff>
                  </from>
                  <to>
                    <xdr:col>7</xdr:col>
                    <xdr:colOff>0</xdr:colOff>
                    <xdr:row>1059</xdr:row>
                    <xdr:rowOff>161925</xdr:rowOff>
                  </to>
                </anchor>
              </controlPr>
            </control>
          </mc:Choice>
        </mc:AlternateContent>
        <mc:AlternateContent xmlns:mc="http://schemas.openxmlformats.org/markup-compatibility/2006">
          <mc:Choice Requires="x14">
            <control shapeId="13474" r:id="rId692" name="Button 2210">
              <controlPr defaultSize="0" autoFill="0" autoLine="0" autoPict="0" macro="[0]!Sheet1.deleteRow">
                <anchor moveWithCells="1" sizeWithCells="1">
                  <from>
                    <xdr:col>6</xdr:col>
                    <xdr:colOff>0</xdr:colOff>
                    <xdr:row>1060</xdr:row>
                    <xdr:rowOff>0</xdr:rowOff>
                  </from>
                  <to>
                    <xdr:col>7</xdr:col>
                    <xdr:colOff>0</xdr:colOff>
                    <xdr:row>1060</xdr:row>
                    <xdr:rowOff>161925</xdr:rowOff>
                  </to>
                </anchor>
              </controlPr>
            </control>
          </mc:Choice>
        </mc:AlternateContent>
        <mc:AlternateContent xmlns:mc="http://schemas.openxmlformats.org/markup-compatibility/2006">
          <mc:Choice Requires="x14">
            <control shapeId="13473" r:id="rId693" name="Button 2209">
              <controlPr defaultSize="0" autoFill="0" autoLine="0" autoPict="0" macro="[0]!Sheet1.deleteRow">
                <anchor moveWithCells="1" sizeWithCells="1">
                  <from>
                    <xdr:col>6</xdr:col>
                    <xdr:colOff>0</xdr:colOff>
                    <xdr:row>1061</xdr:row>
                    <xdr:rowOff>0</xdr:rowOff>
                  </from>
                  <to>
                    <xdr:col>7</xdr:col>
                    <xdr:colOff>0</xdr:colOff>
                    <xdr:row>1061</xdr:row>
                    <xdr:rowOff>161925</xdr:rowOff>
                  </to>
                </anchor>
              </controlPr>
            </control>
          </mc:Choice>
        </mc:AlternateContent>
        <mc:AlternateContent xmlns:mc="http://schemas.openxmlformats.org/markup-compatibility/2006">
          <mc:Choice Requires="x14">
            <control shapeId="13472" r:id="rId694" name="Button 2208">
              <controlPr defaultSize="0" autoFill="0" autoLine="0" autoPict="0" macro="[0]!Sheet1.deleteRow">
                <anchor moveWithCells="1" sizeWithCells="1">
                  <from>
                    <xdr:col>6</xdr:col>
                    <xdr:colOff>0</xdr:colOff>
                    <xdr:row>1062</xdr:row>
                    <xdr:rowOff>0</xdr:rowOff>
                  </from>
                  <to>
                    <xdr:col>7</xdr:col>
                    <xdr:colOff>0</xdr:colOff>
                    <xdr:row>1062</xdr:row>
                    <xdr:rowOff>161925</xdr:rowOff>
                  </to>
                </anchor>
              </controlPr>
            </control>
          </mc:Choice>
        </mc:AlternateContent>
        <mc:AlternateContent xmlns:mc="http://schemas.openxmlformats.org/markup-compatibility/2006">
          <mc:Choice Requires="x14">
            <control shapeId="13471" r:id="rId695" name="Button 2207">
              <controlPr defaultSize="0" autoFill="0" autoLine="0" autoPict="0" macro="[0]!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3470" r:id="rId696" name="Button 2206">
              <controlPr defaultSize="0" autoFill="0" autoLine="0" autoPict="0" macro="[0]!Sheet1.deleteRow">
                <anchor moveWithCells="1" sizeWithCells="1">
                  <from>
                    <xdr:col>6</xdr:col>
                    <xdr:colOff>0</xdr:colOff>
                    <xdr:row>1064</xdr:row>
                    <xdr:rowOff>0</xdr:rowOff>
                  </from>
                  <to>
                    <xdr:col>7</xdr:col>
                    <xdr:colOff>0</xdr:colOff>
                    <xdr:row>1064</xdr:row>
                    <xdr:rowOff>161925</xdr:rowOff>
                  </to>
                </anchor>
              </controlPr>
            </control>
          </mc:Choice>
        </mc:AlternateContent>
        <mc:AlternateContent xmlns:mc="http://schemas.openxmlformats.org/markup-compatibility/2006">
          <mc:Choice Requires="x14">
            <control shapeId="13469" r:id="rId697" name="Button 2205">
              <controlPr defaultSize="0" autoFill="0" autoLine="0" autoPict="0" macro="[0]!Sheet1.deleteRow">
                <anchor moveWithCells="1" sizeWithCells="1">
                  <from>
                    <xdr:col>6</xdr:col>
                    <xdr:colOff>0</xdr:colOff>
                    <xdr:row>1065</xdr:row>
                    <xdr:rowOff>0</xdr:rowOff>
                  </from>
                  <to>
                    <xdr:col>7</xdr:col>
                    <xdr:colOff>0</xdr:colOff>
                    <xdr:row>1065</xdr:row>
                    <xdr:rowOff>161925</xdr:rowOff>
                  </to>
                </anchor>
              </controlPr>
            </control>
          </mc:Choice>
        </mc:AlternateContent>
        <mc:AlternateContent xmlns:mc="http://schemas.openxmlformats.org/markup-compatibility/2006">
          <mc:Choice Requires="x14">
            <control shapeId="13468" r:id="rId698" name="Button 2204">
              <controlPr defaultSize="0" autoFill="0" autoLine="0" autoPict="0" macro="[0]!Sheet1.deleteRow">
                <anchor moveWithCells="1" sizeWithCells="1">
                  <from>
                    <xdr:col>6</xdr:col>
                    <xdr:colOff>0</xdr:colOff>
                    <xdr:row>1066</xdr:row>
                    <xdr:rowOff>0</xdr:rowOff>
                  </from>
                  <to>
                    <xdr:col>7</xdr:col>
                    <xdr:colOff>0</xdr:colOff>
                    <xdr:row>1066</xdr:row>
                    <xdr:rowOff>161925</xdr:rowOff>
                  </to>
                </anchor>
              </controlPr>
            </control>
          </mc:Choice>
        </mc:AlternateContent>
        <mc:AlternateContent xmlns:mc="http://schemas.openxmlformats.org/markup-compatibility/2006">
          <mc:Choice Requires="x14">
            <control shapeId="13467" r:id="rId699" name="Button 2203">
              <controlPr defaultSize="0" autoFill="0" autoLine="0" autoPict="0" macro="[0]!Sheet1.deleteRow">
                <anchor moveWithCells="1" sizeWithCells="1">
                  <from>
                    <xdr:col>6</xdr:col>
                    <xdr:colOff>0</xdr:colOff>
                    <xdr:row>1067</xdr:row>
                    <xdr:rowOff>0</xdr:rowOff>
                  </from>
                  <to>
                    <xdr:col>7</xdr:col>
                    <xdr:colOff>0</xdr:colOff>
                    <xdr:row>1067</xdr:row>
                    <xdr:rowOff>161925</xdr:rowOff>
                  </to>
                </anchor>
              </controlPr>
            </control>
          </mc:Choice>
        </mc:AlternateContent>
        <mc:AlternateContent xmlns:mc="http://schemas.openxmlformats.org/markup-compatibility/2006">
          <mc:Choice Requires="x14">
            <control shapeId="13466" r:id="rId700" name="Button 2202">
              <controlPr defaultSize="0" autoFill="0" autoLine="0" autoPict="0" macro="[0]!Sheet1.deleteRow">
                <anchor moveWithCells="1" sizeWithCells="1">
                  <from>
                    <xdr:col>6</xdr:col>
                    <xdr:colOff>0</xdr:colOff>
                    <xdr:row>1068</xdr:row>
                    <xdr:rowOff>0</xdr:rowOff>
                  </from>
                  <to>
                    <xdr:col>7</xdr:col>
                    <xdr:colOff>0</xdr:colOff>
                    <xdr:row>1068</xdr:row>
                    <xdr:rowOff>161925</xdr:rowOff>
                  </to>
                </anchor>
              </controlPr>
            </control>
          </mc:Choice>
        </mc:AlternateContent>
        <mc:AlternateContent xmlns:mc="http://schemas.openxmlformats.org/markup-compatibility/2006">
          <mc:Choice Requires="x14">
            <control shapeId="13465" r:id="rId701" name="Button 2201">
              <controlPr defaultSize="0" autoFill="0" autoLine="0" autoPict="0" macro="[0]!Sheet1.deleteRow">
                <anchor moveWithCells="1" sizeWithCells="1">
                  <from>
                    <xdr:col>6</xdr:col>
                    <xdr:colOff>0</xdr:colOff>
                    <xdr:row>1069</xdr:row>
                    <xdr:rowOff>0</xdr:rowOff>
                  </from>
                  <to>
                    <xdr:col>7</xdr:col>
                    <xdr:colOff>0</xdr:colOff>
                    <xdr:row>1069</xdr:row>
                    <xdr:rowOff>161925</xdr:rowOff>
                  </to>
                </anchor>
              </controlPr>
            </control>
          </mc:Choice>
        </mc:AlternateContent>
        <mc:AlternateContent xmlns:mc="http://schemas.openxmlformats.org/markup-compatibility/2006">
          <mc:Choice Requires="x14">
            <control shapeId="13464" r:id="rId702" name="Button 2200">
              <controlPr defaultSize="0" autoFill="0" autoLine="0" autoPict="0" macro="[0]!Sheet1.deleteRow">
                <anchor moveWithCells="1" sizeWithCells="1">
                  <from>
                    <xdr:col>6</xdr:col>
                    <xdr:colOff>0</xdr:colOff>
                    <xdr:row>1070</xdr:row>
                    <xdr:rowOff>0</xdr:rowOff>
                  </from>
                  <to>
                    <xdr:col>7</xdr:col>
                    <xdr:colOff>0</xdr:colOff>
                    <xdr:row>1070</xdr:row>
                    <xdr:rowOff>161925</xdr:rowOff>
                  </to>
                </anchor>
              </controlPr>
            </control>
          </mc:Choice>
        </mc:AlternateContent>
        <mc:AlternateContent xmlns:mc="http://schemas.openxmlformats.org/markup-compatibility/2006">
          <mc:Choice Requires="x14">
            <control shapeId="13463" r:id="rId703" name="Button 2199">
              <controlPr defaultSize="0" autoFill="0" autoLine="0" autoPict="0" macro="[0]!Sheet1.deleteRow">
                <anchor moveWithCells="1" sizeWithCells="1">
                  <from>
                    <xdr:col>6</xdr:col>
                    <xdr:colOff>0</xdr:colOff>
                    <xdr:row>1071</xdr:row>
                    <xdr:rowOff>0</xdr:rowOff>
                  </from>
                  <to>
                    <xdr:col>7</xdr:col>
                    <xdr:colOff>0</xdr:colOff>
                    <xdr:row>1071</xdr:row>
                    <xdr:rowOff>161925</xdr:rowOff>
                  </to>
                </anchor>
              </controlPr>
            </control>
          </mc:Choice>
        </mc:AlternateContent>
        <mc:AlternateContent xmlns:mc="http://schemas.openxmlformats.org/markup-compatibility/2006">
          <mc:Choice Requires="x14">
            <control shapeId="13462" r:id="rId704" name="Button 2198">
              <controlPr defaultSize="0" autoFill="0" autoLine="0" autoPict="0" macro="[0]!Sheet1.deleteRow">
                <anchor moveWithCells="1" sizeWithCells="1">
                  <from>
                    <xdr:col>6</xdr:col>
                    <xdr:colOff>0</xdr:colOff>
                    <xdr:row>1072</xdr:row>
                    <xdr:rowOff>0</xdr:rowOff>
                  </from>
                  <to>
                    <xdr:col>7</xdr:col>
                    <xdr:colOff>0</xdr:colOff>
                    <xdr:row>1072</xdr:row>
                    <xdr:rowOff>161925</xdr:rowOff>
                  </to>
                </anchor>
              </controlPr>
            </control>
          </mc:Choice>
        </mc:AlternateContent>
        <mc:AlternateContent xmlns:mc="http://schemas.openxmlformats.org/markup-compatibility/2006">
          <mc:Choice Requires="x14">
            <control shapeId="13461" r:id="rId705" name="Button 2197">
              <controlPr defaultSize="0" autoFill="0" autoLine="0" autoPict="0" macro="[0]!Sheet1.deleteRow">
                <anchor moveWithCells="1" sizeWithCells="1">
                  <from>
                    <xdr:col>6</xdr:col>
                    <xdr:colOff>0</xdr:colOff>
                    <xdr:row>1073</xdr:row>
                    <xdr:rowOff>0</xdr:rowOff>
                  </from>
                  <to>
                    <xdr:col>7</xdr:col>
                    <xdr:colOff>0</xdr:colOff>
                    <xdr:row>1073</xdr:row>
                    <xdr:rowOff>161925</xdr:rowOff>
                  </to>
                </anchor>
              </controlPr>
            </control>
          </mc:Choice>
        </mc:AlternateContent>
        <mc:AlternateContent xmlns:mc="http://schemas.openxmlformats.org/markup-compatibility/2006">
          <mc:Choice Requires="x14">
            <control shapeId="13460" r:id="rId706" name="Button 2196">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3459" r:id="rId707" name="Button 2195">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3458" r:id="rId708" name="Button 2194">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3457" r:id="rId709" name="Button 2193">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3456" r:id="rId710" name="Button 2192">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3455" r:id="rId711" name="Button 2191">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3454" r:id="rId712" name="Button 2190">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3453" r:id="rId713" name="Button 2189">
              <controlPr defaultSize="0" autoFill="0" autoLine="0" autoPict="0" macro="[0]!Sheet1.deleteRow">
                <anchor moveWithCells="1" sizeWithCells="1">
                  <from>
                    <xdr:col>6</xdr:col>
                    <xdr:colOff>0</xdr:colOff>
                    <xdr:row>1081</xdr:row>
                    <xdr:rowOff>0</xdr:rowOff>
                  </from>
                  <to>
                    <xdr:col>7</xdr:col>
                    <xdr:colOff>0</xdr:colOff>
                    <xdr:row>1081</xdr:row>
                    <xdr:rowOff>161925</xdr:rowOff>
                  </to>
                </anchor>
              </controlPr>
            </control>
          </mc:Choice>
        </mc:AlternateContent>
        <mc:AlternateContent xmlns:mc="http://schemas.openxmlformats.org/markup-compatibility/2006">
          <mc:Choice Requires="x14">
            <control shapeId="13452" r:id="rId714" name="Button 2188">
              <controlPr defaultSize="0" autoFill="0" autoLine="0" autoPict="0" macro="[0]!Sheet1.deleteRow">
                <anchor moveWithCells="1" sizeWithCells="1">
                  <from>
                    <xdr:col>6</xdr:col>
                    <xdr:colOff>0</xdr:colOff>
                    <xdr:row>1082</xdr:row>
                    <xdr:rowOff>0</xdr:rowOff>
                  </from>
                  <to>
                    <xdr:col>7</xdr:col>
                    <xdr:colOff>0</xdr:colOff>
                    <xdr:row>1082</xdr:row>
                    <xdr:rowOff>161925</xdr:rowOff>
                  </to>
                </anchor>
              </controlPr>
            </control>
          </mc:Choice>
        </mc:AlternateContent>
        <mc:AlternateContent xmlns:mc="http://schemas.openxmlformats.org/markup-compatibility/2006">
          <mc:Choice Requires="x14">
            <control shapeId="13451" r:id="rId715" name="Button 2187">
              <controlPr defaultSize="0" autoFill="0" autoLine="0" autoPict="0" macro="[0]!Sheet1.deleteRow">
                <anchor moveWithCells="1" sizeWithCells="1">
                  <from>
                    <xdr:col>6</xdr:col>
                    <xdr:colOff>0</xdr:colOff>
                    <xdr:row>1083</xdr:row>
                    <xdr:rowOff>0</xdr:rowOff>
                  </from>
                  <to>
                    <xdr:col>7</xdr:col>
                    <xdr:colOff>0</xdr:colOff>
                    <xdr:row>1083</xdr:row>
                    <xdr:rowOff>161925</xdr:rowOff>
                  </to>
                </anchor>
              </controlPr>
            </control>
          </mc:Choice>
        </mc:AlternateContent>
        <mc:AlternateContent xmlns:mc="http://schemas.openxmlformats.org/markup-compatibility/2006">
          <mc:Choice Requires="x14">
            <control shapeId="13450" r:id="rId716" name="Button 2186">
              <controlPr defaultSize="0" autoFill="0" autoLine="0" autoPict="0" macro="[0]!Sheet1.deleteRow">
                <anchor moveWithCells="1" sizeWithCells="1">
                  <from>
                    <xdr:col>6</xdr:col>
                    <xdr:colOff>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3449" r:id="rId717" name="Button 2185">
              <controlPr defaultSize="0" autoFill="0" autoLine="0" autoPict="0" macro="[0]!Sheet1.deleteRow">
                <anchor moveWithCells="1" sizeWithCells="1">
                  <from>
                    <xdr:col>6</xdr:col>
                    <xdr:colOff>0</xdr:colOff>
                    <xdr:row>1085</xdr:row>
                    <xdr:rowOff>0</xdr:rowOff>
                  </from>
                  <to>
                    <xdr:col>7</xdr:col>
                    <xdr:colOff>0</xdr:colOff>
                    <xdr:row>1085</xdr:row>
                    <xdr:rowOff>161925</xdr:rowOff>
                  </to>
                </anchor>
              </controlPr>
            </control>
          </mc:Choice>
        </mc:AlternateContent>
        <mc:AlternateContent xmlns:mc="http://schemas.openxmlformats.org/markup-compatibility/2006">
          <mc:Choice Requires="x14">
            <control shapeId="13448" r:id="rId718" name="Button 2184">
              <controlPr defaultSize="0" autoFill="0" autoLine="0" autoPict="0" macro="[0]!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3447" r:id="rId719" name="Button 2183">
              <controlPr defaultSize="0" autoFill="0" autoLine="0" autoPict="0" macro="[0]!Sheet1.deleteRow">
                <anchor moveWithCells="1" sizeWithCells="1">
                  <from>
                    <xdr:col>6</xdr:col>
                    <xdr:colOff>0</xdr:colOff>
                    <xdr:row>1087</xdr:row>
                    <xdr:rowOff>0</xdr:rowOff>
                  </from>
                  <to>
                    <xdr:col>7</xdr:col>
                    <xdr:colOff>0</xdr:colOff>
                    <xdr:row>1087</xdr:row>
                    <xdr:rowOff>161925</xdr:rowOff>
                  </to>
                </anchor>
              </controlPr>
            </control>
          </mc:Choice>
        </mc:AlternateContent>
        <mc:AlternateContent xmlns:mc="http://schemas.openxmlformats.org/markup-compatibility/2006">
          <mc:Choice Requires="x14">
            <control shapeId="13446" r:id="rId720" name="Button 2182">
              <controlPr defaultSize="0" autoFill="0" autoLine="0" autoPict="0" macro="[0]!Sheet1.deleteRow">
                <anchor moveWithCells="1" sizeWithCells="1">
                  <from>
                    <xdr:col>6</xdr:col>
                    <xdr:colOff>0</xdr:colOff>
                    <xdr:row>1088</xdr:row>
                    <xdr:rowOff>0</xdr:rowOff>
                  </from>
                  <to>
                    <xdr:col>7</xdr:col>
                    <xdr:colOff>0</xdr:colOff>
                    <xdr:row>1088</xdr:row>
                    <xdr:rowOff>161925</xdr:rowOff>
                  </to>
                </anchor>
              </controlPr>
            </control>
          </mc:Choice>
        </mc:AlternateContent>
        <mc:AlternateContent xmlns:mc="http://schemas.openxmlformats.org/markup-compatibility/2006">
          <mc:Choice Requires="x14">
            <control shapeId="13445" r:id="rId721" name="Button 2181">
              <controlPr defaultSize="0" autoFill="0" autoLine="0" autoPict="0" macro="[0]!Sheet1.deleteRow">
                <anchor moveWithCells="1" sizeWithCells="1">
                  <from>
                    <xdr:col>6</xdr:col>
                    <xdr:colOff>0</xdr:colOff>
                    <xdr:row>1089</xdr:row>
                    <xdr:rowOff>0</xdr:rowOff>
                  </from>
                  <to>
                    <xdr:col>7</xdr:col>
                    <xdr:colOff>0</xdr:colOff>
                    <xdr:row>1089</xdr:row>
                    <xdr:rowOff>161925</xdr:rowOff>
                  </to>
                </anchor>
              </controlPr>
            </control>
          </mc:Choice>
        </mc:AlternateContent>
        <mc:AlternateContent xmlns:mc="http://schemas.openxmlformats.org/markup-compatibility/2006">
          <mc:Choice Requires="x14">
            <control shapeId="13444" r:id="rId722" name="Button 2180">
              <controlPr defaultSize="0" autoFill="0" autoLine="0" autoPict="0" macro="[0]!Sheet1.deleteRow">
                <anchor moveWithCells="1" sizeWithCells="1">
                  <from>
                    <xdr:col>6</xdr:col>
                    <xdr:colOff>0</xdr:colOff>
                    <xdr:row>1090</xdr:row>
                    <xdr:rowOff>0</xdr:rowOff>
                  </from>
                  <to>
                    <xdr:col>7</xdr:col>
                    <xdr:colOff>0</xdr:colOff>
                    <xdr:row>1090</xdr:row>
                    <xdr:rowOff>161925</xdr:rowOff>
                  </to>
                </anchor>
              </controlPr>
            </control>
          </mc:Choice>
        </mc:AlternateContent>
        <mc:AlternateContent xmlns:mc="http://schemas.openxmlformats.org/markup-compatibility/2006">
          <mc:Choice Requires="x14">
            <control shapeId="13443" r:id="rId723" name="Button 2179">
              <controlPr defaultSize="0" autoFill="0" autoLine="0" autoPict="0" macro="[0]!Sheet1.deleteRow">
                <anchor moveWithCells="1" sizeWithCells="1">
                  <from>
                    <xdr:col>6</xdr:col>
                    <xdr:colOff>0</xdr:colOff>
                    <xdr:row>1091</xdr:row>
                    <xdr:rowOff>0</xdr:rowOff>
                  </from>
                  <to>
                    <xdr:col>7</xdr:col>
                    <xdr:colOff>0</xdr:colOff>
                    <xdr:row>1091</xdr:row>
                    <xdr:rowOff>161925</xdr:rowOff>
                  </to>
                </anchor>
              </controlPr>
            </control>
          </mc:Choice>
        </mc:AlternateContent>
        <mc:AlternateContent xmlns:mc="http://schemas.openxmlformats.org/markup-compatibility/2006">
          <mc:Choice Requires="x14">
            <control shapeId="13442" r:id="rId724" name="Button 2178">
              <controlPr defaultSize="0" autoFill="0" autoLine="0" autoPict="0" macro="[0]!Sheet1.deleteRow">
                <anchor moveWithCells="1" sizeWithCells="1">
                  <from>
                    <xdr:col>6</xdr:col>
                    <xdr:colOff>0</xdr:colOff>
                    <xdr:row>1092</xdr:row>
                    <xdr:rowOff>0</xdr:rowOff>
                  </from>
                  <to>
                    <xdr:col>7</xdr:col>
                    <xdr:colOff>0</xdr:colOff>
                    <xdr:row>1092</xdr:row>
                    <xdr:rowOff>161925</xdr:rowOff>
                  </to>
                </anchor>
              </controlPr>
            </control>
          </mc:Choice>
        </mc:AlternateContent>
        <mc:AlternateContent xmlns:mc="http://schemas.openxmlformats.org/markup-compatibility/2006">
          <mc:Choice Requires="x14">
            <control shapeId="13441" r:id="rId725" name="Button 2177">
              <controlPr defaultSize="0" autoFill="0" autoLine="0" autoPict="0" macro="[0]!Sheet1.deleteRow">
                <anchor moveWithCells="1" sizeWithCells="1">
                  <from>
                    <xdr:col>6</xdr:col>
                    <xdr:colOff>0</xdr:colOff>
                    <xdr:row>1093</xdr:row>
                    <xdr:rowOff>0</xdr:rowOff>
                  </from>
                  <to>
                    <xdr:col>7</xdr:col>
                    <xdr:colOff>0</xdr:colOff>
                    <xdr:row>1093</xdr:row>
                    <xdr:rowOff>161925</xdr:rowOff>
                  </to>
                </anchor>
              </controlPr>
            </control>
          </mc:Choice>
        </mc:AlternateContent>
        <mc:AlternateContent xmlns:mc="http://schemas.openxmlformats.org/markup-compatibility/2006">
          <mc:Choice Requires="x14">
            <control shapeId="13440" r:id="rId726" name="Button 2176">
              <controlPr defaultSize="0" autoFill="0" autoLine="0" autoPict="0" macro="[0]!Sheet1.deleteRow">
                <anchor moveWithCells="1" sizeWithCells="1">
                  <from>
                    <xdr:col>6</xdr:col>
                    <xdr:colOff>0</xdr:colOff>
                    <xdr:row>1094</xdr:row>
                    <xdr:rowOff>0</xdr:rowOff>
                  </from>
                  <to>
                    <xdr:col>7</xdr:col>
                    <xdr:colOff>0</xdr:colOff>
                    <xdr:row>1094</xdr:row>
                    <xdr:rowOff>161925</xdr:rowOff>
                  </to>
                </anchor>
              </controlPr>
            </control>
          </mc:Choice>
        </mc:AlternateContent>
        <mc:AlternateContent xmlns:mc="http://schemas.openxmlformats.org/markup-compatibility/2006">
          <mc:Choice Requires="x14">
            <control shapeId="13439" r:id="rId727" name="Button 2175">
              <controlPr defaultSize="0" autoFill="0" autoLine="0" autoPict="0" macro="[0]!Sheet1.deleteRow">
                <anchor moveWithCells="1" sizeWithCells="1">
                  <from>
                    <xdr:col>6</xdr:col>
                    <xdr:colOff>0</xdr:colOff>
                    <xdr:row>1095</xdr:row>
                    <xdr:rowOff>0</xdr:rowOff>
                  </from>
                  <to>
                    <xdr:col>7</xdr:col>
                    <xdr:colOff>0</xdr:colOff>
                    <xdr:row>1095</xdr:row>
                    <xdr:rowOff>161925</xdr:rowOff>
                  </to>
                </anchor>
              </controlPr>
            </control>
          </mc:Choice>
        </mc:AlternateContent>
        <mc:AlternateContent xmlns:mc="http://schemas.openxmlformats.org/markup-compatibility/2006">
          <mc:Choice Requires="x14">
            <control shapeId="13438" r:id="rId728" name="Button 2174">
              <controlPr defaultSize="0" autoFill="0" autoLine="0" autoPict="0" macro="[0]!Sheet1.deleteProcedure">
                <anchor moveWithCells="1" sizeWithCells="1">
                  <from>
                    <xdr:col>6</xdr:col>
                    <xdr:colOff>0</xdr:colOff>
                    <xdr:row>1098</xdr:row>
                    <xdr:rowOff>0</xdr:rowOff>
                  </from>
                  <to>
                    <xdr:col>7</xdr:col>
                    <xdr:colOff>0</xdr:colOff>
                    <xdr:row>1099</xdr:row>
                    <xdr:rowOff>0</xdr:rowOff>
                  </to>
                </anchor>
              </controlPr>
            </control>
          </mc:Choice>
        </mc:AlternateContent>
        <mc:AlternateContent xmlns:mc="http://schemas.openxmlformats.org/markup-compatibility/2006">
          <mc:Choice Requires="x14">
            <control shapeId="13437" r:id="rId729" name="Button 2173">
              <controlPr defaultSize="0" autoFill="0" autoLine="0" autoPict="0" macro="[0]!Sheet1.InsertNewTableRow">
                <anchor moveWithCells="1" sizeWithCells="1">
                  <from>
                    <xdr:col>6</xdr:col>
                    <xdr:colOff>0</xdr:colOff>
                    <xdr:row>1105</xdr:row>
                    <xdr:rowOff>0</xdr:rowOff>
                  </from>
                  <to>
                    <xdr:col>7</xdr:col>
                    <xdr:colOff>0</xdr:colOff>
                    <xdr:row>1105</xdr:row>
                    <xdr:rowOff>38100</xdr:rowOff>
                  </to>
                </anchor>
              </controlPr>
            </control>
          </mc:Choice>
        </mc:AlternateContent>
        <mc:AlternateContent xmlns:mc="http://schemas.openxmlformats.org/markup-compatibility/2006">
          <mc:Choice Requires="x14">
            <control shapeId="13436" r:id="rId730" name="Button 2172">
              <controlPr defaultSize="0" autoFill="0" autoLine="0" autoPict="0" macro="[0]!Sheet1.deleteRow">
                <anchor moveWithCells="1" sizeWithCells="1">
                  <from>
                    <xdr:col>6</xdr:col>
                    <xdr:colOff>0</xdr:colOff>
                    <xdr:row>1106</xdr:row>
                    <xdr:rowOff>0</xdr:rowOff>
                  </from>
                  <to>
                    <xdr:col>7</xdr:col>
                    <xdr:colOff>0</xdr:colOff>
                    <xdr:row>1106</xdr:row>
                    <xdr:rowOff>161925</xdr:rowOff>
                  </to>
                </anchor>
              </controlPr>
            </control>
          </mc:Choice>
        </mc:AlternateContent>
        <mc:AlternateContent xmlns:mc="http://schemas.openxmlformats.org/markup-compatibility/2006">
          <mc:Choice Requires="x14">
            <control shapeId="13435" r:id="rId731" name="Button 2171">
              <controlPr defaultSize="0" autoFill="0" autoLine="0" autoPict="0" macro="[0]!Sheet1.deleteRow">
                <anchor moveWithCells="1" sizeWithCells="1">
                  <from>
                    <xdr:col>6</xdr:col>
                    <xdr:colOff>0</xdr:colOff>
                    <xdr:row>1107</xdr:row>
                    <xdr:rowOff>0</xdr:rowOff>
                  </from>
                  <to>
                    <xdr:col>7</xdr:col>
                    <xdr:colOff>0</xdr:colOff>
                    <xdr:row>1107</xdr:row>
                    <xdr:rowOff>161925</xdr:rowOff>
                  </to>
                </anchor>
              </controlPr>
            </control>
          </mc:Choice>
        </mc:AlternateContent>
        <mc:AlternateContent xmlns:mc="http://schemas.openxmlformats.org/markup-compatibility/2006">
          <mc:Choice Requires="x14">
            <control shapeId="13434" r:id="rId732" name="Button 2170">
              <controlPr defaultSize="0" autoFill="0" autoLine="0" autoPict="0" macro="[0]!Sheet1.deleteRow">
                <anchor moveWithCells="1" sizeWithCells="1">
                  <from>
                    <xdr:col>6</xdr:col>
                    <xdr:colOff>0</xdr:colOff>
                    <xdr:row>1108</xdr:row>
                    <xdr:rowOff>0</xdr:rowOff>
                  </from>
                  <to>
                    <xdr:col>7</xdr:col>
                    <xdr:colOff>0</xdr:colOff>
                    <xdr:row>1108</xdr:row>
                    <xdr:rowOff>161925</xdr:rowOff>
                  </to>
                </anchor>
              </controlPr>
            </control>
          </mc:Choice>
        </mc:AlternateContent>
        <mc:AlternateContent xmlns:mc="http://schemas.openxmlformats.org/markup-compatibility/2006">
          <mc:Choice Requires="x14">
            <control shapeId="13433" r:id="rId733" name="Button 2169">
              <controlPr defaultSize="0" autoFill="0" autoLine="0" autoPict="0" macro="[0]!Sheet1.deleteRow">
                <anchor moveWithCells="1" sizeWithCells="1">
                  <from>
                    <xdr:col>6</xdr:col>
                    <xdr:colOff>0</xdr:colOff>
                    <xdr:row>1109</xdr:row>
                    <xdr:rowOff>0</xdr:rowOff>
                  </from>
                  <to>
                    <xdr:col>7</xdr:col>
                    <xdr:colOff>0</xdr:colOff>
                    <xdr:row>1109</xdr:row>
                    <xdr:rowOff>161925</xdr:rowOff>
                  </to>
                </anchor>
              </controlPr>
            </control>
          </mc:Choice>
        </mc:AlternateContent>
        <mc:AlternateContent xmlns:mc="http://schemas.openxmlformats.org/markup-compatibility/2006">
          <mc:Choice Requires="x14">
            <control shapeId="13432" r:id="rId734" name="Button 2168">
              <controlPr defaultSize="0" autoFill="0" autoLine="0" autoPict="0" macro="[0]!Sheet1.deleteRow">
                <anchor moveWithCells="1" sizeWithCells="1">
                  <from>
                    <xdr:col>6</xdr:col>
                    <xdr:colOff>0</xdr:colOff>
                    <xdr:row>1110</xdr:row>
                    <xdr:rowOff>0</xdr:rowOff>
                  </from>
                  <to>
                    <xdr:col>7</xdr:col>
                    <xdr:colOff>0</xdr:colOff>
                    <xdr:row>1110</xdr:row>
                    <xdr:rowOff>161925</xdr:rowOff>
                  </to>
                </anchor>
              </controlPr>
            </control>
          </mc:Choice>
        </mc:AlternateContent>
        <mc:AlternateContent xmlns:mc="http://schemas.openxmlformats.org/markup-compatibility/2006">
          <mc:Choice Requires="x14">
            <control shapeId="13431" r:id="rId735" name="Button 2167">
              <controlPr defaultSize="0" autoFill="0" autoLine="0" autoPict="0" macro="[0]!Sheet1.deleteRow">
                <anchor moveWithCells="1" sizeWithCells="1">
                  <from>
                    <xdr:col>6</xdr:col>
                    <xdr:colOff>0</xdr:colOff>
                    <xdr:row>1111</xdr:row>
                    <xdr:rowOff>0</xdr:rowOff>
                  </from>
                  <to>
                    <xdr:col>7</xdr:col>
                    <xdr:colOff>0</xdr:colOff>
                    <xdr:row>1111</xdr:row>
                    <xdr:rowOff>161925</xdr:rowOff>
                  </to>
                </anchor>
              </controlPr>
            </control>
          </mc:Choice>
        </mc:AlternateContent>
        <mc:AlternateContent xmlns:mc="http://schemas.openxmlformats.org/markup-compatibility/2006">
          <mc:Choice Requires="x14">
            <control shapeId="13430" r:id="rId736" name="Button 2166">
              <controlPr defaultSize="0" autoFill="0" autoLine="0" autoPict="0" macro="[0]!Sheet1.deleteRow">
                <anchor moveWithCells="1" sizeWithCells="1">
                  <from>
                    <xdr:col>6</xdr:col>
                    <xdr:colOff>0</xdr:colOff>
                    <xdr:row>1112</xdr:row>
                    <xdr:rowOff>0</xdr:rowOff>
                  </from>
                  <to>
                    <xdr:col>7</xdr:col>
                    <xdr:colOff>0</xdr:colOff>
                    <xdr:row>1112</xdr:row>
                    <xdr:rowOff>161925</xdr:rowOff>
                  </to>
                </anchor>
              </controlPr>
            </control>
          </mc:Choice>
        </mc:AlternateContent>
        <mc:AlternateContent xmlns:mc="http://schemas.openxmlformats.org/markup-compatibility/2006">
          <mc:Choice Requires="x14">
            <control shapeId="13429" r:id="rId737" name="Button 2165">
              <controlPr defaultSize="0" autoFill="0" autoLine="0" autoPict="0" macro="[0]!Sheet1.deleteRow">
                <anchor moveWithCells="1" sizeWithCells="1">
                  <from>
                    <xdr:col>6</xdr:col>
                    <xdr:colOff>0</xdr:colOff>
                    <xdr:row>1113</xdr:row>
                    <xdr:rowOff>0</xdr:rowOff>
                  </from>
                  <to>
                    <xdr:col>7</xdr:col>
                    <xdr:colOff>0</xdr:colOff>
                    <xdr:row>1113</xdr:row>
                    <xdr:rowOff>161925</xdr:rowOff>
                  </to>
                </anchor>
              </controlPr>
            </control>
          </mc:Choice>
        </mc:AlternateContent>
        <mc:AlternateContent xmlns:mc="http://schemas.openxmlformats.org/markup-compatibility/2006">
          <mc:Choice Requires="x14">
            <control shapeId="13428" r:id="rId738" name="Button 2164">
              <controlPr defaultSize="0" autoFill="0" autoLine="0" autoPict="0" macro="[0]!Sheet1.deleteRow">
                <anchor moveWithCells="1" sizeWithCells="1">
                  <from>
                    <xdr:col>6</xdr:col>
                    <xdr:colOff>0</xdr:colOff>
                    <xdr:row>1114</xdr:row>
                    <xdr:rowOff>0</xdr:rowOff>
                  </from>
                  <to>
                    <xdr:col>7</xdr:col>
                    <xdr:colOff>0</xdr:colOff>
                    <xdr:row>1114</xdr:row>
                    <xdr:rowOff>161925</xdr:rowOff>
                  </to>
                </anchor>
              </controlPr>
            </control>
          </mc:Choice>
        </mc:AlternateContent>
        <mc:AlternateContent xmlns:mc="http://schemas.openxmlformats.org/markup-compatibility/2006">
          <mc:Choice Requires="x14">
            <control shapeId="13427" r:id="rId739" name="Button 2163">
              <controlPr defaultSize="0" autoFill="0" autoLine="0" autoPict="0" macro="[0]!Sheet1.deleteRow">
                <anchor moveWithCells="1" sizeWithCells="1">
                  <from>
                    <xdr:col>6</xdr:col>
                    <xdr:colOff>0</xdr:colOff>
                    <xdr:row>1115</xdr:row>
                    <xdr:rowOff>0</xdr:rowOff>
                  </from>
                  <to>
                    <xdr:col>7</xdr:col>
                    <xdr:colOff>0</xdr:colOff>
                    <xdr:row>1115</xdr:row>
                    <xdr:rowOff>161925</xdr:rowOff>
                  </to>
                </anchor>
              </controlPr>
            </control>
          </mc:Choice>
        </mc:AlternateContent>
        <mc:AlternateContent xmlns:mc="http://schemas.openxmlformats.org/markup-compatibility/2006">
          <mc:Choice Requires="x14">
            <control shapeId="13426" r:id="rId740" name="Button 2162">
              <controlPr defaultSize="0" autoFill="0" autoLine="0" autoPict="0" macro="[0]!Sheet1.deleteRow">
                <anchor moveWithCells="1" sizeWithCells="1">
                  <from>
                    <xdr:col>6</xdr:col>
                    <xdr:colOff>0</xdr:colOff>
                    <xdr:row>1116</xdr:row>
                    <xdr:rowOff>0</xdr:rowOff>
                  </from>
                  <to>
                    <xdr:col>7</xdr:col>
                    <xdr:colOff>0</xdr:colOff>
                    <xdr:row>1116</xdr:row>
                    <xdr:rowOff>161925</xdr:rowOff>
                  </to>
                </anchor>
              </controlPr>
            </control>
          </mc:Choice>
        </mc:AlternateContent>
        <mc:AlternateContent xmlns:mc="http://schemas.openxmlformats.org/markup-compatibility/2006">
          <mc:Choice Requires="x14">
            <control shapeId="13425" r:id="rId741" name="Button 2161">
              <controlPr defaultSize="0" autoFill="0" autoLine="0" autoPict="0" macro="[0]!Sheet1.deleteRow">
                <anchor moveWithCells="1" sizeWithCells="1">
                  <from>
                    <xdr:col>6</xdr:col>
                    <xdr:colOff>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3424" r:id="rId742" name="Button 2160">
              <controlPr defaultSize="0" autoFill="0" autoLine="0" autoPict="0" macro="[0]!Sheet1.deleteRow">
                <anchor moveWithCells="1" sizeWithCells="1">
                  <from>
                    <xdr:col>6</xdr:col>
                    <xdr:colOff>0</xdr:colOff>
                    <xdr:row>1118</xdr:row>
                    <xdr:rowOff>0</xdr:rowOff>
                  </from>
                  <to>
                    <xdr:col>7</xdr:col>
                    <xdr:colOff>0</xdr:colOff>
                    <xdr:row>1118</xdr:row>
                    <xdr:rowOff>161925</xdr:rowOff>
                  </to>
                </anchor>
              </controlPr>
            </control>
          </mc:Choice>
        </mc:AlternateContent>
        <mc:AlternateContent xmlns:mc="http://schemas.openxmlformats.org/markup-compatibility/2006">
          <mc:Choice Requires="x14">
            <control shapeId="13423" r:id="rId743" name="Button 2159">
              <controlPr defaultSize="0" autoFill="0" autoLine="0" autoPict="0" macro="[0]!Sheet1.deleteRow">
                <anchor moveWithCells="1" sizeWithCells="1">
                  <from>
                    <xdr:col>6</xdr:col>
                    <xdr:colOff>0</xdr:colOff>
                    <xdr:row>1119</xdr:row>
                    <xdr:rowOff>0</xdr:rowOff>
                  </from>
                  <to>
                    <xdr:col>7</xdr:col>
                    <xdr:colOff>0</xdr:colOff>
                    <xdr:row>1119</xdr:row>
                    <xdr:rowOff>161925</xdr:rowOff>
                  </to>
                </anchor>
              </controlPr>
            </control>
          </mc:Choice>
        </mc:AlternateContent>
        <mc:AlternateContent xmlns:mc="http://schemas.openxmlformats.org/markup-compatibility/2006">
          <mc:Choice Requires="x14">
            <control shapeId="13422" r:id="rId744" name="Button 2158">
              <controlPr defaultSize="0" autoFill="0" autoLine="0" autoPict="0" macro="[0]!Sheet1.deleteRow">
                <anchor moveWithCells="1" sizeWithCells="1">
                  <from>
                    <xdr:col>6</xdr:col>
                    <xdr:colOff>0</xdr:colOff>
                    <xdr:row>1120</xdr:row>
                    <xdr:rowOff>0</xdr:rowOff>
                  </from>
                  <to>
                    <xdr:col>7</xdr:col>
                    <xdr:colOff>0</xdr:colOff>
                    <xdr:row>1120</xdr:row>
                    <xdr:rowOff>161925</xdr:rowOff>
                  </to>
                </anchor>
              </controlPr>
            </control>
          </mc:Choice>
        </mc:AlternateContent>
        <mc:AlternateContent xmlns:mc="http://schemas.openxmlformats.org/markup-compatibility/2006">
          <mc:Choice Requires="x14">
            <control shapeId="13421" r:id="rId745" name="Button 2157">
              <controlPr defaultSize="0" autoFill="0" autoLine="0" autoPict="0" macro="[0]!Sheet1.deleteRow">
                <anchor moveWithCells="1" sizeWithCells="1">
                  <from>
                    <xdr:col>6</xdr:col>
                    <xdr:colOff>0</xdr:colOff>
                    <xdr:row>1121</xdr:row>
                    <xdr:rowOff>0</xdr:rowOff>
                  </from>
                  <to>
                    <xdr:col>7</xdr:col>
                    <xdr:colOff>0</xdr:colOff>
                    <xdr:row>1121</xdr:row>
                    <xdr:rowOff>161925</xdr:rowOff>
                  </to>
                </anchor>
              </controlPr>
            </control>
          </mc:Choice>
        </mc:AlternateContent>
        <mc:AlternateContent xmlns:mc="http://schemas.openxmlformats.org/markup-compatibility/2006">
          <mc:Choice Requires="x14">
            <control shapeId="13420" r:id="rId746" name="Button 2156">
              <controlPr defaultSize="0" autoFill="0" autoLine="0" autoPict="0" macro="[0]!Sheet1.deleteProcedure">
                <anchor moveWithCells="1" sizeWithCells="1">
                  <from>
                    <xdr:col>6</xdr:col>
                    <xdr:colOff>0</xdr:colOff>
                    <xdr:row>1124</xdr:row>
                    <xdr:rowOff>0</xdr:rowOff>
                  </from>
                  <to>
                    <xdr:col>7</xdr:col>
                    <xdr:colOff>0</xdr:colOff>
                    <xdr:row>1125</xdr:row>
                    <xdr:rowOff>0</xdr:rowOff>
                  </to>
                </anchor>
              </controlPr>
            </control>
          </mc:Choice>
        </mc:AlternateContent>
        <mc:AlternateContent xmlns:mc="http://schemas.openxmlformats.org/markup-compatibility/2006">
          <mc:Choice Requires="x14">
            <control shapeId="13419" r:id="rId747" name="Button 2155">
              <controlPr defaultSize="0" autoFill="0" autoLine="0" autoPict="0" macro="[0]!Sheet1.InsertNewTableRow">
                <anchor moveWithCells="1" sizeWithCells="1">
                  <from>
                    <xdr:col>6</xdr:col>
                    <xdr:colOff>0</xdr:colOff>
                    <xdr:row>1131</xdr:row>
                    <xdr:rowOff>0</xdr:rowOff>
                  </from>
                  <to>
                    <xdr:col>7</xdr:col>
                    <xdr:colOff>0</xdr:colOff>
                    <xdr:row>1131</xdr:row>
                    <xdr:rowOff>38100</xdr:rowOff>
                  </to>
                </anchor>
              </controlPr>
            </control>
          </mc:Choice>
        </mc:AlternateContent>
        <mc:AlternateContent xmlns:mc="http://schemas.openxmlformats.org/markup-compatibility/2006">
          <mc:Choice Requires="x14">
            <control shapeId="13418" r:id="rId748" name="Button 2154">
              <controlPr defaultSize="0" autoFill="0" autoLine="0" autoPict="0" macro="[0]!Sheet1.deleteRow">
                <anchor moveWithCells="1" sizeWithCells="1">
                  <from>
                    <xdr:col>6</xdr:col>
                    <xdr:colOff>0</xdr:colOff>
                    <xdr:row>1132</xdr:row>
                    <xdr:rowOff>0</xdr:rowOff>
                  </from>
                  <to>
                    <xdr:col>7</xdr:col>
                    <xdr:colOff>0</xdr:colOff>
                    <xdr:row>1132</xdr:row>
                    <xdr:rowOff>161925</xdr:rowOff>
                  </to>
                </anchor>
              </controlPr>
            </control>
          </mc:Choice>
        </mc:AlternateContent>
        <mc:AlternateContent xmlns:mc="http://schemas.openxmlformats.org/markup-compatibility/2006">
          <mc:Choice Requires="x14">
            <control shapeId="13417" r:id="rId749" name="Button 2153">
              <controlPr defaultSize="0" autoFill="0" autoLine="0" autoPict="0" macro="[0]!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3416" r:id="rId750" name="Button 2152">
              <controlPr defaultSize="0" autoFill="0" autoLine="0" autoPict="0" macro="[0]!Sheet1.deleteProcedure">
                <anchor moveWithCells="1" sizeWithCells="1">
                  <from>
                    <xdr:col>6</xdr:col>
                    <xdr:colOff>0</xdr:colOff>
                    <xdr:row>1136</xdr:row>
                    <xdr:rowOff>0</xdr:rowOff>
                  </from>
                  <to>
                    <xdr:col>7</xdr:col>
                    <xdr:colOff>0</xdr:colOff>
                    <xdr:row>1137</xdr:row>
                    <xdr:rowOff>0</xdr:rowOff>
                  </to>
                </anchor>
              </controlPr>
            </control>
          </mc:Choice>
        </mc:AlternateContent>
        <mc:AlternateContent xmlns:mc="http://schemas.openxmlformats.org/markup-compatibility/2006">
          <mc:Choice Requires="x14">
            <control shapeId="13415" r:id="rId751" name="Button 2151">
              <controlPr defaultSize="0" autoFill="0" autoLine="0" autoPict="0" macro="[0]!Sheet1.InsertNewTableRow">
                <anchor moveWithCells="1" sizeWithCells="1">
                  <from>
                    <xdr:col>6</xdr:col>
                    <xdr:colOff>0</xdr:colOff>
                    <xdr:row>1143</xdr:row>
                    <xdr:rowOff>0</xdr:rowOff>
                  </from>
                  <to>
                    <xdr:col>7</xdr:col>
                    <xdr:colOff>0</xdr:colOff>
                    <xdr:row>1143</xdr:row>
                    <xdr:rowOff>38100</xdr:rowOff>
                  </to>
                </anchor>
              </controlPr>
            </control>
          </mc:Choice>
        </mc:AlternateContent>
        <mc:AlternateContent xmlns:mc="http://schemas.openxmlformats.org/markup-compatibility/2006">
          <mc:Choice Requires="x14">
            <control shapeId="13414" r:id="rId752" name="Button 2150">
              <controlPr defaultSize="0" autoFill="0" autoLine="0" autoPict="0" macro="[0]!Sheet1.deleteRow">
                <anchor moveWithCells="1" sizeWithCells="1">
                  <from>
                    <xdr:col>6</xdr:col>
                    <xdr:colOff>0</xdr:colOff>
                    <xdr:row>1144</xdr:row>
                    <xdr:rowOff>0</xdr:rowOff>
                  </from>
                  <to>
                    <xdr:col>7</xdr:col>
                    <xdr:colOff>0</xdr:colOff>
                    <xdr:row>1144</xdr:row>
                    <xdr:rowOff>161925</xdr:rowOff>
                  </to>
                </anchor>
              </controlPr>
            </control>
          </mc:Choice>
        </mc:AlternateContent>
        <mc:AlternateContent xmlns:mc="http://schemas.openxmlformats.org/markup-compatibility/2006">
          <mc:Choice Requires="x14">
            <control shapeId="13413" r:id="rId753" name="Button 2149">
              <controlPr defaultSize="0" autoFill="0" autoLine="0" autoPict="0" macro="[0]!Sheet1.deleteRow">
                <anchor moveWithCells="1" sizeWithCells="1">
                  <from>
                    <xdr:col>6</xdr:col>
                    <xdr:colOff>0</xdr:colOff>
                    <xdr:row>1145</xdr:row>
                    <xdr:rowOff>0</xdr:rowOff>
                  </from>
                  <to>
                    <xdr:col>7</xdr:col>
                    <xdr:colOff>0</xdr:colOff>
                    <xdr:row>1145</xdr:row>
                    <xdr:rowOff>161925</xdr:rowOff>
                  </to>
                </anchor>
              </controlPr>
            </control>
          </mc:Choice>
        </mc:AlternateContent>
        <mc:AlternateContent xmlns:mc="http://schemas.openxmlformats.org/markup-compatibility/2006">
          <mc:Choice Requires="x14">
            <control shapeId="13412" r:id="rId754" name="Button 2148">
              <controlPr defaultSize="0" autoFill="0" autoLine="0" autoPict="0" macro="[0]!Sheet1.deleteRow">
                <anchor moveWithCells="1" sizeWithCells="1">
                  <from>
                    <xdr:col>6</xdr:col>
                    <xdr:colOff>0</xdr:colOff>
                    <xdr:row>1146</xdr:row>
                    <xdr:rowOff>0</xdr:rowOff>
                  </from>
                  <to>
                    <xdr:col>7</xdr:col>
                    <xdr:colOff>0</xdr:colOff>
                    <xdr:row>1146</xdr:row>
                    <xdr:rowOff>161925</xdr:rowOff>
                  </to>
                </anchor>
              </controlPr>
            </control>
          </mc:Choice>
        </mc:AlternateContent>
        <mc:AlternateContent xmlns:mc="http://schemas.openxmlformats.org/markup-compatibility/2006">
          <mc:Choice Requires="x14">
            <control shapeId="13411" r:id="rId755" name="Button 2147">
              <controlPr defaultSize="0" autoFill="0" autoLine="0" autoPict="0" macro="[0]!Sheet1.deleteRow">
                <anchor moveWithCells="1" sizeWithCells="1">
                  <from>
                    <xdr:col>6</xdr:col>
                    <xdr:colOff>0</xdr:colOff>
                    <xdr:row>1147</xdr:row>
                    <xdr:rowOff>0</xdr:rowOff>
                  </from>
                  <to>
                    <xdr:col>7</xdr:col>
                    <xdr:colOff>0</xdr:colOff>
                    <xdr:row>1147</xdr:row>
                    <xdr:rowOff>161925</xdr:rowOff>
                  </to>
                </anchor>
              </controlPr>
            </control>
          </mc:Choice>
        </mc:AlternateContent>
        <mc:AlternateContent xmlns:mc="http://schemas.openxmlformats.org/markup-compatibility/2006">
          <mc:Choice Requires="x14">
            <control shapeId="13410" r:id="rId756" name="Button 2146">
              <controlPr defaultSize="0" autoFill="0" autoLine="0" autoPict="0" macro="[0]!Sheet1.deleteRow">
                <anchor moveWithCells="1" sizeWithCells="1">
                  <from>
                    <xdr:col>6</xdr:col>
                    <xdr:colOff>0</xdr:colOff>
                    <xdr:row>1148</xdr:row>
                    <xdr:rowOff>0</xdr:rowOff>
                  </from>
                  <to>
                    <xdr:col>7</xdr:col>
                    <xdr:colOff>0</xdr:colOff>
                    <xdr:row>1148</xdr:row>
                    <xdr:rowOff>161925</xdr:rowOff>
                  </to>
                </anchor>
              </controlPr>
            </control>
          </mc:Choice>
        </mc:AlternateContent>
        <mc:AlternateContent xmlns:mc="http://schemas.openxmlformats.org/markup-compatibility/2006">
          <mc:Choice Requires="x14">
            <control shapeId="13409" r:id="rId757" name="Button 2145">
              <controlPr defaultSize="0" autoFill="0" autoLine="0" autoPict="0" macro="[0]!Sheet1.deleteProcedure">
                <anchor moveWithCells="1" sizeWithCells="1">
                  <from>
                    <xdr:col>6</xdr:col>
                    <xdr:colOff>0</xdr:colOff>
                    <xdr:row>1151</xdr:row>
                    <xdr:rowOff>0</xdr:rowOff>
                  </from>
                  <to>
                    <xdr:col>7</xdr:col>
                    <xdr:colOff>0</xdr:colOff>
                    <xdr:row>1152</xdr:row>
                    <xdr:rowOff>0</xdr:rowOff>
                  </to>
                </anchor>
              </controlPr>
            </control>
          </mc:Choice>
        </mc:AlternateContent>
        <mc:AlternateContent xmlns:mc="http://schemas.openxmlformats.org/markup-compatibility/2006">
          <mc:Choice Requires="x14">
            <control shapeId="13408" r:id="rId758" name="Button 2144">
              <controlPr defaultSize="0" autoFill="0" autoLine="0" autoPict="0" macro="[0]!Sheet1.InsertNewTableRow">
                <anchor moveWithCells="1" sizeWithCells="1">
                  <from>
                    <xdr:col>6</xdr:col>
                    <xdr:colOff>0</xdr:colOff>
                    <xdr:row>1158</xdr:row>
                    <xdr:rowOff>0</xdr:rowOff>
                  </from>
                  <to>
                    <xdr:col>7</xdr:col>
                    <xdr:colOff>0</xdr:colOff>
                    <xdr:row>1158</xdr:row>
                    <xdr:rowOff>38100</xdr:rowOff>
                  </to>
                </anchor>
              </controlPr>
            </control>
          </mc:Choice>
        </mc:AlternateContent>
        <mc:AlternateContent xmlns:mc="http://schemas.openxmlformats.org/markup-compatibility/2006">
          <mc:Choice Requires="x14">
            <control shapeId="13407" r:id="rId759" name="Button 2143">
              <controlPr defaultSize="0" autoFill="0" autoLine="0" autoPict="0" macro="[0]!Sheet1.deleteRow">
                <anchor moveWithCells="1" sizeWithCells="1">
                  <from>
                    <xdr:col>6</xdr:col>
                    <xdr:colOff>0</xdr:colOff>
                    <xdr:row>1159</xdr:row>
                    <xdr:rowOff>0</xdr:rowOff>
                  </from>
                  <to>
                    <xdr:col>7</xdr:col>
                    <xdr:colOff>0</xdr:colOff>
                    <xdr:row>1159</xdr:row>
                    <xdr:rowOff>161925</xdr:rowOff>
                  </to>
                </anchor>
              </controlPr>
            </control>
          </mc:Choice>
        </mc:AlternateContent>
        <mc:AlternateContent xmlns:mc="http://schemas.openxmlformats.org/markup-compatibility/2006">
          <mc:Choice Requires="x14">
            <control shapeId="13406" r:id="rId760" name="Button 2142">
              <controlPr defaultSize="0" autoFill="0" autoLine="0" autoPict="0" macro="[0]!Sheet1.deleteProcedure">
                <anchor moveWithCells="1" sizeWithCells="1">
                  <from>
                    <xdr:col>6</xdr:col>
                    <xdr:colOff>0</xdr:colOff>
                    <xdr:row>1162</xdr:row>
                    <xdr:rowOff>0</xdr:rowOff>
                  </from>
                  <to>
                    <xdr:col>7</xdr:col>
                    <xdr:colOff>0</xdr:colOff>
                    <xdr:row>1163</xdr:row>
                    <xdr:rowOff>0</xdr:rowOff>
                  </to>
                </anchor>
              </controlPr>
            </control>
          </mc:Choice>
        </mc:AlternateContent>
        <mc:AlternateContent xmlns:mc="http://schemas.openxmlformats.org/markup-compatibility/2006">
          <mc:Choice Requires="x14">
            <control shapeId="13405" r:id="rId761" name="Button 2141">
              <controlPr defaultSize="0" autoFill="0" autoLine="0" autoPict="0" macro="[0]!Sheet1.InsertNewTableRow">
                <anchor moveWithCells="1" sizeWithCells="1">
                  <from>
                    <xdr:col>6</xdr:col>
                    <xdr:colOff>0</xdr:colOff>
                    <xdr:row>1169</xdr:row>
                    <xdr:rowOff>0</xdr:rowOff>
                  </from>
                  <to>
                    <xdr:col>7</xdr:col>
                    <xdr:colOff>0</xdr:colOff>
                    <xdr:row>1169</xdr:row>
                    <xdr:rowOff>38100</xdr:rowOff>
                  </to>
                </anchor>
              </controlPr>
            </control>
          </mc:Choice>
        </mc:AlternateContent>
        <mc:AlternateContent xmlns:mc="http://schemas.openxmlformats.org/markup-compatibility/2006">
          <mc:Choice Requires="x14">
            <control shapeId="13404" r:id="rId762" name="Button 2140">
              <controlPr defaultSize="0" autoFill="0" autoLine="0" autoPict="0" macro="[0]!Sheet1.deleteRow">
                <anchor moveWithCells="1" sizeWithCells="1">
                  <from>
                    <xdr:col>6</xdr:col>
                    <xdr:colOff>0</xdr:colOff>
                    <xdr:row>1170</xdr:row>
                    <xdr:rowOff>0</xdr:rowOff>
                  </from>
                  <to>
                    <xdr:col>7</xdr:col>
                    <xdr:colOff>0</xdr:colOff>
                    <xdr:row>1170</xdr:row>
                    <xdr:rowOff>161925</xdr:rowOff>
                  </to>
                </anchor>
              </controlPr>
            </control>
          </mc:Choice>
        </mc:AlternateContent>
        <mc:AlternateContent xmlns:mc="http://schemas.openxmlformats.org/markup-compatibility/2006">
          <mc:Choice Requires="x14">
            <control shapeId="13403" r:id="rId763" name="Button 2139">
              <controlPr defaultSize="0" autoFill="0" autoLine="0" autoPict="0" macro="[0]!Sheet1.deleteRow">
                <anchor moveWithCells="1" sizeWithCells="1">
                  <from>
                    <xdr:col>6</xdr:col>
                    <xdr:colOff>0</xdr:colOff>
                    <xdr:row>1171</xdr:row>
                    <xdr:rowOff>0</xdr:rowOff>
                  </from>
                  <to>
                    <xdr:col>7</xdr:col>
                    <xdr:colOff>0</xdr:colOff>
                    <xdr:row>1171</xdr:row>
                    <xdr:rowOff>161925</xdr:rowOff>
                  </to>
                </anchor>
              </controlPr>
            </control>
          </mc:Choice>
        </mc:AlternateContent>
        <mc:AlternateContent xmlns:mc="http://schemas.openxmlformats.org/markup-compatibility/2006">
          <mc:Choice Requires="x14">
            <control shapeId="13402" r:id="rId764" name="Button 2138">
              <controlPr defaultSize="0" autoFill="0" autoLine="0" autoPict="0" macro="[0]!Sheet1.deleteRow">
                <anchor moveWithCells="1" sizeWithCells="1">
                  <from>
                    <xdr:col>6</xdr:col>
                    <xdr:colOff>0</xdr:colOff>
                    <xdr:row>1172</xdr:row>
                    <xdr:rowOff>0</xdr:rowOff>
                  </from>
                  <to>
                    <xdr:col>7</xdr:col>
                    <xdr:colOff>0</xdr:colOff>
                    <xdr:row>1172</xdr:row>
                    <xdr:rowOff>161925</xdr:rowOff>
                  </to>
                </anchor>
              </controlPr>
            </control>
          </mc:Choice>
        </mc:AlternateContent>
        <mc:AlternateContent xmlns:mc="http://schemas.openxmlformats.org/markup-compatibility/2006">
          <mc:Choice Requires="x14">
            <control shapeId="13401" r:id="rId765" name="Button 2137">
              <controlPr defaultSize="0" autoFill="0" autoLine="0" autoPict="0" macro="[0]!Sheet1.deleteRow">
                <anchor moveWithCells="1" sizeWithCells="1">
                  <from>
                    <xdr:col>6</xdr:col>
                    <xdr:colOff>0</xdr:colOff>
                    <xdr:row>1173</xdr:row>
                    <xdr:rowOff>0</xdr:rowOff>
                  </from>
                  <to>
                    <xdr:col>7</xdr:col>
                    <xdr:colOff>0</xdr:colOff>
                    <xdr:row>1173</xdr:row>
                    <xdr:rowOff>161925</xdr:rowOff>
                  </to>
                </anchor>
              </controlPr>
            </control>
          </mc:Choice>
        </mc:AlternateContent>
        <mc:AlternateContent xmlns:mc="http://schemas.openxmlformats.org/markup-compatibility/2006">
          <mc:Choice Requires="x14">
            <control shapeId="13400" r:id="rId766" name="Button 2136">
              <controlPr defaultSize="0" autoFill="0" autoLine="0" autoPict="0" macro="[0]!Sheet1.deleteRow">
                <anchor moveWithCells="1" sizeWithCells="1">
                  <from>
                    <xdr:col>6</xdr:col>
                    <xdr:colOff>0</xdr:colOff>
                    <xdr:row>1174</xdr:row>
                    <xdr:rowOff>0</xdr:rowOff>
                  </from>
                  <to>
                    <xdr:col>7</xdr:col>
                    <xdr:colOff>0</xdr:colOff>
                    <xdr:row>1174</xdr:row>
                    <xdr:rowOff>161925</xdr:rowOff>
                  </to>
                </anchor>
              </controlPr>
            </control>
          </mc:Choice>
        </mc:AlternateContent>
        <mc:AlternateContent xmlns:mc="http://schemas.openxmlformats.org/markup-compatibility/2006">
          <mc:Choice Requires="x14">
            <control shapeId="13399" r:id="rId767" name="Button 2135">
              <controlPr defaultSize="0" autoFill="0" autoLine="0" autoPict="0" macro="[0]!Sheet1.deleteProcedure">
                <anchor moveWithCells="1" sizeWithCells="1">
                  <from>
                    <xdr:col>6</xdr:col>
                    <xdr:colOff>0</xdr:colOff>
                    <xdr:row>1177</xdr:row>
                    <xdr:rowOff>0</xdr:rowOff>
                  </from>
                  <to>
                    <xdr:col>7</xdr:col>
                    <xdr:colOff>0</xdr:colOff>
                    <xdr:row>1178</xdr:row>
                    <xdr:rowOff>0</xdr:rowOff>
                  </to>
                </anchor>
              </controlPr>
            </control>
          </mc:Choice>
        </mc:AlternateContent>
        <mc:AlternateContent xmlns:mc="http://schemas.openxmlformats.org/markup-compatibility/2006">
          <mc:Choice Requires="x14">
            <control shapeId="13398" r:id="rId768" name="Button 2134">
              <controlPr defaultSize="0" autoFill="0" autoLine="0" autoPict="0" macro="[0]!Sheet1.InsertNewTableRow">
                <anchor moveWithCells="1" sizeWithCells="1">
                  <from>
                    <xdr:col>6</xdr:col>
                    <xdr:colOff>0</xdr:colOff>
                    <xdr:row>1184</xdr:row>
                    <xdr:rowOff>0</xdr:rowOff>
                  </from>
                  <to>
                    <xdr:col>7</xdr:col>
                    <xdr:colOff>0</xdr:colOff>
                    <xdr:row>1184</xdr:row>
                    <xdr:rowOff>38100</xdr:rowOff>
                  </to>
                </anchor>
              </controlPr>
            </control>
          </mc:Choice>
        </mc:AlternateContent>
        <mc:AlternateContent xmlns:mc="http://schemas.openxmlformats.org/markup-compatibility/2006">
          <mc:Choice Requires="x14">
            <control shapeId="13397" r:id="rId769" name="Button 2133">
              <controlPr defaultSize="0" autoFill="0" autoLine="0" autoPict="0" macro="[0]!Sheet1.deleteRow">
                <anchor moveWithCells="1" sizeWithCells="1">
                  <from>
                    <xdr:col>6</xdr:col>
                    <xdr:colOff>0</xdr:colOff>
                    <xdr:row>1185</xdr:row>
                    <xdr:rowOff>0</xdr:rowOff>
                  </from>
                  <to>
                    <xdr:col>7</xdr:col>
                    <xdr:colOff>0</xdr:colOff>
                    <xdr:row>1185</xdr:row>
                    <xdr:rowOff>161925</xdr:rowOff>
                  </to>
                </anchor>
              </controlPr>
            </control>
          </mc:Choice>
        </mc:AlternateContent>
        <mc:AlternateContent xmlns:mc="http://schemas.openxmlformats.org/markup-compatibility/2006">
          <mc:Choice Requires="x14">
            <control shapeId="13396" r:id="rId770" name="Button 2132">
              <controlPr defaultSize="0" autoFill="0" autoLine="0" autoPict="0" macro="[0]!Sheet1.deleteRow">
                <anchor moveWithCells="1" sizeWithCells="1">
                  <from>
                    <xdr:col>6</xdr:col>
                    <xdr:colOff>0</xdr:colOff>
                    <xdr:row>1186</xdr:row>
                    <xdr:rowOff>0</xdr:rowOff>
                  </from>
                  <to>
                    <xdr:col>7</xdr:col>
                    <xdr:colOff>0</xdr:colOff>
                    <xdr:row>1186</xdr:row>
                    <xdr:rowOff>161925</xdr:rowOff>
                  </to>
                </anchor>
              </controlPr>
            </control>
          </mc:Choice>
        </mc:AlternateContent>
        <mc:AlternateContent xmlns:mc="http://schemas.openxmlformats.org/markup-compatibility/2006">
          <mc:Choice Requires="x14">
            <control shapeId="13395" r:id="rId771" name="Button 2131">
              <controlPr defaultSize="0" autoFill="0" autoLine="0" autoPict="0" macro="[0]!Sheet1.deleteRow">
                <anchor moveWithCells="1" sizeWithCells="1">
                  <from>
                    <xdr:col>6</xdr:col>
                    <xdr:colOff>0</xdr:colOff>
                    <xdr:row>1187</xdr:row>
                    <xdr:rowOff>0</xdr:rowOff>
                  </from>
                  <to>
                    <xdr:col>7</xdr:col>
                    <xdr:colOff>0</xdr:colOff>
                    <xdr:row>1187</xdr:row>
                    <xdr:rowOff>161925</xdr:rowOff>
                  </to>
                </anchor>
              </controlPr>
            </control>
          </mc:Choice>
        </mc:AlternateContent>
        <mc:AlternateContent xmlns:mc="http://schemas.openxmlformats.org/markup-compatibility/2006">
          <mc:Choice Requires="x14">
            <control shapeId="13394" r:id="rId772" name="Button 2130">
              <controlPr defaultSize="0" autoFill="0" autoLine="0" autoPict="0" macro="[0]!Sheet1.deleteRow">
                <anchor moveWithCells="1" sizeWithCells="1">
                  <from>
                    <xdr:col>6</xdr:col>
                    <xdr:colOff>0</xdr:colOff>
                    <xdr:row>1188</xdr:row>
                    <xdr:rowOff>0</xdr:rowOff>
                  </from>
                  <to>
                    <xdr:col>7</xdr:col>
                    <xdr:colOff>0</xdr:colOff>
                    <xdr:row>1188</xdr:row>
                    <xdr:rowOff>161925</xdr:rowOff>
                  </to>
                </anchor>
              </controlPr>
            </control>
          </mc:Choice>
        </mc:AlternateContent>
        <mc:AlternateContent xmlns:mc="http://schemas.openxmlformats.org/markup-compatibility/2006">
          <mc:Choice Requires="x14">
            <control shapeId="13393" r:id="rId773" name="Button 2129">
              <controlPr defaultSize="0" autoFill="0" autoLine="0" autoPict="0" macro="[0]!Sheet1.deleteRow">
                <anchor moveWithCells="1" sizeWithCells="1">
                  <from>
                    <xdr:col>6</xdr:col>
                    <xdr:colOff>0</xdr:colOff>
                    <xdr:row>1189</xdr:row>
                    <xdr:rowOff>0</xdr:rowOff>
                  </from>
                  <to>
                    <xdr:col>7</xdr:col>
                    <xdr:colOff>0</xdr:colOff>
                    <xdr:row>1189</xdr:row>
                    <xdr:rowOff>161925</xdr:rowOff>
                  </to>
                </anchor>
              </controlPr>
            </control>
          </mc:Choice>
        </mc:AlternateContent>
        <mc:AlternateContent xmlns:mc="http://schemas.openxmlformats.org/markup-compatibility/2006">
          <mc:Choice Requires="x14">
            <control shapeId="13392" r:id="rId774" name="Button 2128">
              <controlPr defaultSize="0" autoFill="0" autoLine="0" autoPict="0" macro="[0]!Sheet1.deleteRow">
                <anchor moveWithCells="1" sizeWithCells="1">
                  <from>
                    <xdr:col>6</xdr:col>
                    <xdr:colOff>0</xdr:colOff>
                    <xdr:row>1190</xdr:row>
                    <xdr:rowOff>0</xdr:rowOff>
                  </from>
                  <to>
                    <xdr:col>7</xdr:col>
                    <xdr:colOff>0</xdr:colOff>
                    <xdr:row>1190</xdr:row>
                    <xdr:rowOff>161925</xdr:rowOff>
                  </to>
                </anchor>
              </controlPr>
            </control>
          </mc:Choice>
        </mc:AlternateContent>
        <mc:AlternateContent xmlns:mc="http://schemas.openxmlformats.org/markup-compatibility/2006">
          <mc:Choice Requires="x14">
            <control shapeId="13391" r:id="rId775" name="Button 2127">
              <controlPr defaultSize="0" autoFill="0" autoLine="0" autoPict="0" macro="[0]!Sheet1.deleteRow">
                <anchor moveWithCells="1" sizeWithCells="1">
                  <from>
                    <xdr:col>6</xdr:col>
                    <xdr:colOff>0</xdr:colOff>
                    <xdr:row>1191</xdr:row>
                    <xdr:rowOff>0</xdr:rowOff>
                  </from>
                  <to>
                    <xdr:col>7</xdr:col>
                    <xdr:colOff>0</xdr:colOff>
                    <xdr:row>1191</xdr:row>
                    <xdr:rowOff>161925</xdr:rowOff>
                  </to>
                </anchor>
              </controlPr>
            </control>
          </mc:Choice>
        </mc:AlternateContent>
        <mc:AlternateContent xmlns:mc="http://schemas.openxmlformats.org/markup-compatibility/2006">
          <mc:Choice Requires="x14">
            <control shapeId="13390" r:id="rId776" name="Button 2126">
              <controlPr defaultSize="0" autoFill="0" autoLine="0" autoPict="0" macro="[0]!Sheet1.deleteRow">
                <anchor moveWithCells="1" sizeWithCells="1">
                  <from>
                    <xdr:col>6</xdr:col>
                    <xdr:colOff>0</xdr:colOff>
                    <xdr:row>1192</xdr:row>
                    <xdr:rowOff>0</xdr:rowOff>
                  </from>
                  <to>
                    <xdr:col>7</xdr:col>
                    <xdr:colOff>0</xdr:colOff>
                    <xdr:row>1192</xdr:row>
                    <xdr:rowOff>161925</xdr:rowOff>
                  </to>
                </anchor>
              </controlPr>
            </control>
          </mc:Choice>
        </mc:AlternateContent>
        <mc:AlternateContent xmlns:mc="http://schemas.openxmlformats.org/markup-compatibility/2006">
          <mc:Choice Requires="x14">
            <control shapeId="13389" r:id="rId777" name="Button 2125">
              <controlPr defaultSize="0" autoFill="0" autoLine="0" autoPict="0" macro="[0]!Sheet1.deleteRow">
                <anchor moveWithCells="1" sizeWithCells="1">
                  <from>
                    <xdr:col>6</xdr:col>
                    <xdr:colOff>0</xdr:colOff>
                    <xdr:row>1193</xdr:row>
                    <xdr:rowOff>0</xdr:rowOff>
                  </from>
                  <to>
                    <xdr:col>7</xdr:col>
                    <xdr:colOff>0</xdr:colOff>
                    <xdr:row>1193</xdr:row>
                    <xdr:rowOff>161925</xdr:rowOff>
                  </to>
                </anchor>
              </controlPr>
            </control>
          </mc:Choice>
        </mc:AlternateContent>
        <mc:AlternateContent xmlns:mc="http://schemas.openxmlformats.org/markup-compatibility/2006">
          <mc:Choice Requires="x14">
            <control shapeId="13388" r:id="rId778" name="Button 2124">
              <controlPr defaultSize="0" autoFill="0" autoLine="0" autoPict="0" macro="[0]!Sheet1.deleteRow">
                <anchor moveWithCells="1" sizeWithCells="1">
                  <from>
                    <xdr:col>6</xdr:col>
                    <xdr:colOff>0</xdr:colOff>
                    <xdr:row>1194</xdr:row>
                    <xdr:rowOff>0</xdr:rowOff>
                  </from>
                  <to>
                    <xdr:col>7</xdr:col>
                    <xdr:colOff>0</xdr:colOff>
                    <xdr:row>1194</xdr:row>
                    <xdr:rowOff>161925</xdr:rowOff>
                  </to>
                </anchor>
              </controlPr>
            </control>
          </mc:Choice>
        </mc:AlternateContent>
        <mc:AlternateContent xmlns:mc="http://schemas.openxmlformats.org/markup-compatibility/2006">
          <mc:Choice Requires="x14">
            <control shapeId="13387" r:id="rId779" name="Button 2123">
              <controlPr defaultSize="0" autoFill="0" autoLine="0" autoPict="0" macro="[0]!Sheet1.deleteRow">
                <anchor moveWithCells="1" sizeWithCells="1">
                  <from>
                    <xdr:col>6</xdr:col>
                    <xdr:colOff>0</xdr:colOff>
                    <xdr:row>1195</xdr:row>
                    <xdr:rowOff>0</xdr:rowOff>
                  </from>
                  <to>
                    <xdr:col>7</xdr:col>
                    <xdr:colOff>0</xdr:colOff>
                    <xdr:row>1195</xdr:row>
                    <xdr:rowOff>161925</xdr:rowOff>
                  </to>
                </anchor>
              </controlPr>
            </control>
          </mc:Choice>
        </mc:AlternateContent>
        <mc:AlternateContent xmlns:mc="http://schemas.openxmlformats.org/markup-compatibility/2006">
          <mc:Choice Requires="x14">
            <control shapeId="13386" r:id="rId780" name="Button 2122">
              <controlPr defaultSize="0" autoFill="0" autoLine="0" autoPict="0" macro="[0]!Sheet1.deleteRow">
                <anchor moveWithCells="1" sizeWithCells="1">
                  <from>
                    <xdr:col>6</xdr:col>
                    <xdr:colOff>0</xdr:colOff>
                    <xdr:row>1196</xdr:row>
                    <xdr:rowOff>0</xdr:rowOff>
                  </from>
                  <to>
                    <xdr:col>7</xdr:col>
                    <xdr:colOff>0</xdr:colOff>
                    <xdr:row>1196</xdr:row>
                    <xdr:rowOff>161925</xdr:rowOff>
                  </to>
                </anchor>
              </controlPr>
            </control>
          </mc:Choice>
        </mc:AlternateContent>
        <mc:AlternateContent xmlns:mc="http://schemas.openxmlformats.org/markup-compatibility/2006">
          <mc:Choice Requires="x14">
            <control shapeId="13385" r:id="rId781" name="Button 2121">
              <controlPr defaultSize="0" autoFill="0" autoLine="0" autoPict="0" macro="[0]!Sheet1.deleteProcedure">
                <anchor moveWithCells="1" sizeWithCells="1">
                  <from>
                    <xdr:col>6</xdr:col>
                    <xdr:colOff>0</xdr:colOff>
                    <xdr:row>1199</xdr:row>
                    <xdr:rowOff>0</xdr:rowOff>
                  </from>
                  <to>
                    <xdr:col>7</xdr:col>
                    <xdr:colOff>0</xdr:colOff>
                    <xdr:row>1200</xdr:row>
                    <xdr:rowOff>0</xdr:rowOff>
                  </to>
                </anchor>
              </controlPr>
            </control>
          </mc:Choice>
        </mc:AlternateContent>
        <mc:AlternateContent xmlns:mc="http://schemas.openxmlformats.org/markup-compatibility/2006">
          <mc:Choice Requires="x14">
            <control shapeId="13384" r:id="rId782" name="Button 2120">
              <controlPr defaultSize="0" autoFill="0" autoLine="0" autoPict="0" macro="[0]!Sheet1.InsertNewTableRow">
                <anchor moveWithCells="1" sizeWithCells="1">
                  <from>
                    <xdr:col>6</xdr:col>
                    <xdr:colOff>0</xdr:colOff>
                    <xdr:row>1206</xdr:row>
                    <xdr:rowOff>0</xdr:rowOff>
                  </from>
                  <to>
                    <xdr:col>7</xdr:col>
                    <xdr:colOff>0</xdr:colOff>
                    <xdr:row>1206</xdr:row>
                    <xdr:rowOff>38100</xdr:rowOff>
                  </to>
                </anchor>
              </controlPr>
            </control>
          </mc:Choice>
        </mc:AlternateContent>
        <mc:AlternateContent xmlns:mc="http://schemas.openxmlformats.org/markup-compatibility/2006">
          <mc:Choice Requires="x14">
            <control shapeId="13383" r:id="rId783" name="Button 2119">
              <controlPr defaultSize="0" autoFill="0" autoLine="0" autoPict="0" macro="[0]!Sheet1.deleteRow">
                <anchor moveWithCells="1" sizeWithCells="1">
                  <from>
                    <xdr:col>6</xdr:col>
                    <xdr:colOff>0</xdr:colOff>
                    <xdr:row>1207</xdr:row>
                    <xdr:rowOff>0</xdr:rowOff>
                  </from>
                  <to>
                    <xdr:col>7</xdr:col>
                    <xdr:colOff>0</xdr:colOff>
                    <xdr:row>1207</xdr:row>
                    <xdr:rowOff>161925</xdr:rowOff>
                  </to>
                </anchor>
              </controlPr>
            </control>
          </mc:Choice>
        </mc:AlternateContent>
        <mc:AlternateContent xmlns:mc="http://schemas.openxmlformats.org/markup-compatibility/2006">
          <mc:Choice Requires="x14">
            <control shapeId="13382" r:id="rId784" name="Button 2118">
              <controlPr defaultSize="0" autoFill="0" autoLine="0" autoPict="0" macro="[0]!Sheet1.deleteProcedure">
                <anchor moveWithCells="1" sizeWithCells="1">
                  <from>
                    <xdr:col>6</xdr:col>
                    <xdr:colOff>0</xdr:colOff>
                    <xdr:row>1210</xdr:row>
                    <xdr:rowOff>0</xdr:rowOff>
                  </from>
                  <to>
                    <xdr:col>7</xdr:col>
                    <xdr:colOff>0</xdr:colOff>
                    <xdr:row>1211</xdr:row>
                    <xdr:rowOff>0</xdr:rowOff>
                  </to>
                </anchor>
              </controlPr>
            </control>
          </mc:Choice>
        </mc:AlternateContent>
        <mc:AlternateContent xmlns:mc="http://schemas.openxmlformats.org/markup-compatibility/2006">
          <mc:Choice Requires="x14">
            <control shapeId="13381" r:id="rId785" name="Button 2117">
              <controlPr defaultSize="0" autoFill="0" autoLine="0" autoPict="0" macro="[0]!Sheet1.InsertNewTableRow">
                <anchor moveWithCells="1" sizeWithCells="1">
                  <from>
                    <xdr:col>6</xdr:col>
                    <xdr:colOff>0</xdr:colOff>
                    <xdr:row>1217</xdr:row>
                    <xdr:rowOff>0</xdr:rowOff>
                  </from>
                  <to>
                    <xdr:col>7</xdr:col>
                    <xdr:colOff>0</xdr:colOff>
                    <xdr:row>1217</xdr:row>
                    <xdr:rowOff>38100</xdr:rowOff>
                  </to>
                </anchor>
              </controlPr>
            </control>
          </mc:Choice>
        </mc:AlternateContent>
        <mc:AlternateContent xmlns:mc="http://schemas.openxmlformats.org/markup-compatibility/2006">
          <mc:Choice Requires="x14">
            <control shapeId="13380" r:id="rId786" name="Button 2116">
              <controlPr defaultSize="0" autoFill="0" autoLine="0" autoPict="0" macro="[0]!Sheet1.deleteRow">
                <anchor moveWithCells="1" sizeWithCells="1">
                  <from>
                    <xdr:col>6</xdr:col>
                    <xdr:colOff>0</xdr:colOff>
                    <xdr:row>1218</xdr:row>
                    <xdr:rowOff>0</xdr:rowOff>
                  </from>
                  <to>
                    <xdr:col>7</xdr:col>
                    <xdr:colOff>0</xdr:colOff>
                    <xdr:row>1218</xdr:row>
                    <xdr:rowOff>161925</xdr:rowOff>
                  </to>
                </anchor>
              </controlPr>
            </control>
          </mc:Choice>
        </mc:AlternateContent>
        <mc:AlternateContent xmlns:mc="http://schemas.openxmlformats.org/markup-compatibility/2006">
          <mc:Choice Requires="x14">
            <control shapeId="13379" r:id="rId787" name="Button 2115">
              <controlPr defaultSize="0" autoFill="0" autoLine="0" autoPict="0" macro="[0]!Sheet1.deleteProcedure">
                <anchor moveWithCells="1" sizeWithCells="1">
                  <from>
                    <xdr:col>6</xdr:col>
                    <xdr:colOff>0</xdr:colOff>
                    <xdr:row>1221</xdr:row>
                    <xdr:rowOff>0</xdr:rowOff>
                  </from>
                  <to>
                    <xdr:col>7</xdr:col>
                    <xdr:colOff>0</xdr:colOff>
                    <xdr:row>1222</xdr:row>
                    <xdr:rowOff>0</xdr:rowOff>
                  </to>
                </anchor>
              </controlPr>
            </control>
          </mc:Choice>
        </mc:AlternateContent>
        <mc:AlternateContent xmlns:mc="http://schemas.openxmlformats.org/markup-compatibility/2006">
          <mc:Choice Requires="x14">
            <control shapeId="13378" r:id="rId788" name="Button 2114">
              <controlPr defaultSize="0" autoFill="0" autoLine="0" autoPict="0" macro="[0]!Sheet1.InsertNewTableRow">
                <anchor moveWithCells="1" sizeWithCells="1">
                  <from>
                    <xdr:col>6</xdr:col>
                    <xdr:colOff>0</xdr:colOff>
                    <xdr:row>1228</xdr:row>
                    <xdr:rowOff>0</xdr:rowOff>
                  </from>
                  <to>
                    <xdr:col>7</xdr:col>
                    <xdr:colOff>0</xdr:colOff>
                    <xdr:row>1228</xdr:row>
                    <xdr:rowOff>38100</xdr:rowOff>
                  </to>
                </anchor>
              </controlPr>
            </control>
          </mc:Choice>
        </mc:AlternateContent>
        <mc:AlternateContent xmlns:mc="http://schemas.openxmlformats.org/markup-compatibility/2006">
          <mc:Choice Requires="x14">
            <control shapeId="13377" r:id="rId789" name="Button 2113">
              <controlPr defaultSize="0" autoFill="0" autoLine="0" autoPict="0" macro="[0]!Sheet1.deleteRow">
                <anchor moveWithCells="1" sizeWithCells="1">
                  <from>
                    <xdr:col>6</xdr:col>
                    <xdr:colOff>0</xdr:colOff>
                    <xdr:row>1229</xdr:row>
                    <xdr:rowOff>0</xdr:rowOff>
                  </from>
                  <to>
                    <xdr:col>7</xdr:col>
                    <xdr:colOff>0</xdr:colOff>
                    <xdr:row>1229</xdr:row>
                    <xdr:rowOff>161925</xdr:rowOff>
                  </to>
                </anchor>
              </controlPr>
            </control>
          </mc:Choice>
        </mc:AlternateContent>
        <mc:AlternateContent xmlns:mc="http://schemas.openxmlformats.org/markup-compatibility/2006">
          <mc:Choice Requires="x14">
            <control shapeId="13376" r:id="rId790" name="Button 2112">
              <controlPr defaultSize="0" autoFill="0" autoLine="0" autoPict="0" macro="[0]!Sheet1.deleteRow">
                <anchor moveWithCells="1" sizeWithCells="1">
                  <from>
                    <xdr:col>6</xdr:col>
                    <xdr:colOff>0</xdr:colOff>
                    <xdr:row>1230</xdr:row>
                    <xdr:rowOff>0</xdr:rowOff>
                  </from>
                  <to>
                    <xdr:col>7</xdr:col>
                    <xdr:colOff>0</xdr:colOff>
                    <xdr:row>1230</xdr:row>
                    <xdr:rowOff>161925</xdr:rowOff>
                  </to>
                </anchor>
              </controlPr>
            </control>
          </mc:Choice>
        </mc:AlternateContent>
        <mc:AlternateContent xmlns:mc="http://schemas.openxmlformats.org/markup-compatibility/2006">
          <mc:Choice Requires="x14">
            <control shapeId="13375" r:id="rId791" name="Button 2111">
              <controlPr defaultSize="0" autoFill="0" autoLine="0" autoPict="0" macro="[0]!Sheet1.deleteRow">
                <anchor moveWithCells="1" sizeWithCells="1">
                  <from>
                    <xdr:col>6</xdr:col>
                    <xdr:colOff>0</xdr:colOff>
                    <xdr:row>1231</xdr:row>
                    <xdr:rowOff>0</xdr:rowOff>
                  </from>
                  <to>
                    <xdr:col>7</xdr:col>
                    <xdr:colOff>0</xdr:colOff>
                    <xdr:row>1231</xdr:row>
                    <xdr:rowOff>161925</xdr:rowOff>
                  </to>
                </anchor>
              </controlPr>
            </control>
          </mc:Choice>
        </mc:AlternateContent>
        <mc:AlternateContent xmlns:mc="http://schemas.openxmlformats.org/markup-compatibility/2006">
          <mc:Choice Requires="x14">
            <control shapeId="13374" r:id="rId792" name="Button 2110">
              <controlPr defaultSize="0" autoFill="0" autoLine="0" autoPict="0" macro="[0]!Sheet1.deleteRow">
                <anchor moveWithCells="1" sizeWithCells="1">
                  <from>
                    <xdr:col>6</xdr:col>
                    <xdr:colOff>0</xdr:colOff>
                    <xdr:row>1232</xdr:row>
                    <xdr:rowOff>0</xdr:rowOff>
                  </from>
                  <to>
                    <xdr:col>7</xdr:col>
                    <xdr:colOff>0</xdr:colOff>
                    <xdr:row>1232</xdr:row>
                    <xdr:rowOff>161925</xdr:rowOff>
                  </to>
                </anchor>
              </controlPr>
            </control>
          </mc:Choice>
        </mc:AlternateContent>
        <mc:AlternateContent xmlns:mc="http://schemas.openxmlformats.org/markup-compatibility/2006">
          <mc:Choice Requires="x14">
            <control shapeId="13373" r:id="rId793" name="Button 2109">
              <controlPr defaultSize="0" autoFill="0" autoLine="0" autoPict="0" macro="[0]!Sheet1.deleteRow">
                <anchor moveWithCells="1" sizeWithCells="1">
                  <from>
                    <xdr:col>6</xdr:col>
                    <xdr:colOff>0</xdr:colOff>
                    <xdr:row>1233</xdr:row>
                    <xdr:rowOff>0</xdr:rowOff>
                  </from>
                  <to>
                    <xdr:col>7</xdr:col>
                    <xdr:colOff>0</xdr:colOff>
                    <xdr:row>1233</xdr:row>
                    <xdr:rowOff>161925</xdr:rowOff>
                  </to>
                </anchor>
              </controlPr>
            </control>
          </mc:Choice>
        </mc:AlternateContent>
        <mc:AlternateContent xmlns:mc="http://schemas.openxmlformats.org/markup-compatibility/2006">
          <mc:Choice Requires="x14">
            <control shapeId="13372" r:id="rId794" name="Button 2108">
              <controlPr defaultSize="0" autoFill="0" autoLine="0" autoPict="0" macro="[0]!Sheet1.deleteRow">
                <anchor moveWithCells="1" sizeWithCells="1">
                  <from>
                    <xdr:col>6</xdr:col>
                    <xdr:colOff>0</xdr:colOff>
                    <xdr:row>1234</xdr:row>
                    <xdr:rowOff>0</xdr:rowOff>
                  </from>
                  <to>
                    <xdr:col>7</xdr:col>
                    <xdr:colOff>0</xdr:colOff>
                    <xdr:row>1234</xdr:row>
                    <xdr:rowOff>161925</xdr:rowOff>
                  </to>
                </anchor>
              </controlPr>
            </control>
          </mc:Choice>
        </mc:AlternateContent>
        <mc:AlternateContent xmlns:mc="http://schemas.openxmlformats.org/markup-compatibility/2006">
          <mc:Choice Requires="x14">
            <control shapeId="13371" r:id="rId795" name="Button 2107">
              <controlPr defaultSize="0" autoFill="0" autoLine="0" autoPict="0" macro="[0]!Sheet1.deleteRow">
                <anchor moveWithCells="1" sizeWithCells="1">
                  <from>
                    <xdr:col>6</xdr:col>
                    <xdr:colOff>0</xdr:colOff>
                    <xdr:row>1235</xdr:row>
                    <xdr:rowOff>0</xdr:rowOff>
                  </from>
                  <to>
                    <xdr:col>7</xdr:col>
                    <xdr:colOff>0</xdr:colOff>
                    <xdr:row>1235</xdr:row>
                    <xdr:rowOff>161925</xdr:rowOff>
                  </to>
                </anchor>
              </controlPr>
            </control>
          </mc:Choice>
        </mc:AlternateContent>
        <mc:AlternateContent xmlns:mc="http://schemas.openxmlformats.org/markup-compatibility/2006">
          <mc:Choice Requires="x14">
            <control shapeId="13370" r:id="rId796" name="Button 2106">
              <controlPr defaultSize="0" autoFill="0" autoLine="0" autoPict="0" macro="[0]!Sheet1.deleteRow">
                <anchor moveWithCells="1" sizeWithCells="1">
                  <from>
                    <xdr:col>6</xdr:col>
                    <xdr:colOff>0</xdr:colOff>
                    <xdr:row>1236</xdr:row>
                    <xdr:rowOff>0</xdr:rowOff>
                  </from>
                  <to>
                    <xdr:col>7</xdr:col>
                    <xdr:colOff>0</xdr:colOff>
                    <xdr:row>1236</xdr:row>
                    <xdr:rowOff>161925</xdr:rowOff>
                  </to>
                </anchor>
              </controlPr>
            </control>
          </mc:Choice>
        </mc:AlternateContent>
        <mc:AlternateContent xmlns:mc="http://schemas.openxmlformats.org/markup-compatibility/2006">
          <mc:Choice Requires="x14">
            <control shapeId="13369" r:id="rId797" name="Button 2105">
              <controlPr defaultSize="0" autoFill="0" autoLine="0" autoPict="0" macro="[0]!Sheet1.deleteRow">
                <anchor moveWithCells="1" sizeWithCells="1">
                  <from>
                    <xdr:col>6</xdr:col>
                    <xdr:colOff>0</xdr:colOff>
                    <xdr:row>1237</xdr:row>
                    <xdr:rowOff>0</xdr:rowOff>
                  </from>
                  <to>
                    <xdr:col>7</xdr:col>
                    <xdr:colOff>0</xdr:colOff>
                    <xdr:row>1237</xdr:row>
                    <xdr:rowOff>161925</xdr:rowOff>
                  </to>
                </anchor>
              </controlPr>
            </control>
          </mc:Choice>
        </mc:AlternateContent>
        <mc:AlternateContent xmlns:mc="http://schemas.openxmlformats.org/markup-compatibility/2006">
          <mc:Choice Requires="x14">
            <control shapeId="13368" r:id="rId798" name="Button 2104">
              <controlPr defaultSize="0" autoFill="0" autoLine="0" autoPict="0" macro="[0]!Sheet1.deleteRow">
                <anchor moveWithCells="1" sizeWithCells="1">
                  <from>
                    <xdr:col>6</xdr:col>
                    <xdr:colOff>0</xdr:colOff>
                    <xdr:row>1238</xdr:row>
                    <xdr:rowOff>0</xdr:rowOff>
                  </from>
                  <to>
                    <xdr:col>7</xdr:col>
                    <xdr:colOff>0</xdr:colOff>
                    <xdr:row>1238</xdr:row>
                    <xdr:rowOff>161925</xdr:rowOff>
                  </to>
                </anchor>
              </controlPr>
            </control>
          </mc:Choice>
        </mc:AlternateContent>
        <mc:AlternateContent xmlns:mc="http://schemas.openxmlformats.org/markup-compatibility/2006">
          <mc:Choice Requires="x14">
            <control shapeId="13367" r:id="rId799" name="Button 2103">
              <controlPr defaultSize="0" autoFill="0" autoLine="0" autoPict="0" macro="[0]!Sheet1.deleteRow">
                <anchor moveWithCells="1" sizeWithCells="1">
                  <from>
                    <xdr:col>6</xdr:col>
                    <xdr:colOff>0</xdr:colOff>
                    <xdr:row>1239</xdr:row>
                    <xdr:rowOff>0</xdr:rowOff>
                  </from>
                  <to>
                    <xdr:col>7</xdr:col>
                    <xdr:colOff>0</xdr:colOff>
                    <xdr:row>1239</xdr:row>
                    <xdr:rowOff>161925</xdr:rowOff>
                  </to>
                </anchor>
              </controlPr>
            </control>
          </mc:Choice>
        </mc:AlternateContent>
        <mc:AlternateContent xmlns:mc="http://schemas.openxmlformats.org/markup-compatibility/2006">
          <mc:Choice Requires="x14">
            <control shapeId="13366" r:id="rId800" name="Button 2102">
              <controlPr defaultSize="0" autoFill="0" autoLine="0" autoPict="0" macro="[0]!Sheet1.deleteRow">
                <anchor moveWithCells="1" sizeWithCells="1">
                  <from>
                    <xdr:col>6</xdr:col>
                    <xdr:colOff>0</xdr:colOff>
                    <xdr:row>1240</xdr:row>
                    <xdr:rowOff>0</xdr:rowOff>
                  </from>
                  <to>
                    <xdr:col>7</xdr:col>
                    <xdr:colOff>0</xdr:colOff>
                    <xdr:row>1240</xdr:row>
                    <xdr:rowOff>161925</xdr:rowOff>
                  </to>
                </anchor>
              </controlPr>
            </control>
          </mc:Choice>
        </mc:AlternateContent>
        <mc:AlternateContent xmlns:mc="http://schemas.openxmlformats.org/markup-compatibility/2006">
          <mc:Choice Requires="x14">
            <control shapeId="13365" r:id="rId801" name="Button 2101">
              <controlPr defaultSize="0" autoFill="0" autoLine="0" autoPict="0" macro="[0]!Sheet1.deleteRow">
                <anchor moveWithCells="1" sizeWithCells="1">
                  <from>
                    <xdr:col>6</xdr:col>
                    <xdr:colOff>0</xdr:colOff>
                    <xdr:row>1241</xdr:row>
                    <xdr:rowOff>0</xdr:rowOff>
                  </from>
                  <to>
                    <xdr:col>7</xdr:col>
                    <xdr:colOff>0</xdr:colOff>
                    <xdr:row>1241</xdr:row>
                    <xdr:rowOff>161925</xdr:rowOff>
                  </to>
                </anchor>
              </controlPr>
            </control>
          </mc:Choice>
        </mc:AlternateContent>
        <mc:AlternateContent xmlns:mc="http://schemas.openxmlformats.org/markup-compatibility/2006">
          <mc:Choice Requires="x14">
            <control shapeId="13364" r:id="rId802" name="Button 2100">
              <controlPr defaultSize="0" autoFill="0" autoLine="0" autoPict="0" macro="[0]!Sheet1.deleteRow">
                <anchor moveWithCells="1" sizeWithCells="1">
                  <from>
                    <xdr:col>6</xdr:col>
                    <xdr:colOff>0</xdr:colOff>
                    <xdr:row>1242</xdr:row>
                    <xdr:rowOff>0</xdr:rowOff>
                  </from>
                  <to>
                    <xdr:col>7</xdr:col>
                    <xdr:colOff>0</xdr:colOff>
                    <xdr:row>1242</xdr:row>
                    <xdr:rowOff>161925</xdr:rowOff>
                  </to>
                </anchor>
              </controlPr>
            </control>
          </mc:Choice>
        </mc:AlternateContent>
        <mc:AlternateContent xmlns:mc="http://schemas.openxmlformats.org/markup-compatibility/2006">
          <mc:Choice Requires="x14">
            <control shapeId="13363" r:id="rId803" name="Button 2099">
              <controlPr defaultSize="0" autoFill="0" autoLine="0" autoPict="0" macro="[0]!Sheet1.deleteRow">
                <anchor moveWithCells="1" sizeWithCells="1">
                  <from>
                    <xdr:col>6</xdr:col>
                    <xdr:colOff>0</xdr:colOff>
                    <xdr:row>1243</xdr:row>
                    <xdr:rowOff>0</xdr:rowOff>
                  </from>
                  <to>
                    <xdr:col>7</xdr:col>
                    <xdr:colOff>0</xdr:colOff>
                    <xdr:row>1243</xdr:row>
                    <xdr:rowOff>161925</xdr:rowOff>
                  </to>
                </anchor>
              </controlPr>
            </control>
          </mc:Choice>
        </mc:AlternateContent>
        <mc:AlternateContent xmlns:mc="http://schemas.openxmlformats.org/markup-compatibility/2006">
          <mc:Choice Requires="x14">
            <control shapeId="13362" r:id="rId804" name="Button 2098">
              <controlPr defaultSize="0" autoFill="0" autoLine="0" autoPict="0" macro="[0]!Sheet1.deleteRow">
                <anchor moveWithCells="1" sizeWithCells="1">
                  <from>
                    <xdr:col>6</xdr:col>
                    <xdr:colOff>0</xdr:colOff>
                    <xdr:row>1244</xdr:row>
                    <xdr:rowOff>0</xdr:rowOff>
                  </from>
                  <to>
                    <xdr:col>7</xdr:col>
                    <xdr:colOff>0</xdr:colOff>
                    <xdr:row>1244</xdr:row>
                    <xdr:rowOff>161925</xdr:rowOff>
                  </to>
                </anchor>
              </controlPr>
            </control>
          </mc:Choice>
        </mc:AlternateContent>
        <mc:AlternateContent xmlns:mc="http://schemas.openxmlformats.org/markup-compatibility/2006">
          <mc:Choice Requires="x14">
            <control shapeId="13361" r:id="rId805" name="Button 2097">
              <controlPr defaultSize="0" autoFill="0" autoLine="0" autoPict="0" macro="[0]!Sheet1.deleteRow">
                <anchor moveWithCells="1" sizeWithCells="1">
                  <from>
                    <xdr:col>6</xdr:col>
                    <xdr:colOff>0</xdr:colOff>
                    <xdr:row>1245</xdr:row>
                    <xdr:rowOff>0</xdr:rowOff>
                  </from>
                  <to>
                    <xdr:col>7</xdr:col>
                    <xdr:colOff>0</xdr:colOff>
                    <xdr:row>1245</xdr:row>
                    <xdr:rowOff>161925</xdr:rowOff>
                  </to>
                </anchor>
              </controlPr>
            </control>
          </mc:Choice>
        </mc:AlternateContent>
        <mc:AlternateContent xmlns:mc="http://schemas.openxmlformats.org/markup-compatibility/2006">
          <mc:Choice Requires="x14">
            <control shapeId="13360" r:id="rId806" name="Button 2096">
              <controlPr defaultSize="0" autoFill="0" autoLine="0" autoPict="0" macro="[0]!Sheet1.deleteRow">
                <anchor moveWithCells="1" sizeWithCells="1">
                  <from>
                    <xdr:col>6</xdr:col>
                    <xdr:colOff>0</xdr:colOff>
                    <xdr:row>1246</xdr:row>
                    <xdr:rowOff>0</xdr:rowOff>
                  </from>
                  <to>
                    <xdr:col>7</xdr:col>
                    <xdr:colOff>0</xdr:colOff>
                    <xdr:row>1246</xdr:row>
                    <xdr:rowOff>161925</xdr:rowOff>
                  </to>
                </anchor>
              </controlPr>
            </control>
          </mc:Choice>
        </mc:AlternateContent>
        <mc:AlternateContent xmlns:mc="http://schemas.openxmlformats.org/markup-compatibility/2006">
          <mc:Choice Requires="x14">
            <control shapeId="13359" r:id="rId807" name="Button 2095">
              <controlPr defaultSize="0" autoFill="0" autoLine="0" autoPict="0" macro="[0]!Sheet1.deleteRow">
                <anchor moveWithCells="1" sizeWithCells="1">
                  <from>
                    <xdr:col>6</xdr:col>
                    <xdr:colOff>0</xdr:colOff>
                    <xdr:row>1247</xdr:row>
                    <xdr:rowOff>0</xdr:rowOff>
                  </from>
                  <to>
                    <xdr:col>7</xdr:col>
                    <xdr:colOff>0</xdr:colOff>
                    <xdr:row>1247</xdr:row>
                    <xdr:rowOff>161925</xdr:rowOff>
                  </to>
                </anchor>
              </controlPr>
            </control>
          </mc:Choice>
        </mc:AlternateContent>
        <mc:AlternateContent xmlns:mc="http://schemas.openxmlformats.org/markup-compatibility/2006">
          <mc:Choice Requires="x14">
            <control shapeId="13358" r:id="rId808" name="Button 2094">
              <controlPr defaultSize="0" autoFill="0" autoLine="0" autoPict="0" macro="[0]!Sheet1.deleteRow">
                <anchor moveWithCells="1" sizeWithCells="1">
                  <from>
                    <xdr:col>6</xdr:col>
                    <xdr:colOff>0</xdr:colOff>
                    <xdr:row>1248</xdr:row>
                    <xdr:rowOff>0</xdr:rowOff>
                  </from>
                  <to>
                    <xdr:col>7</xdr:col>
                    <xdr:colOff>0</xdr:colOff>
                    <xdr:row>1248</xdr:row>
                    <xdr:rowOff>161925</xdr:rowOff>
                  </to>
                </anchor>
              </controlPr>
            </control>
          </mc:Choice>
        </mc:AlternateContent>
        <mc:AlternateContent xmlns:mc="http://schemas.openxmlformats.org/markup-compatibility/2006">
          <mc:Choice Requires="x14">
            <control shapeId="13357" r:id="rId809" name="Button 2093">
              <controlPr defaultSize="0" autoFill="0" autoLine="0" autoPict="0" macro="[0]!Sheet1.deleteRow">
                <anchor moveWithCells="1" sizeWithCells="1">
                  <from>
                    <xdr:col>6</xdr:col>
                    <xdr:colOff>0</xdr:colOff>
                    <xdr:row>1249</xdr:row>
                    <xdr:rowOff>0</xdr:rowOff>
                  </from>
                  <to>
                    <xdr:col>7</xdr:col>
                    <xdr:colOff>0</xdr:colOff>
                    <xdr:row>1249</xdr:row>
                    <xdr:rowOff>161925</xdr:rowOff>
                  </to>
                </anchor>
              </controlPr>
            </control>
          </mc:Choice>
        </mc:AlternateContent>
        <mc:AlternateContent xmlns:mc="http://schemas.openxmlformats.org/markup-compatibility/2006">
          <mc:Choice Requires="x14">
            <control shapeId="13356" r:id="rId810" name="Button 2092">
              <controlPr defaultSize="0" autoFill="0" autoLine="0" autoPict="0" macro="[0]!Sheet1.deleteRow">
                <anchor moveWithCells="1" sizeWithCells="1">
                  <from>
                    <xdr:col>6</xdr:col>
                    <xdr:colOff>0</xdr:colOff>
                    <xdr:row>1250</xdr:row>
                    <xdr:rowOff>0</xdr:rowOff>
                  </from>
                  <to>
                    <xdr:col>7</xdr:col>
                    <xdr:colOff>0</xdr:colOff>
                    <xdr:row>1250</xdr:row>
                    <xdr:rowOff>161925</xdr:rowOff>
                  </to>
                </anchor>
              </controlPr>
            </control>
          </mc:Choice>
        </mc:AlternateContent>
        <mc:AlternateContent xmlns:mc="http://schemas.openxmlformats.org/markup-compatibility/2006">
          <mc:Choice Requires="x14">
            <control shapeId="13355" r:id="rId811" name="Button 2091">
              <controlPr defaultSize="0" autoFill="0" autoLine="0" autoPict="0" macro="[0]!Sheet1.deleteRow">
                <anchor moveWithCells="1" sizeWithCells="1">
                  <from>
                    <xdr:col>6</xdr:col>
                    <xdr:colOff>0</xdr:colOff>
                    <xdr:row>1251</xdr:row>
                    <xdr:rowOff>0</xdr:rowOff>
                  </from>
                  <to>
                    <xdr:col>7</xdr:col>
                    <xdr:colOff>0</xdr:colOff>
                    <xdr:row>1251</xdr:row>
                    <xdr:rowOff>161925</xdr:rowOff>
                  </to>
                </anchor>
              </controlPr>
            </control>
          </mc:Choice>
        </mc:AlternateContent>
        <mc:AlternateContent xmlns:mc="http://schemas.openxmlformats.org/markup-compatibility/2006">
          <mc:Choice Requires="x14">
            <control shapeId="13354" r:id="rId812" name="Button 2090">
              <controlPr defaultSize="0" autoFill="0" autoLine="0" autoPict="0" macro="[0]!Sheet1.deleteRow">
                <anchor moveWithCells="1" sizeWithCells="1">
                  <from>
                    <xdr:col>6</xdr:col>
                    <xdr:colOff>0</xdr:colOff>
                    <xdr:row>1252</xdr:row>
                    <xdr:rowOff>0</xdr:rowOff>
                  </from>
                  <to>
                    <xdr:col>7</xdr:col>
                    <xdr:colOff>0</xdr:colOff>
                    <xdr:row>1252</xdr:row>
                    <xdr:rowOff>161925</xdr:rowOff>
                  </to>
                </anchor>
              </controlPr>
            </control>
          </mc:Choice>
        </mc:AlternateContent>
        <mc:AlternateContent xmlns:mc="http://schemas.openxmlformats.org/markup-compatibility/2006">
          <mc:Choice Requires="x14">
            <control shapeId="13353" r:id="rId813" name="Button 2089">
              <controlPr defaultSize="0" autoFill="0" autoLine="0" autoPict="0" macro="[0]!Sheet1.deleteRow">
                <anchor moveWithCells="1" sizeWithCells="1">
                  <from>
                    <xdr:col>6</xdr:col>
                    <xdr:colOff>0</xdr:colOff>
                    <xdr:row>1253</xdr:row>
                    <xdr:rowOff>0</xdr:rowOff>
                  </from>
                  <to>
                    <xdr:col>7</xdr:col>
                    <xdr:colOff>0</xdr:colOff>
                    <xdr:row>1253</xdr:row>
                    <xdr:rowOff>161925</xdr:rowOff>
                  </to>
                </anchor>
              </controlPr>
            </control>
          </mc:Choice>
        </mc:AlternateContent>
        <mc:AlternateContent xmlns:mc="http://schemas.openxmlformats.org/markup-compatibility/2006">
          <mc:Choice Requires="x14">
            <control shapeId="13352" r:id="rId814" name="Button 2088">
              <controlPr defaultSize="0" autoFill="0" autoLine="0" autoPict="0" macro="[0]!Sheet1.deleteRow">
                <anchor moveWithCells="1" sizeWithCells="1">
                  <from>
                    <xdr:col>6</xdr:col>
                    <xdr:colOff>0</xdr:colOff>
                    <xdr:row>1254</xdr:row>
                    <xdr:rowOff>0</xdr:rowOff>
                  </from>
                  <to>
                    <xdr:col>7</xdr:col>
                    <xdr:colOff>0</xdr:colOff>
                    <xdr:row>1254</xdr:row>
                    <xdr:rowOff>161925</xdr:rowOff>
                  </to>
                </anchor>
              </controlPr>
            </control>
          </mc:Choice>
        </mc:AlternateContent>
        <mc:AlternateContent xmlns:mc="http://schemas.openxmlformats.org/markup-compatibility/2006">
          <mc:Choice Requires="x14">
            <control shapeId="13351" r:id="rId815" name="Button 2087">
              <controlPr defaultSize="0" autoFill="0" autoLine="0" autoPict="0" macro="[0]!Sheet1.deleteRow">
                <anchor moveWithCells="1" sizeWithCells="1">
                  <from>
                    <xdr:col>6</xdr:col>
                    <xdr:colOff>0</xdr:colOff>
                    <xdr:row>1255</xdr:row>
                    <xdr:rowOff>0</xdr:rowOff>
                  </from>
                  <to>
                    <xdr:col>7</xdr:col>
                    <xdr:colOff>0</xdr:colOff>
                    <xdr:row>1255</xdr:row>
                    <xdr:rowOff>161925</xdr:rowOff>
                  </to>
                </anchor>
              </controlPr>
            </control>
          </mc:Choice>
        </mc:AlternateContent>
        <mc:AlternateContent xmlns:mc="http://schemas.openxmlformats.org/markup-compatibility/2006">
          <mc:Choice Requires="x14">
            <control shapeId="13350" r:id="rId816" name="Button 2086">
              <controlPr defaultSize="0" autoFill="0" autoLine="0" autoPict="0" macro="[0]!Sheet1.deleteRow">
                <anchor moveWithCells="1" sizeWithCells="1">
                  <from>
                    <xdr:col>6</xdr:col>
                    <xdr:colOff>0</xdr:colOff>
                    <xdr:row>1256</xdr:row>
                    <xdr:rowOff>0</xdr:rowOff>
                  </from>
                  <to>
                    <xdr:col>7</xdr:col>
                    <xdr:colOff>0</xdr:colOff>
                    <xdr:row>1256</xdr:row>
                    <xdr:rowOff>161925</xdr:rowOff>
                  </to>
                </anchor>
              </controlPr>
            </control>
          </mc:Choice>
        </mc:AlternateContent>
        <mc:AlternateContent xmlns:mc="http://schemas.openxmlformats.org/markup-compatibility/2006">
          <mc:Choice Requires="x14">
            <control shapeId="13349" r:id="rId817" name="Button 2085">
              <controlPr defaultSize="0" autoFill="0" autoLine="0" autoPict="0" macro="[0]!Sheet1.deleteRow">
                <anchor moveWithCells="1" sizeWithCells="1">
                  <from>
                    <xdr:col>6</xdr:col>
                    <xdr:colOff>0</xdr:colOff>
                    <xdr:row>1257</xdr:row>
                    <xdr:rowOff>0</xdr:rowOff>
                  </from>
                  <to>
                    <xdr:col>7</xdr:col>
                    <xdr:colOff>0</xdr:colOff>
                    <xdr:row>1257</xdr:row>
                    <xdr:rowOff>161925</xdr:rowOff>
                  </to>
                </anchor>
              </controlPr>
            </control>
          </mc:Choice>
        </mc:AlternateContent>
        <mc:AlternateContent xmlns:mc="http://schemas.openxmlformats.org/markup-compatibility/2006">
          <mc:Choice Requires="x14">
            <control shapeId="13348" r:id="rId818" name="Button 2084">
              <controlPr defaultSize="0" autoFill="0" autoLine="0" autoPict="0" macro="[0]!Sheet1.deleteRow">
                <anchor moveWithCells="1" sizeWithCells="1">
                  <from>
                    <xdr:col>6</xdr:col>
                    <xdr:colOff>0</xdr:colOff>
                    <xdr:row>1258</xdr:row>
                    <xdr:rowOff>0</xdr:rowOff>
                  </from>
                  <to>
                    <xdr:col>7</xdr:col>
                    <xdr:colOff>0</xdr:colOff>
                    <xdr:row>1258</xdr:row>
                    <xdr:rowOff>161925</xdr:rowOff>
                  </to>
                </anchor>
              </controlPr>
            </control>
          </mc:Choice>
        </mc:AlternateContent>
        <mc:AlternateContent xmlns:mc="http://schemas.openxmlformats.org/markup-compatibility/2006">
          <mc:Choice Requires="x14">
            <control shapeId="13347" r:id="rId819" name="Button 2083">
              <controlPr defaultSize="0" autoFill="0" autoLine="0" autoPict="0" macro="[0]!Sheet1.deleteRow">
                <anchor moveWithCells="1" sizeWithCells="1">
                  <from>
                    <xdr:col>6</xdr:col>
                    <xdr:colOff>0</xdr:colOff>
                    <xdr:row>1259</xdr:row>
                    <xdr:rowOff>0</xdr:rowOff>
                  </from>
                  <to>
                    <xdr:col>7</xdr:col>
                    <xdr:colOff>0</xdr:colOff>
                    <xdr:row>1259</xdr:row>
                    <xdr:rowOff>161925</xdr:rowOff>
                  </to>
                </anchor>
              </controlPr>
            </control>
          </mc:Choice>
        </mc:AlternateContent>
        <mc:AlternateContent xmlns:mc="http://schemas.openxmlformats.org/markup-compatibility/2006">
          <mc:Choice Requires="x14">
            <control shapeId="13346" r:id="rId820" name="Button 2082">
              <controlPr defaultSize="0" autoFill="0" autoLine="0" autoPict="0" macro="[0]!Sheet1.deleteRow">
                <anchor moveWithCells="1" sizeWithCells="1">
                  <from>
                    <xdr:col>6</xdr:col>
                    <xdr:colOff>0</xdr:colOff>
                    <xdr:row>1260</xdr:row>
                    <xdr:rowOff>0</xdr:rowOff>
                  </from>
                  <to>
                    <xdr:col>7</xdr:col>
                    <xdr:colOff>0</xdr:colOff>
                    <xdr:row>1260</xdr:row>
                    <xdr:rowOff>161925</xdr:rowOff>
                  </to>
                </anchor>
              </controlPr>
            </control>
          </mc:Choice>
        </mc:AlternateContent>
        <mc:AlternateContent xmlns:mc="http://schemas.openxmlformats.org/markup-compatibility/2006">
          <mc:Choice Requires="x14">
            <control shapeId="13345" r:id="rId821" name="Button 2081">
              <controlPr defaultSize="0" autoFill="0" autoLine="0" autoPict="0" macro="[0]!Sheet1.deleteRow">
                <anchor moveWithCells="1" sizeWithCells="1">
                  <from>
                    <xdr:col>6</xdr:col>
                    <xdr:colOff>0</xdr:colOff>
                    <xdr:row>1261</xdr:row>
                    <xdr:rowOff>0</xdr:rowOff>
                  </from>
                  <to>
                    <xdr:col>7</xdr:col>
                    <xdr:colOff>0</xdr:colOff>
                    <xdr:row>1261</xdr:row>
                    <xdr:rowOff>161925</xdr:rowOff>
                  </to>
                </anchor>
              </controlPr>
            </control>
          </mc:Choice>
        </mc:AlternateContent>
        <mc:AlternateContent xmlns:mc="http://schemas.openxmlformats.org/markup-compatibility/2006">
          <mc:Choice Requires="x14">
            <control shapeId="13344" r:id="rId822" name="Button 2080">
              <controlPr defaultSize="0" autoFill="0" autoLine="0" autoPict="0" macro="[0]!Sheet1.deleteRow">
                <anchor moveWithCells="1" sizeWithCells="1">
                  <from>
                    <xdr:col>6</xdr:col>
                    <xdr:colOff>0</xdr:colOff>
                    <xdr:row>1262</xdr:row>
                    <xdr:rowOff>0</xdr:rowOff>
                  </from>
                  <to>
                    <xdr:col>7</xdr:col>
                    <xdr:colOff>0</xdr:colOff>
                    <xdr:row>1262</xdr:row>
                    <xdr:rowOff>161925</xdr:rowOff>
                  </to>
                </anchor>
              </controlPr>
            </control>
          </mc:Choice>
        </mc:AlternateContent>
        <mc:AlternateContent xmlns:mc="http://schemas.openxmlformats.org/markup-compatibility/2006">
          <mc:Choice Requires="x14">
            <control shapeId="13343" r:id="rId823" name="Button 2079">
              <controlPr defaultSize="0" autoFill="0" autoLine="0" autoPict="0" macro="[0]!Sheet1.deleteRow">
                <anchor moveWithCells="1" sizeWithCells="1">
                  <from>
                    <xdr:col>6</xdr:col>
                    <xdr:colOff>0</xdr:colOff>
                    <xdr:row>1263</xdr:row>
                    <xdr:rowOff>0</xdr:rowOff>
                  </from>
                  <to>
                    <xdr:col>7</xdr:col>
                    <xdr:colOff>0</xdr:colOff>
                    <xdr:row>1263</xdr:row>
                    <xdr:rowOff>161925</xdr:rowOff>
                  </to>
                </anchor>
              </controlPr>
            </control>
          </mc:Choice>
        </mc:AlternateContent>
        <mc:AlternateContent xmlns:mc="http://schemas.openxmlformats.org/markup-compatibility/2006">
          <mc:Choice Requires="x14">
            <control shapeId="13342" r:id="rId824" name="Button 2078">
              <controlPr defaultSize="0" autoFill="0" autoLine="0" autoPict="0" macro="[0]!Sheet1.deleteRow">
                <anchor moveWithCells="1" sizeWithCells="1">
                  <from>
                    <xdr:col>6</xdr:col>
                    <xdr:colOff>0</xdr:colOff>
                    <xdr:row>1264</xdr:row>
                    <xdr:rowOff>0</xdr:rowOff>
                  </from>
                  <to>
                    <xdr:col>7</xdr:col>
                    <xdr:colOff>0</xdr:colOff>
                    <xdr:row>1264</xdr:row>
                    <xdr:rowOff>161925</xdr:rowOff>
                  </to>
                </anchor>
              </controlPr>
            </control>
          </mc:Choice>
        </mc:AlternateContent>
        <mc:AlternateContent xmlns:mc="http://schemas.openxmlformats.org/markup-compatibility/2006">
          <mc:Choice Requires="x14">
            <control shapeId="13341" r:id="rId825" name="Button 2077">
              <controlPr defaultSize="0" autoFill="0" autoLine="0" autoPict="0" macro="[0]!Sheet1.deleteRow">
                <anchor moveWithCells="1" sizeWithCells="1">
                  <from>
                    <xdr:col>6</xdr:col>
                    <xdr:colOff>0</xdr:colOff>
                    <xdr:row>1265</xdr:row>
                    <xdr:rowOff>0</xdr:rowOff>
                  </from>
                  <to>
                    <xdr:col>7</xdr:col>
                    <xdr:colOff>0</xdr:colOff>
                    <xdr:row>1265</xdr:row>
                    <xdr:rowOff>161925</xdr:rowOff>
                  </to>
                </anchor>
              </controlPr>
            </control>
          </mc:Choice>
        </mc:AlternateContent>
        <mc:AlternateContent xmlns:mc="http://schemas.openxmlformats.org/markup-compatibility/2006">
          <mc:Choice Requires="x14">
            <control shapeId="13340" r:id="rId826" name="Button 2076">
              <controlPr defaultSize="0" autoFill="0" autoLine="0" autoPict="0" macro="[0]!Sheet1.deleteRow">
                <anchor moveWithCells="1" sizeWithCells="1">
                  <from>
                    <xdr:col>6</xdr:col>
                    <xdr:colOff>0</xdr:colOff>
                    <xdr:row>1266</xdr:row>
                    <xdr:rowOff>0</xdr:rowOff>
                  </from>
                  <to>
                    <xdr:col>7</xdr:col>
                    <xdr:colOff>0</xdr:colOff>
                    <xdr:row>1266</xdr:row>
                    <xdr:rowOff>161925</xdr:rowOff>
                  </to>
                </anchor>
              </controlPr>
            </control>
          </mc:Choice>
        </mc:AlternateContent>
        <mc:AlternateContent xmlns:mc="http://schemas.openxmlformats.org/markup-compatibility/2006">
          <mc:Choice Requires="x14">
            <control shapeId="13339" r:id="rId827" name="Button 2075">
              <controlPr defaultSize="0" autoFill="0" autoLine="0" autoPict="0" macro="[0]!Sheet1.deleteRow">
                <anchor moveWithCells="1" sizeWithCells="1">
                  <from>
                    <xdr:col>6</xdr:col>
                    <xdr:colOff>0</xdr:colOff>
                    <xdr:row>1267</xdr:row>
                    <xdr:rowOff>0</xdr:rowOff>
                  </from>
                  <to>
                    <xdr:col>7</xdr:col>
                    <xdr:colOff>0</xdr:colOff>
                    <xdr:row>1267</xdr:row>
                    <xdr:rowOff>161925</xdr:rowOff>
                  </to>
                </anchor>
              </controlPr>
            </control>
          </mc:Choice>
        </mc:AlternateContent>
        <mc:AlternateContent xmlns:mc="http://schemas.openxmlformats.org/markup-compatibility/2006">
          <mc:Choice Requires="x14">
            <control shapeId="13338" r:id="rId828" name="Button 2074">
              <controlPr defaultSize="0" autoFill="0" autoLine="0" autoPict="0" macro="[0]!Sheet1.deleteRow">
                <anchor moveWithCells="1" sizeWithCells="1">
                  <from>
                    <xdr:col>6</xdr:col>
                    <xdr:colOff>0</xdr:colOff>
                    <xdr:row>1268</xdr:row>
                    <xdr:rowOff>0</xdr:rowOff>
                  </from>
                  <to>
                    <xdr:col>7</xdr:col>
                    <xdr:colOff>0</xdr:colOff>
                    <xdr:row>1268</xdr:row>
                    <xdr:rowOff>161925</xdr:rowOff>
                  </to>
                </anchor>
              </controlPr>
            </control>
          </mc:Choice>
        </mc:AlternateContent>
        <mc:AlternateContent xmlns:mc="http://schemas.openxmlformats.org/markup-compatibility/2006">
          <mc:Choice Requires="x14">
            <control shapeId="13337" r:id="rId829" name="Button 2073">
              <controlPr defaultSize="0" autoFill="0" autoLine="0" autoPict="0" macro="[0]!Sheet1.deleteProcedure">
                <anchor moveWithCells="1" sizeWithCells="1">
                  <from>
                    <xdr:col>6</xdr:col>
                    <xdr:colOff>0</xdr:colOff>
                    <xdr:row>1271</xdr:row>
                    <xdr:rowOff>0</xdr:rowOff>
                  </from>
                  <to>
                    <xdr:col>7</xdr:col>
                    <xdr:colOff>0</xdr:colOff>
                    <xdr:row>1272</xdr:row>
                    <xdr:rowOff>0</xdr:rowOff>
                  </to>
                </anchor>
              </controlPr>
            </control>
          </mc:Choice>
        </mc:AlternateContent>
        <mc:AlternateContent xmlns:mc="http://schemas.openxmlformats.org/markup-compatibility/2006">
          <mc:Choice Requires="x14">
            <control shapeId="13336" r:id="rId830" name="Button 2072">
              <controlPr defaultSize="0" autoFill="0" autoLine="0" autoPict="0" macro="[0]!Sheet1.InsertNewTableRow">
                <anchor moveWithCells="1" sizeWithCells="1">
                  <from>
                    <xdr:col>6</xdr:col>
                    <xdr:colOff>0</xdr:colOff>
                    <xdr:row>1278</xdr:row>
                    <xdr:rowOff>0</xdr:rowOff>
                  </from>
                  <to>
                    <xdr:col>7</xdr:col>
                    <xdr:colOff>0</xdr:colOff>
                    <xdr:row>1278</xdr:row>
                    <xdr:rowOff>38100</xdr:rowOff>
                  </to>
                </anchor>
              </controlPr>
            </control>
          </mc:Choice>
        </mc:AlternateContent>
        <mc:AlternateContent xmlns:mc="http://schemas.openxmlformats.org/markup-compatibility/2006">
          <mc:Choice Requires="x14">
            <control shapeId="13335" r:id="rId831" name="Button 2071">
              <controlPr defaultSize="0" autoFill="0" autoLine="0" autoPict="0" macro="[0]!Sheet1.deleteRow">
                <anchor moveWithCells="1" sizeWithCells="1">
                  <from>
                    <xdr:col>6</xdr:col>
                    <xdr:colOff>0</xdr:colOff>
                    <xdr:row>1279</xdr:row>
                    <xdr:rowOff>0</xdr:rowOff>
                  </from>
                  <to>
                    <xdr:col>7</xdr:col>
                    <xdr:colOff>0</xdr:colOff>
                    <xdr:row>1279</xdr:row>
                    <xdr:rowOff>161925</xdr:rowOff>
                  </to>
                </anchor>
              </controlPr>
            </control>
          </mc:Choice>
        </mc:AlternateContent>
        <mc:AlternateContent xmlns:mc="http://schemas.openxmlformats.org/markup-compatibility/2006">
          <mc:Choice Requires="x14">
            <control shapeId="13334" r:id="rId832" name="Button 2070">
              <controlPr defaultSize="0" autoFill="0" autoLine="0" autoPict="0" macro="[0]!Sheet1.deleteRow">
                <anchor moveWithCells="1" sizeWithCells="1">
                  <from>
                    <xdr:col>6</xdr:col>
                    <xdr:colOff>0</xdr:colOff>
                    <xdr:row>1280</xdr:row>
                    <xdr:rowOff>0</xdr:rowOff>
                  </from>
                  <to>
                    <xdr:col>7</xdr:col>
                    <xdr:colOff>0</xdr:colOff>
                    <xdr:row>1280</xdr:row>
                    <xdr:rowOff>161925</xdr:rowOff>
                  </to>
                </anchor>
              </controlPr>
            </control>
          </mc:Choice>
        </mc:AlternateContent>
        <mc:AlternateContent xmlns:mc="http://schemas.openxmlformats.org/markup-compatibility/2006">
          <mc:Choice Requires="x14">
            <control shapeId="13333" r:id="rId833" name="Button 2069">
              <controlPr defaultSize="0" autoFill="0" autoLine="0" autoPict="0" macro="[0]!Sheet1.deleteRow">
                <anchor moveWithCells="1" sizeWithCells="1">
                  <from>
                    <xdr:col>6</xdr:col>
                    <xdr:colOff>0</xdr:colOff>
                    <xdr:row>1281</xdr:row>
                    <xdr:rowOff>0</xdr:rowOff>
                  </from>
                  <to>
                    <xdr:col>7</xdr:col>
                    <xdr:colOff>0</xdr:colOff>
                    <xdr:row>1281</xdr:row>
                    <xdr:rowOff>161925</xdr:rowOff>
                  </to>
                </anchor>
              </controlPr>
            </control>
          </mc:Choice>
        </mc:AlternateContent>
        <mc:AlternateContent xmlns:mc="http://schemas.openxmlformats.org/markup-compatibility/2006">
          <mc:Choice Requires="x14">
            <control shapeId="13332" r:id="rId834" name="Button 2068">
              <controlPr defaultSize="0" autoFill="0" autoLine="0" autoPict="0" macro="[0]!Sheet1.deleteRow">
                <anchor moveWithCells="1" sizeWithCells="1">
                  <from>
                    <xdr:col>6</xdr:col>
                    <xdr:colOff>0</xdr:colOff>
                    <xdr:row>1282</xdr:row>
                    <xdr:rowOff>0</xdr:rowOff>
                  </from>
                  <to>
                    <xdr:col>7</xdr:col>
                    <xdr:colOff>0</xdr:colOff>
                    <xdr:row>1282</xdr:row>
                    <xdr:rowOff>161925</xdr:rowOff>
                  </to>
                </anchor>
              </controlPr>
            </control>
          </mc:Choice>
        </mc:AlternateContent>
        <mc:AlternateContent xmlns:mc="http://schemas.openxmlformats.org/markup-compatibility/2006">
          <mc:Choice Requires="x14">
            <control shapeId="13331" r:id="rId835" name="Button 2067">
              <controlPr defaultSize="0" autoFill="0" autoLine="0" autoPict="0" macro="[0]!Sheet1.deleteRow">
                <anchor moveWithCells="1" sizeWithCells="1">
                  <from>
                    <xdr:col>6</xdr:col>
                    <xdr:colOff>0</xdr:colOff>
                    <xdr:row>1283</xdr:row>
                    <xdr:rowOff>0</xdr:rowOff>
                  </from>
                  <to>
                    <xdr:col>7</xdr:col>
                    <xdr:colOff>0</xdr:colOff>
                    <xdr:row>1283</xdr:row>
                    <xdr:rowOff>161925</xdr:rowOff>
                  </to>
                </anchor>
              </controlPr>
            </control>
          </mc:Choice>
        </mc:AlternateContent>
        <mc:AlternateContent xmlns:mc="http://schemas.openxmlformats.org/markup-compatibility/2006">
          <mc:Choice Requires="x14">
            <control shapeId="13330" r:id="rId836" name="Button 2066">
              <controlPr defaultSize="0" autoFill="0" autoLine="0" autoPict="0" macro="[0]!Sheet1.deleteRow">
                <anchor moveWithCells="1" sizeWithCells="1">
                  <from>
                    <xdr:col>6</xdr:col>
                    <xdr:colOff>0</xdr:colOff>
                    <xdr:row>1284</xdr:row>
                    <xdr:rowOff>0</xdr:rowOff>
                  </from>
                  <to>
                    <xdr:col>7</xdr:col>
                    <xdr:colOff>0</xdr:colOff>
                    <xdr:row>1284</xdr:row>
                    <xdr:rowOff>161925</xdr:rowOff>
                  </to>
                </anchor>
              </controlPr>
            </control>
          </mc:Choice>
        </mc:AlternateContent>
        <mc:AlternateContent xmlns:mc="http://schemas.openxmlformats.org/markup-compatibility/2006">
          <mc:Choice Requires="x14">
            <control shapeId="13329" r:id="rId837" name="Button 2065">
              <controlPr defaultSize="0" autoFill="0" autoLine="0" autoPict="0" macro="[0]!Sheet1.deleteRow">
                <anchor moveWithCells="1" sizeWithCells="1">
                  <from>
                    <xdr:col>6</xdr:col>
                    <xdr:colOff>0</xdr:colOff>
                    <xdr:row>1285</xdr:row>
                    <xdr:rowOff>0</xdr:rowOff>
                  </from>
                  <to>
                    <xdr:col>7</xdr:col>
                    <xdr:colOff>0</xdr:colOff>
                    <xdr:row>1285</xdr:row>
                    <xdr:rowOff>161925</xdr:rowOff>
                  </to>
                </anchor>
              </controlPr>
            </control>
          </mc:Choice>
        </mc:AlternateContent>
        <mc:AlternateContent xmlns:mc="http://schemas.openxmlformats.org/markup-compatibility/2006">
          <mc:Choice Requires="x14">
            <control shapeId="13328" r:id="rId838" name="Button 2064">
              <controlPr defaultSize="0" autoFill="0" autoLine="0" autoPict="0" macro="[0]!Sheet1.deleteRow">
                <anchor moveWithCells="1" sizeWithCells="1">
                  <from>
                    <xdr:col>6</xdr:col>
                    <xdr:colOff>0</xdr:colOff>
                    <xdr:row>1286</xdr:row>
                    <xdr:rowOff>0</xdr:rowOff>
                  </from>
                  <to>
                    <xdr:col>7</xdr:col>
                    <xdr:colOff>0</xdr:colOff>
                    <xdr:row>1286</xdr:row>
                    <xdr:rowOff>161925</xdr:rowOff>
                  </to>
                </anchor>
              </controlPr>
            </control>
          </mc:Choice>
        </mc:AlternateContent>
        <mc:AlternateContent xmlns:mc="http://schemas.openxmlformats.org/markup-compatibility/2006">
          <mc:Choice Requires="x14">
            <control shapeId="13327" r:id="rId839" name="Button 2063">
              <controlPr defaultSize="0" autoFill="0" autoLine="0" autoPict="0" macro="[0]!Sheet1.deleteRow">
                <anchor moveWithCells="1" sizeWithCells="1">
                  <from>
                    <xdr:col>6</xdr:col>
                    <xdr:colOff>0</xdr:colOff>
                    <xdr:row>1287</xdr:row>
                    <xdr:rowOff>0</xdr:rowOff>
                  </from>
                  <to>
                    <xdr:col>7</xdr:col>
                    <xdr:colOff>0</xdr:colOff>
                    <xdr:row>1287</xdr:row>
                    <xdr:rowOff>161925</xdr:rowOff>
                  </to>
                </anchor>
              </controlPr>
            </control>
          </mc:Choice>
        </mc:AlternateContent>
        <mc:AlternateContent xmlns:mc="http://schemas.openxmlformats.org/markup-compatibility/2006">
          <mc:Choice Requires="x14">
            <control shapeId="13326" r:id="rId840" name="Button 2062">
              <controlPr defaultSize="0" autoFill="0" autoLine="0" autoPict="0" macro="[0]!Sheet1.deleteRow">
                <anchor moveWithCells="1" sizeWithCells="1">
                  <from>
                    <xdr:col>6</xdr:col>
                    <xdr:colOff>0</xdr:colOff>
                    <xdr:row>1288</xdr:row>
                    <xdr:rowOff>0</xdr:rowOff>
                  </from>
                  <to>
                    <xdr:col>7</xdr:col>
                    <xdr:colOff>0</xdr:colOff>
                    <xdr:row>1288</xdr:row>
                    <xdr:rowOff>161925</xdr:rowOff>
                  </to>
                </anchor>
              </controlPr>
            </control>
          </mc:Choice>
        </mc:AlternateContent>
        <mc:AlternateContent xmlns:mc="http://schemas.openxmlformats.org/markup-compatibility/2006">
          <mc:Choice Requires="x14">
            <control shapeId="13325" r:id="rId841" name="Button 2061">
              <controlPr defaultSize="0" autoFill="0" autoLine="0" autoPict="0" macro="[0]!Sheet1.deleteProcedure">
                <anchor moveWithCells="1" sizeWithCells="1">
                  <from>
                    <xdr:col>6</xdr:col>
                    <xdr:colOff>0</xdr:colOff>
                    <xdr:row>1291</xdr:row>
                    <xdr:rowOff>0</xdr:rowOff>
                  </from>
                  <to>
                    <xdr:col>7</xdr:col>
                    <xdr:colOff>0</xdr:colOff>
                    <xdr:row>1292</xdr:row>
                    <xdr:rowOff>0</xdr:rowOff>
                  </to>
                </anchor>
              </controlPr>
            </control>
          </mc:Choice>
        </mc:AlternateContent>
        <mc:AlternateContent xmlns:mc="http://schemas.openxmlformats.org/markup-compatibility/2006">
          <mc:Choice Requires="x14">
            <control shapeId="13324" r:id="rId842" name="Button 2060">
              <controlPr defaultSize="0" autoFill="0" autoLine="0" autoPict="0" macro="[0]!Sheet1.InsertNewTableRow">
                <anchor moveWithCells="1" sizeWithCells="1">
                  <from>
                    <xdr:col>6</xdr:col>
                    <xdr:colOff>0</xdr:colOff>
                    <xdr:row>1298</xdr:row>
                    <xdr:rowOff>0</xdr:rowOff>
                  </from>
                  <to>
                    <xdr:col>7</xdr:col>
                    <xdr:colOff>0</xdr:colOff>
                    <xdr:row>1298</xdr:row>
                    <xdr:rowOff>38100</xdr:rowOff>
                  </to>
                </anchor>
              </controlPr>
            </control>
          </mc:Choice>
        </mc:AlternateContent>
        <mc:AlternateContent xmlns:mc="http://schemas.openxmlformats.org/markup-compatibility/2006">
          <mc:Choice Requires="x14">
            <control shapeId="13323" r:id="rId843" name="Button 2059">
              <controlPr defaultSize="0" autoFill="0" autoLine="0" autoPict="0" macro="[0]!Sheet1.deleteRow">
                <anchor moveWithCells="1" sizeWithCells="1">
                  <from>
                    <xdr:col>6</xdr:col>
                    <xdr:colOff>0</xdr:colOff>
                    <xdr:row>1299</xdr:row>
                    <xdr:rowOff>0</xdr:rowOff>
                  </from>
                  <to>
                    <xdr:col>7</xdr:col>
                    <xdr:colOff>0</xdr:colOff>
                    <xdr:row>1299</xdr:row>
                    <xdr:rowOff>161925</xdr:rowOff>
                  </to>
                </anchor>
              </controlPr>
            </control>
          </mc:Choice>
        </mc:AlternateContent>
        <mc:AlternateContent xmlns:mc="http://schemas.openxmlformats.org/markup-compatibility/2006">
          <mc:Choice Requires="x14">
            <control shapeId="13322" r:id="rId844" name="Button 2058">
              <controlPr defaultSize="0" autoFill="0" autoLine="0" autoPict="0" macro="[0]!Sheet1.deleteRow">
                <anchor moveWithCells="1" sizeWithCells="1">
                  <from>
                    <xdr:col>6</xdr:col>
                    <xdr:colOff>0</xdr:colOff>
                    <xdr:row>1300</xdr:row>
                    <xdr:rowOff>0</xdr:rowOff>
                  </from>
                  <to>
                    <xdr:col>7</xdr:col>
                    <xdr:colOff>0</xdr:colOff>
                    <xdr:row>1300</xdr:row>
                    <xdr:rowOff>161925</xdr:rowOff>
                  </to>
                </anchor>
              </controlPr>
            </control>
          </mc:Choice>
        </mc:AlternateContent>
        <mc:AlternateContent xmlns:mc="http://schemas.openxmlformats.org/markup-compatibility/2006">
          <mc:Choice Requires="x14">
            <control shapeId="13321" r:id="rId845" name="Button 2057">
              <controlPr defaultSize="0" autoFill="0" autoLine="0" autoPict="0" macro="[0]!Sheet1.deleteRow">
                <anchor moveWithCells="1" sizeWithCells="1">
                  <from>
                    <xdr:col>6</xdr:col>
                    <xdr:colOff>0</xdr:colOff>
                    <xdr:row>1301</xdr:row>
                    <xdr:rowOff>0</xdr:rowOff>
                  </from>
                  <to>
                    <xdr:col>7</xdr:col>
                    <xdr:colOff>0</xdr:colOff>
                    <xdr:row>1301</xdr:row>
                    <xdr:rowOff>161925</xdr:rowOff>
                  </to>
                </anchor>
              </controlPr>
            </control>
          </mc:Choice>
        </mc:AlternateContent>
        <mc:AlternateContent xmlns:mc="http://schemas.openxmlformats.org/markup-compatibility/2006">
          <mc:Choice Requires="x14">
            <control shapeId="13320" r:id="rId846" name="Button 2056">
              <controlPr defaultSize="0" autoFill="0" autoLine="0" autoPict="0" macro="[0]!Sheet1.deleteRow">
                <anchor moveWithCells="1" sizeWithCells="1">
                  <from>
                    <xdr:col>6</xdr:col>
                    <xdr:colOff>0</xdr:colOff>
                    <xdr:row>1302</xdr:row>
                    <xdr:rowOff>0</xdr:rowOff>
                  </from>
                  <to>
                    <xdr:col>7</xdr:col>
                    <xdr:colOff>0</xdr:colOff>
                    <xdr:row>1302</xdr:row>
                    <xdr:rowOff>161925</xdr:rowOff>
                  </to>
                </anchor>
              </controlPr>
            </control>
          </mc:Choice>
        </mc:AlternateContent>
        <mc:AlternateContent xmlns:mc="http://schemas.openxmlformats.org/markup-compatibility/2006">
          <mc:Choice Requires="x14">
            <control shapeId="13319" r:id="rId847" name="Button 2055">
              <controlPr defaultSize="0" autoFill="0" autoLine="0" autoPict="0" macro="[0]!Sheet1.deleteRow">
                <anchor moveWithCells="1" sizeWithCells="1">
                  <from>
                    <xdr:col>6</xdr:col>
                    <xdr:colOff>0</xdr:colOff>
                    <xdr:row>1303</xdr:row>
                    <xdr:rowOff>0</xdr:rowOff>
                  </from>
                  <to>
                    <xdr:col>7</xdr:col>
                    <xdr:colOff>0</xdr:colOff>
                    <xdr:row>1303</xdr:row>
                    <xdr:rowOff>161925</xdr:rowOff>
                  </to>
                </anchor>
              </controlPr>
            </control>
          </mc:Choice>
        </mc:AlternateContent>
        <mc:AlternateContent xmlns:mc="http://schemas.openxmlformats.org/markup-compatibility/2006">
          <mc:Choice Requires="x14">
            <control shapeId="13318" r:id="rId848" name="Button 2054">
              <controlPr defaultSize="0" autoFill="0" autoLine="0" autoPict="0" macro="[0]!Sheet1.deleteRow">
                <anchor moveWithCells="1" sizeWithCells="1">
                  <from>
                    <xdr:col>6</xdr:col>
                    <xdr:colOff>0</xdr:colOff>
                    <xdr:row>1304</xdr:row>
                    <xdr:rowOff>0</xdr:rowOff>
                  </from>
                  <to>
                    <xdr:col>7</xdr:col>
                    <xdr:colOff>0</xdr:colOff>
                    <xdr:row>1304</xdr:row>
                    <xdr:rowOff>161925</xdr:rowOff>
                  </to>
                </anchor>
              </controlPr>
            </control>
          </mc:Choice>
        </mc:AlternateContent>
        <mc:AlternateContent xmlns:mc="http://schemas.openxmlformats.org/markup-compatibility/2006">
          <mc:Choice Requires="x14">
            <control shapeId="13317" r:id="rId849" name="Button 2053">
              <controlPr defaultSize="0" autoFill="0" autoLine="0" autoPict="0" macro="[0]!Sheet1.deleteRow">
                <anchor moveWithCells="1" sizeWithCells="1">
                  <from>
                    <xdr:col>6</xdr:col>
                    <xdr:colOff>0</xdr:colOff>
                    <xdr:row>1305</xdr:row>
                    <xdr:rowOff>0</xdr:rowOff>
                  </from>
                  <to>
                    <xdr:col>7</xdr:col>
                    <xdr:colOff>0</xdr:colOff>
                    <xdr:row>1305</xdr:row>
                    <xdr:rowOff>161925</xdr:rowOff>
                  </to>
                </anchor>
              </controlPr>
            </control>
          </mc:Choice>
        </mc:AlternateContent>
        <mc:AlternateContent xmlns:mc="http://schemas.openxmlformats.org/markup-compatibility/2006">
          <mc:Choice Requires="x14">
            <control shapeId="13316" r:id="rId850" name="Button 2052">
              <controlPr defaultSize="0" autoFill="0" autoLine="0" autoPict="0" macro="[0]!Sheet1.deleteRow">
                <anchor moveWithCells="1" sizeWithCells="1">
                  <from>
                    <xdr:col>6</xdr:col>
                    <xdr:colOff>0</xdr:colOff>
                    <xdr:row>1306</xdr:row>
                    <xdr:rowOff>0</xdr:rowOff>
                  </from>
                  <to>
                    <xdr:col>7</xdr:col>
                    <xdr:colOff>0</xdr:colOff>
                    <xdr:row>1306</xdr:row>
                    <xdr:rowOff>161925</xdr:rowOff>
                  </to>
                </anchor>
              </controlPr>
            </control>
          </mc:Choice>
        </mc:AlternateContent>
        <mc:AlternateContent xmlns:mc="http://schemas.openxmlformats.org/markup-compatibility/2006">
          <mc:Choice Requires="x14">
            <control shapeId="13315" r:id="rId851" name="Button 2051">
              <controlPr defaultSize="0" autoFill="0" autoLine="0" autoPict="0" macro="[0]!Sheet1.deleteRow">
                <anchor moveWithCells="1" sizeWithCells="1">
                  <from>
                    <xdr:col>6</xdr:col>
                    <xdr:colOff>0</xdr:colOff>
                    <xdr:row>1307</xdr:row>
                    <xdr:rowOff>0</xdr:rowOff>
                  </from>
                  <to>
                    <xdr:col>7</xdr:col>
                    <xdr:colOff>0</xdr:colOff>
                    <xdr:row>1307</xdr:row>
                    <xdr:rowOff>161925</xdr:rowOff>
                  </to>
                </anchor>
              </controlPr>
            </control>
          </mc:Choice>
        </mc:AlternateContent>
        <mc:AlternateContent xmlns:mc="http://schemas.openxmlformats.org/markup-compatibility/2006">
          <mc:Choice Requires="x14">
            <control shapeId="13314" r:id="rId852" name="Button 2050">
              <controlPr defaultSize="0" autoFill="0" autoLine="0" autoPict="0" macro="[0]!Sheet1.deleteRow">
                <anchor moveWithCells="1" sizeWithCells="1">
                  <from>
                    <xdr:col>6</xdr:col>
                    <xdr:colOff>0</xdr:colOff>
                    <xdr:row>1308</xdr:row>
                    <xdr:rowOff>0</xdr:rowOff>
                  </from>
                  <to>
                    <xdr:col>7</xdr:col>
                    <xdr:colOff>0</xdr:colOff>
                    <xdr:row>1308</xdr:row>
                    <xdr:rowOff>161925</xdr:rowOff>
                  </to>
                </anchor>
              </controlPr>
            </control>
          </mc:Choice>
        </mc:AlternateContent>
        <mc:AlternateContent xmlns:mc="http://schemas.openxmlformats.org/markup-compatibility/2006">
          <mc:Choice Requires="x14">
            <control shapeId="13313" r:id="rId853" name="Button 2049">
              <controlPr defaultSize="0" autoFill="0" autoLine="0" autoPict="0" macro="[0]!Sheet1.deleteRow">
                <anchor moveWithCells="1" sizeWithCells="1">
                  <from>
                    <xdr:col>6</xdr:col>
                    <xdr:colOff>0</xdr:colOff>
                    <xdr:row>1309</xdr:row>
                    <xdr:rowOff>0</xdr:rowOff>
                  </from>
                  <to>
                    <xdr:col>7</xdr:col>
                    <xdr:colOff>0</xdr:colOff>
                    <xdr:row>1309</xdr:row>
                    <xdr:rowOff>161925</xdr:rowOff>
                  </to>
                </anchor>
              </controlPr>
            </control>
          </mc:Choice>
        </mc:AlternateContent>
        <mc:AlternateContent xmlns:mc="http://schemas.openxmlformats.org/markup-compatibility/2006">
          <mc:Choice Requires="x14">
            <control shapeId="13312" r:id="rId854" name="Button 2048">
              <controlPr defaultSize="0" autoFill="0" autoLine="0" autoPict="0" macro="[0]!Sheet1.deleteRow">
                <anchor moveWithCells="1" sizeWithCells="1">
                  <from>
                    <xdr:col>6</xdr:col>
                    <xdr:colOff>0</xdr:colOff>
                    <xdr:row>1310</xdr:row>
                    <xdr:rowOff>0</xdr:rowOff>
                  </from>
                  <to>
                    <xdr:col>7</xdr:col>
                    <xdr:colOff>0</xdr:colOff>
                    <xdr:row>1310</xdr:row>
                    <xdr:rowOff>161925</xdr:rowOff>
                  </to>
                </anchor>
              </controlPr>
            </control>
          </mc:Choice>
        </mc:AlternateContent>
        <mc:AlternateContent xmlns:mc="http://schemas.openxmlformats.org/markup-compatibility/2006">
          <mc:Choice Requires="x14">
            <control shapeId="2047" r:id="rId855" name="Button 1023">
              <controlPr defaultSize="0" autoFill="0" autoLine="0" autoPict="0" macro="[0]!Sheet1.deleteRow">
                <anchor moveWithCells="1" sizeWithCells="1">
                  <from>
                    <xdr:col>6</xdr:col>
                    <xdr:colOff>0</xdr:colOff>
                    <xdr:row>1311</xdr:row>
                    <xdr:rowOff>0</xdr:rowOff>
                  </from>
                  <to>
                    <xdr:col>7</xdr:col>
                    <xdr:colOff>0</xdr:colOff>
                    <xdr:row>1311</xdr:row>
                    <xdr:rowOff>161925</xdr:rowOff>
                  </to>
                </anchor>
              </controlPr>
            </control>
          </mc:Choice>
        </mc:AlternateContent>
        <mc:AlternateContent xmlns:mc="http://schemas.openxmlformats.org/markup-compatibility/2006">
          <mc:Choice Requires="x14">
            <control shapeId="2046" r:id="rId856" name="Button 1022">
              <controlPr defaultSize="0" autoFill="0" autoLine="0" autoPict="0" macro="[0]!Sheet1.deleteRow">
                <anchor moveWithCells="1" sizeWithCells="1">
                  <from>
                    <xdr:col>6</xdr:col>
                    <xdr:colOff>0</xdr:colOff>
                    <xdr:row>1312</xdr:row>
                    <xdr:rowOff>0</xdr:rowOff>
                  </from>
                  <to>
                    <xdr:col>7</xdr:col>
                    <xdr:colOff>0</xdr:colOff>
                    <xdr:row>1312</xdr:row>
                    <xdr:rowOff>161925</xdr:rowOff>
                  </to>
                </anchor>
              </controlPr>
            </control>
          </mc:Choice>
        </mc:AlternateContent>
        <mc:AlternateContent xmlns:mc="http://schemas.openxmlformats.org/markup-compatibility/2006">
          <mc:Choice Requires="x14">
            <control shapeId="2045" r:id="rId857" name="Button 1021">
              <controlPr defaultSize="0" autoFill="0" autoLine="0" autoPict="0" macro="[0]!Sheet1.deleteRow">
                <anchor moveWithCells="1" sizeWithCells="1">
                  <from>
                    <xdr:col>6</xdr:col>
                    <xdr:colOff>0</xdr:colOff>
                    <xdr:row>1313</xdr:row>
                    <xdr:rowOff>0</xdr:rowOff>
                  </from>
                  <to>
                    <xdr:col>7</xdr:col>
                    <xdr:colOff>0</xdr:colOff>
                    <xdr:row>1313</xdr:row>
                    <xdr:rowOff>161925</xdr:rowOff>
                  </to>
                </anchor>
              </controlPr>
            </control>
          </mc:Choice>
        </mc:AlternateContent>
        <mc:AlternateContent xmlns:mc="http://schemas.openxmlformats.org/markup-compatibility/2006">
          <mc:Choice Requires="x14">
            <control shapeId="2044" r:id="rId858" name="Button 1020">
              <controlPr defaultSize="0" autoFill="0" autoLine="0" autoPict="0" macro="[0]!Sheet1.deleteProcedure">
                <anchor moveWithCells="1" sizeWithCells="1">
                  <from>
                    <xdr:col>6</xdr:col>
                    <xdr:colOff>0</xdr:colOff>
                    <xdr:row>1316</xdr:row>
                    <xdr:rowOff>0</xdr:rowOff>
                  </from>
                  <to>
                    <xdr:col>7</xdr:col>
                    <xdr:colOff>0</xdr:colOff>
                    <xdr:row>1317</xdr:row>
                    <xdr:rowOff>0</xdr:rowOff>
                  </to>
                </anchor>
              </controlPr>
            </control>
          </mc:Choice>
        </mc:AlternateContent>
        <mc:AlternateContent xmlns:mc="http://schemas.openxmlformats.org/markup-compatibility/2006">
          <mc:Choice Requires="x14">
            <control shapeId="2043" r:id="rId859" name="Button 1019">
              <controlPr defaultSize="0" autoFill="0" autoLine="0" autoPict="0" macro="[0]!Sheet1.InsertNewTableRow">
                <anchor moveWithCells="1" sizeWithCells="1">
                  <from>
                    <xdr:col>6</xdr:col>
                    <xdr:colOff>0</xdr:colOff>
                    <xdr:row>1323</xdr:row>
                    <xdr:rowOff>0</xdr:rowOff>
                  </from>
                  <to>
                    <xdr:col>7</xdr:col>
                    <xdr:colOff>0</xdr:colOff>
                    <xdr:row>1323</xdr:row>
                    <xdr:rowOff>38100</xdr:rowOff>
                  </to>
                </anchor>
              </controlPr>
            </control>
          </mc:Choice>
        </mc:AlternateContent>
        <mc:AlternateContent xmlns:mc="http://schemas.openxmlformats.org/markup-compatibility/2006">
          <mc:Choice Requires="x14">
            <control shapeId="2042" r:id="rId860" name="Button 1018">
              <controlPr defaultSize="0" autoFill="0" autoLine="0" autoPict="0" macro="[0]!Sheet1.deleteRow">
                <anchor moveWithCells="1" sizeWithCells="1">
                  <from>
                    <xdr:col>6</xdr:col>
                    <xdr:colOff>0</xdr:colOff>
                    <xdr:row>1324</xdr:row>
                    <xdr:rowOff>0</xdr:rowOff>
                  </from>
                  <to>
                    <xdr:col>7</xdr:col>
                    <xdr:colOff>0</xdr:colOff>
                    <xdr:row>1324</xdr:row>
                    <xdr:rowOff>161925</xdr:rowOff>
                  </to>
                </anchor>
              </controlPr>
            </control>
          </mc:Choice>
        </mc:AlternateContent>
        <mc:AlternateContent xmlns:mc="http://schemas.openxmlformats.org/markup-compatibility/2006">
          <mc:Choice Requires="x14">
            <control shapeId="2041" r:id="rId861" name="Button 1017">
              <controlPr defaultSize="0" autoFill="0" autoLine="0" autoPict="0" macro="[0]!Sheet1.deleteRow">
                <anchor moveWithCells="1" sizeWithCells="1">
                  <from>
                    <xdr:col>6</xdr:col>
                    <xdr:colOff>0</xdr:colOff>
                    <xdr:row>1325</xdr:row>
                    <xdr:rowOff>0</xdr:rowOff>
                  </from>
                  <to>
                    <xdr:col>7</xdr:col>
                    <xdr:colOff>0</xdr:colOff>
                    <xdr:row>1325</xdr:row>
                    <xdr:rowOff>161925</xdr:rowOff>
                  </to>
                </anchor>
              </controlPr>
            </control>
          </mc:Choice>
        </mc:AlternateContent>
        <mc:AlternateContent xmlns:mc="http://schemas.openxmlformats.org/markup-compatibility/2006">
          <mc:Choice Requires="x14">
            <control shapeId="2040" r:id="rId862" name="Button 1016">
              <controlPr defaultSize="0" autoFill="0" autoLine="0" autoPict="0" macro="[0]!Sheet1.deleteRow">
                <anchor moveWithCells="1" sizeWithCells="1">
                  <from>
                    <xdr:col>6</xdr:col>
                    <xdr:colOff>0</xdr:colOff>
                    <xdr:row>1326</xdr:row>
                    <xdr:rowOff>0</xdr:rowOff>
                  </from>
                  <to>
                    <xdr:col>7</xdr:col>
                    <xdr:colOff>0</xdr:colOff>
                    <xdr:row>1326</xdr:row>
                    <xdr:rowOff>161925</xdr:rowOff>
                  </to>
                </anchor>
              </controlPr>
            </control>
          </mc:Choice>
        </mc:AlternateContent>
        <mc:AlternateContent xmlns:mc="http://schemas.openxmlformats.org/markup-compatibility/2006">
          <mc:Choice Requires="x14">
            <control shapeId="2039" r:id="rId863" name="Button 1015">
              <controlPr defaultSize="0" autoFill="0" autoLine="0" autoPict="0" macro="[0]!Sheet1.deleteRow">
                <anchor moveWithCells="1" sizeWithCells="1">
                  <from>
                    <xdr:col>6</xdr:col>
                    <xdr:colOff>0</xdr:colOff>
                    <xdr:row>1327</xdr:row>
                    <xdr:rowOff>0</xdr:rowOff>
                  </from>
                  <to>
                    <xdr:col>7</xdr:col>
                    <xdr:colOff>0</xdr:colOff>
                    <xdr:row>1327</xdr:row>
                    <xdr:rowOff>161925</xdr:rowOff>
                  </to>
                </anchor>
              </controlPr>
            </control>
          </mc:Choice>
        </mc:AlternateContent>
        <mc:AlternateContent xmlns:mc="http://schemas.openxmlformats.org/markup-compatibility/2006">
          <mc:Choice Requires="x14">
            <control shapeId="2038" r:id="rId864" name="Button 1014">
              <controlPr defaultSize="0" autoFill="0" autoLine="0" autoPict="0" macro="[0]!Sheet1.deleteRow">
                <anchor moveWithCells="1" sizeWithCells="1">
                  <from>
                    <xdr:col>6</xdr:col>
                    <xdr:colOff>0</xdr:colOff>
                    <xdr:row>1328</xdr:row>
                    <xdr:rowOff>0</xdr:rowOff>
                  </from>
                  <to>
                    <xdr:col>7</xdr:col>
                    <xdr:colOff>0</xdr:colOff>
                    <xdr:row>1328</xdr:row>
                    <xdr:rowOff>161925</xdr:rowOff>
                  </to>
                </anchor>
              </controlPr>
            </control>
          </mc:Choice>
        </mc:AlternateContent>
        <mc:AlternateContent xmlns:mc="http://schemas.openxmlformats.org/markup-compatibility/2006">
          <mc:Choice Requires="x14">
            <control shapeId="2037" r:id="rId865" name="Button 1013">
              <controlPr defaultSize="0" autoFill="0" autoLine="0" autoPict="0" macro="[0]!Sheet1.deleteRow">
                <anchor moveWithCells="1" sizeWithCells="1">
                  <from>
                    <xdr:col>6</xdr:col>
                    <xdr:colOff>0</xdr:colOff>
                    <xdr:row>1329</xdr:row>
                    <xdr:rowOff>0</xdr:rowOff>
                  </from>
                  <to>
                    <xdr:col>7</xdr:col>
                    <xdr:colOff>0</xdr:colOff>
                    <xdr:row>1329</xdr:row>
                    <xdr:rowOff>161925</xdr:rowOff>
                  </to>
                </anchor>
              </controlPr>
            </control>
          </mc:Choice>
        </mc:AlternateContent>
        <mc:AlternateContent xmlns:mc="http://schemas.openxmlformats.org/markup-compatibility/2006">
          <mc:Choice Requires="x14">
            <control shapeId="2036" r:id="rId866" name="Button 1012">
              <controlPr defaultSize="0" autoFill="0" autoLine="0" autoPict="0" macro="[0]!Sheet1.deleteProcedure">
                <anchor moveWithCells="1" sizeWithCells="1">
                  <from>
                    <xdr:col>6</xdr:col>
                    <xdr:colOff>0</xdr:colOff>
                    <xdr:row>1332</xdr:row>
                    <xdr:rowOff>0</xdr:rowOff>
                  </from>
                  <to>
                    <xdr:col>7</xdr:col>
                    <xdr:colOff>0</xdr:colOff>
                    <xdr:row>1333</xdr:row>
                    <xdr:rowOff>0</xdr:rowOff>
                  </to>
                </anchor>
              </controlPr>
            </control>
          </mc:Choice>
        </mc:AlternateContent>
        <mc:AlternateContent xmlns:mc="http://schemas.openxmlformats.org/markup-compatibility/2006">
          <mc:Choice Requires="x14">
            <control shapeId="2035" r:id="rId867" name="Button 1011">
              <controlPr defaultSize="0" autoFill="0" autoLine="0" autoPict="0" macro="[0]!Sheet1.InsertNewTableRow">
                <anchor moveWithCells="1" sizeWithCells="1">
                  <from>
                    <xdr:col>6</xdr:col>
                    <xdr:colOff>0</xdr:colOff>
                    <xdr:row>1339</xdr:row>
                    <xdr:rowOff>0</xdr:rowOff>
                  </from>
                  <to>
                    <xdr:col>7</xdr:col>
                    <xdr:colOff>0</xdr:colOff>
                    <xdr:row>1339</xdr:row>
                    <xdr:rowOff>38100</xdr:rowOff>
                  </to>
                </anchor>
              </controlPr>
            </control>
          </mc:Choice>
        </mc:AlternateContent>
        <mc:AlternateContent xmlns:mc="http://schemas.openxmlformats.org/markup-compatibility/2006">
          <mc:Choice Requires="x14">
            <control shapeId="2034" r:id="rId868" name="Button 1010">
              <controlPr defaultSize="0" autoFill="0" autoLine="0" autoPict="0" macro="[0]!Sheet1.deleteRow">
                <anchor moveWithCells="1" sizeWithCells="1">
                  <from>
                    <xdr:col>6</xdr:col>
                    <xdr:colOff>0</xdr:colOff>
                    <xdr:row>1340</xdr:row>
                    <xdr:rowOff>0</xdr:rowOff>
                  </from>
                  <to>
                    <xdr:col>7</xdr:col>
                    <xdr:colOff>0</xdr:colOff>
                    <xdr:row>1340</xdr:row>
                    <xdr:rowOff>161925</xdr:rowOff>
                  </to>
                </anchor>
              </controlPr>
            </control>
          </mc:Choice>
        </mc:AlternateContent>
        <mc:AlternateContent xmlns:mc="http://schemas.openxmlformats.org/markup-compatibility/2006">
          <mc:Choice Requires="x14">
            <control shapeId="2033" r:id="rId869" name="Button 1009">
              <controlPr defaultSize="0" autoFill="0" autoLine="0" autoPict="0" macro="[0]!Sheet1.deleteProcedure">
                <anchor moveWithCells="1" sizeWithCells="1">
                  <from>
                    <xdr:col>6</xdr:col>
                    <xdr:colOff>0</xdr:colOff>
                    <xdr:row>1343</xdr:row>
                    <xdr:rowOff>0</xdr:rowOff>
                  </from>
                  <to>
                    <xdr:col>7</xdr:col>
                    <xdr:colOff>0</xdr:colOff>
                    <xdr:row>1344</xdr:row>
                    <xdr:rowOff>0</xdr:rowOff>
                  </to>
                </anchor>
              </controlPr>
            </control>
          </mc:Choice>
        </mc:AlternateContent>
        <mc:AlternateContent xmlns:mc="http://schemas.openxmlformats.org/markup-compatibility/2006">
          <mc:Choice Requires="x14">
            <control shapeId="2032" r:id="rId870" name="Button 1008">
              <controlPr defaultSize="0" autoFill="0" autoLine="0" autoPict="0" macro="[0]!Sheet1.InsertNewTableRow">
                <anchor moveWithCells="1" sizeWithCells="1">
                  <from>
                    <xdr:col>6</xdr:col>
                    <xdr:colOff>0</xdr:colOff>
                    <xdr:row>1350</xdr:row>
                    <xdr:rowOff>0</xdr:rowOff>
                  </from>
                  <to>
                    <xdr:col>7</xdr:col>
                    <xdr:colOff>0</xdr:colOff>
                    <xdr:row>1350</xdr:row>
                    <xdr:rowOff>38100</xdr:rowOff>
                  </to>
                </anchor>
              </controlPr>
            </control>
          </mc:Choice>
        </mc:AlternateContent>
        <mc:AlternateContent xmlns:mc="http://schemas.openxmlformats.org/markup-compatibility/2006">
          <mc:Choice Requires="x14">
            <control shapeId="2031" r:id="rId871" name="Button 1007">
              <controlPr defaultSize="0" autoFill="0" autoLine="0" autoPict="0" macro="[0]!Sheet1.deleteRow">
                <anchor moveWithCells="1" sizeWithCells="1">
                  <from>
                    <xdr:col>6</xdr:col>
                    <xdr:colOff>0</xdr:colOff>
                    <xdr:row>1351</xdr:row>
                    <xdr:rowOff>0</xdr:rowOff>
                  </from>
                  <to>
                    <xdr:col>7</xdr:col>
                    <xdr:colOff>0</xdr:colOff>
                    <xdr:row>1351</xdr:row>
                    <xdr:rowOff>161925</xdr:rowOff>
                  </to>
                </anchor>
              </controlPr>
            </control>
          </mc:Choice>
        </mc:AlternateContent>
        <mc:AlternateContent xmlns:mc="http://schemas.openxmlformats.org/markup-compatibility/2006">
          <mc:Choice Requires="x14">
            <control shapeId="2030" r:id="rId872" name="Button 1006">
              <controlPr defaultSize="0" autoFill="0" autoLine="0" autoPict="0" macro="[0]!Sheet1.deleteRow">
                <anchor moveWithCells="1" sizeWithCells="1">
                  <from>
                    <xdr:col>6</xdr:col>
                    <xdr:colOff>0</xdr:colOff>
                    <xdr:row>1352</xdr:row>
                    <xdr:rowOff>0</xdr:rowOff>
                  </from>
                  <to>
                    <xdr:col>7</xdr:col>
                    <xdr:colOff>0</xdr:colOff>
                    <xdr:row>1352</xdr:row>
                    <xdr:rowOff>161925</xdr:rowOff>
                  </to>
                </anchor>
              </controlPr>
            </control>
          </mc:Choice>
        </mc:AlternateContent>
        <mc:AlternateContent xmlns:mc="http://schemas.openxmlformats.org/markup-compatibility/2006">
          <mc:Choice Requires="x14">
            <control shapeId="2029" r:id="rId873" name="Button 1005">
              <controlPr defaultSize="0" autoFill="0" autoLine="0" autoPict="0" macro="[0]!Sheet1.deleteRow">
                <anchor moveWithCells="1" sizeWithCells="1">
                  <from>
                    <xdr:col>6</xdr:col>
                    <xdr:colOff>0</xdr:colOff>
                    <xdr:row>1353</xdr:row>
                    <xdr:rowOff>0</xdr:rowOff>
                  </from>
                  <to>
                    <xdr:col>7</xdr:col>
                    <xdr:colOff>0</xdr:colOff>
                    <xdr:row>1353</xdr:row>
                    <xdr:rowOff>161925</xdr:rowOff>
                  </to>
                </anchor>
              </controlPr>
            </control>
          </mc:Choice>
        </mc:AlternateContent>
        <mc:AlternateContent xmlns:mc="http://schemas.openxmlformats.org/markup-compatibility/2006">
          <mc:Choice Requires="x14">
            <control shapeId="2028" r:id="rId874" name="Button 1004">
              <controlPr defaultSize="0" autoFill="0" autoLine="0" autoPict="0" macro="[0]!Sheet1.deleteProcedure">
                <anchor moveWithCells="1" sizeWithCells="1">
                  <from>
                    <xdr:col>6</xdr:col>
                    <xdr:colOff>0</xdr:colOff>
                    <xdr:row>1356</xdr:row>
                    <xdr:rowOff>0</xdr:rowOff>
                  </from>
                  <to>
                    <xdr:col>7</xdr:col>
                    <xdr:colOff>0</xdr:colOff>
                    <xdr:row>1357</xdr:row>
                    <xdr:rowOff>0</xdr:rowOff>
                  </to>
                </anchor>
              </controlPr>
            </control>
          </mc:Choice>
        </mc:AlternateContent>
        <mc:AlternateContent xmlns:mc="http://schemas.openxmlformats.org/markup-compatibility/2006">
          <mc:Choice Requires="x14">
            <control shapeId="2027" r:id="rId875" name="Button 1003">
              <controlPr defaultSize="0" autoFill="0" autoLine="0" autoPict="0" macro="[0]!Sheet1.InsertNewTableRow">
                <anchor moveWithCells="1" sizeWithCells="1">
                  <from>
                    <xdr:col>6</xdr:col>
                    <xdr:colOff>0</xdr:colOff>
                    <xdr:row>1363</xdr:row>
                    <xdr:rowOff>0</xdr:rowOff>
                  </from>
                  <to>
                    <xdr:col>7</xdr:col>
                    <xdr:colOff>0</xdr:colOff>
                    <xdr:row>1363</xdr:row>
                    <xdr:rowOff>38100</xdr:rowOff>
                  </to>
                </anchor>
              </controlPr>
            </control>
          </mc:Choice>
        </mc:AlternateContent>
        <mc:AlternateContent xmlns:mc="http://schemas.openxmlformats.org/markup-compatibility/2006">
          <mc:Choice Requires="x14">
            <control shapeId="2026" r:id="rId876" name="Button 1002">
              <controlPr defaultSize="0" autoFill="0" autoLine="0" autoPict="0" macro="[0]!Sheet1.deleteRow">
                <anchor moveWithCells="1" sizeWithCells="1">
                  <from>
                    <xdr:col>6</xdr:col>
                    <xdr:colOff>0</xdr:colOff>
                    <xdr:row>1364</xdr:row>
                    <xdr:rowOff>0</xdr:rowOff>
                  </from>
                  <to>
                    <xdr:col>7</xdr:col>
                    <xdr:colOff>0</xdr:colOff>
                    <xdr:row>1364</xdr:row>
                    <xdr:rowOff>161925</xdr:rowOff>
                  </to>
                </anchor>
              </controlPr>
            </control>
          </mc:Choice>
        </mc:AlternateContent>
        <mc:AlternateContent xmlns:mc="http://schemas.openxmlformats.org/markup-compatibility/2006">
          <mc:Choice Requires="x14">
            <control shapeId="2025" r:id="rId877" name="Button 1001">
              <controlPr defaultSize="0" autoFill="0" autoLine="0" autoPict="0" macro="[0]!Sheet1.deleteProcedure">
                <anchor moveWithCells="1" sizeWithCells="1">
                  <from>
                    <xdr:col>6</xdr:col>
                    <xdr:colOff>0</xdr:colOff>
                    <xdr:row>1367</xdr:row>
                    <xdr:rowOff>0</xdr:rowOff>
                  </from>
                  <to>
                    <xdr:col>7</xdr:col>
                    <xdr:colOff>0</xdr:colOff>
                    <xdr:row>1368</xdr:row>
                    <xdr:rowOff>0</xdr:rowOff>
                  </to>
                </anchor>
              </controlPr>
            </control>
          </mc:Choice>
        </mc:AlternateContent>
        <mc:AlternateContent xmlns:mc="http://schemas.openxmlformats.org/markup-compatibility/2006">
          <mc:Choice Requires="x14">
            <control shapeId="2024" r:id="rId878" name="Button 1000">
              <controlPr defaultSize="0" autoFill="0" autoLine="0" autoPict="0" macro="[0]!Sheet1.InsertNewTableRow">
                <anchor moveWithCells="1" sizeWithCells="1">
                  <from>
                    <xdr:col>6</xdr:col>
                    <xdr:colOff>0</xdr:colOff>
                    <xdr:row>1374</xdr:row>
                    <xdr:rowOff>0</xdr:rowOff>
                  </from>
                  <to>
                    <xdr:col>7</xdr:col>
                    <xdr:colOff>0</xdr:colOff>
                    <xdr:row>1374</xdr:row>
                    <xdr:rowOff>38100</xdr:rowOff>
                  </to>
                </anchor>
              </controlPr>
            </control>
          </mc:Choice>
        </mc:AlternateContent>
        <mc:AlternateContent xmlns:mc="http://schemas.openxmlformats.org/markup-compatibility/2006">
          <mc:Choice Requires="x14">
            <control shapeId="2023" r:id="rId879" name="Button 999">
              <controlPr defaultSize="0" autoFill="0" autoLine="0" autoPict="0" macro="[0]!Sheet1.deleteRow">
                <anchor moveWithCells="1" sizeWithCells="1">
                  <from>
                    <xdr:col>6</xdr:col>
                    <xdr:colOff>0</xdr:colOff>
                    <xdr:row>1375</xdr:row>
                    <xdr:rowOff>0</xdr:rowOff>
                  </from>
                  <to>
                    <xdr:col>7</xdr:col>
                    <xdr:colOff>0</xdr:colOff>
                    <xdr:row>1375</xdr:row>
                    <xdr:rowOff>161925</xdr:rowOff>
                  </to>
                </anchor>
              </controlPr>
            </control>
          </mc:Choice>
        </mc:AlternateContent>
        <mc:AlternateContent xmlns:mc="http://schemas.openxmlformats.org/markup-compatibility/2006">
          <mc:Choice Requires="x14">
            <control shapeId="2022" r:id="rId880" name="Button 998">
              <controlPr defaultSize="0" autoFill="0" autoLine="0" autoPict="0" macro="[0]!Sheet1.deleteProcedure">
                <anchor moveWithCells="1" sizeWithCells="1">
                  <from>
                    <xdr:col>6</xdr:col>
                    <xdr:colOff>0</xdr:colOff>
                    <xdr:row>1378</xdr:row>
                    <xdr:rowOff>0</xdr:rowOff>
                  </from>
                  <to>
                    <xdr:col>7</xdr:col>
                    <xdr:colOff>0</xdr:colOff>
                    <xdr:row>1379</xdr:row>
                    <xdr:rowOff>0</xdr:rowOff>
                  </to>
                </anchor>
              </controlPr>
            </control>
          </mc:Choice>
        </mc:AlternateContent>
        <mc:AlternateContent xmlns:mc="http://schemas.openxmlformats.org/markup-compatibility/2006">
          <mc:Choice Requires="x14">
            <control shapeId="2021" r:id="rId881" name="Button 997">
              <controlPr defaultSize="0" autoFill="0" autoLine="0" autoPict="0" macro="[0]!Sheet1.InsertNewTableRow">
                <anchor moveWithCells="1" sizeWithCells="1">
                  <from>
                    <xdr:col>6</xdr:col>
                    <xdr:colOff>0</xdr:colOff>
                    <xdr:row>1385</xdr:row>
                    <xdr:rowOff>0</xdr:rowOff>
                  </from>
                  <to>
                    <xdr:col>7</xdr:col>
                    <xdr:colOff>0</xdr:colOff>
                    <xdr:row>1385</xdr:row>
                    <xdr:rowOff>38100</xdr:rowOff>
                  </to>
                </anchor>
              </controlPr>
            </control>
          </mc:Choice>
        </mc:AlternateContent>
        <mc:AlternateContent xmlns:mc="http://schemas.openxmlformats.org/markup-compatibility/2006">
          <mc:Choice Requires="x14">
            <control shapeId="2020" r:id="rId882" name="Button 996">
              <controlPr defaultSize="0" autoFill="0" autoLine="0" autoPict="0" macro="[0]!Sheet1.deleteRow">
                <anchor moveWithCells="1" sizeWithCells="1">
                  <from>
                    <xdr:col>6</xdr:col>
                    <xdr:colOff>0</xdr:colOff>
                    <xdr:row>1386</xdr:row>
                    <xdr:rowOff>0</xdr:rowOff>
                  </from>
                  <to>
                    <xdr:col>7</xdr:col>
                    <xdr:colOff>0</xdr:colOff>
                    <xdr:row>1386</xdr:row>
                    <xdr:rowOff>161925</xdr:rowOff>
                  </to>
                </anchor>
              </controlPr>
            </control>
          </mc:Choice>
        </mc:AlternateContent>
        <mc:AlternateContent xmlns:mc="http://schemas.openxmlformats.org/markup-compatibility/2006">
          <mc:Choice Requires="x14">
            <control shapeId="2019" r:id="rId883" name="Button 995">
              <controlPr defaultSize="0" autoFill="0" autoLine="0" autoPict="0" macro="[0]!Sheet1.deleteProcedure">
                <anchor moveWithCells="1" sizeWithCells="1">
                  <from>
                    <xdr:col>6</xdr:col>
                    <xdr:colOff>0</xdr:colOff>
                    <xdr:row>1389</xdr:row>
                    <xdr:rowOff>0</xdr:rowOff>
                  </from>
                  <to>
                    <xdr:col>7</xdr:col>
                    <xdr:colOff>0</xdr:colOff>
                    <xdr:row>1390</xdr:row>
                    <xdr:rowOff>0</xdr:rowOff>
                  </to>
                </anchor>
              </controlPr>
            </control>
          </mc:Choice>
        </mc:AlternateContent>
        <mc:AlternateContent xmlns:mc="http://schemas.openxmlformats.org/markup-compatibility/2006">
          <mc:Choice Requires="x14">
            <control shapeId="2018" r:id="rId884" name="Button 994">
              <controlPr defaultSize="0" autoFill="0" autoLine="0" autoPict="0" macro="[0]!Sheet1.InsertNewTableRow">
                <anchor moveWithCells="1" sizeWithCells="1">
                  <from>
                    <xdr:col>6</xdr:col>
                    <xdr:colOff>0</xdr:colOff>
                    <xdr:row>1396</xdr:row>
                    <xdr:rowOff>0</xdr:rowOff>
                  </from>
                  <to>
                    <xdr:col>7</xdr:col>
                    <xdr:colOff>0</xdr:colOff>
                    <xdr:row>1396</xdr:row>
                    <xdr:rowOff>38100</xdr:rowOff>
                  </to>
                </anchor>
              </controlPr>
            </control>
          </mc:Choice>
        </mc:AlternateContent>
        <mc:AlternateContent xmlns:mc="http://schemas.openxmlformats.org/markup-compatibility/2006">
          <mc:Choice Requires="x14">
            <control shapeId="2017" r:id="rId885" name="Button 993">
              <controlPr defaultSize="0" autoFill="0" autoLine="0" autoPict="0" macro="[0]!Sheet1.deleteRow">
                <anchor moveWithCells="1" sizeWithCells="1">
                  <from>
                    <xdr:col>6</xdr:col>
                    <xdr:colOff>0</xdr:colOff>
                    <xdr:row>1397</xdr:row>
                    <xdr:rowOff>0</xdr:rowOff>
                  </from>
                  <to>
                    <xdr:col>7</xdr:col>
                    <xdr:colOff>0</xdr:colOff>
                    <xdr:row>1397</xdr:row>
                    <xdr:rowOff>161925</xdr:rowOff>
                  </to>
                </anchor>
              </controlPr>
            </control>
          </mc:Choice>
        </mc:AlternateContent>
        <mc:AlternateContent xmlns:mc="http://schemas.openxmlformats.org/markup-compatibility/2006">
          <mc:Choice Requires="x14">
            <control shapeId="2016" r:id="rId886" name="Button 992">
              <controlPr defaultSize="0" autoFill="0" autoLine="0" autoPict="0" macro="[0]!Sheet1.deleteProcedure">
                <anchor moveWithCells="1" sizeWithCells="1">
                  <from>
                    <xdr:col>6</xdr:col>
                    <xdr:colOff>0</xdr:colOff>
                    <xdr:row>1400</xdr:row>
                    <xdr:rowOff>0</xdr:rowOff>
                  </from>
                  <to>
                    <xdr:col>7</xdr:col>
                    <xdr:colOff>0</xdr:colOff>
                    <xdr:row>1401</xdr:row>
                    <xdr:rowOff>0</xdr:rowOff>
                  </to>
                </anchor>
              </controlPr>
            </control>
          </mc:Choice>
        </mc:AlternateContent>
        <mc:AlternateContent xmlns:mc="http://schemas.openxmlformats.org/markup-compatibility/2006">
          <mc:Choice Requires="x14">
            <control shapeId="2015" r:id="rId887" name="Button 991">
              <controlPr defaultSize="0" autoFill="0" autoLine="0" autoPict="0" macro="[0]!Sheet1.InsertNewTableRow">
                <anchor moveWithCells="1" sizeWithCells="1">
                  <from>
                    <xdr:col>6</xdr:col>
                    <xdr:colOff>0</xdr:colOff>
                    <xdr:row>1407</xdr:row>
                    <xdr:rowOff>0</xdr:rowOff>
                  </from>
                  <to>
                    <xdr:col>7</xdr:col>
                    <xdr:colOff>0</xdr:colOff>
                    <xdr:row>1407</xdr:row>
                    <xdr:rowOff>38100</xdr:rowOff>
                  </to>
                </anchor>
              </controlPr>
            </control>
          </mc:Choice>
        </mc:AlternateContent>
        <mc:AlternateContent xmlns:mc="http://schemas.openxmlformats.org/markup-compatibility/2006">
          <mc:Choice Requires="x14">
            <control shapeId="2014" r:id="rId888" name="Button 990">
              <controlPr defaultSize="0" autoFill="0" autoLine="0" autoPict="0" macro="[0]!Sheet1.deleteRow">
                <anchor moveWithCells="1" sizeWithCells="1">
                  <from>
                    <xdr:col>6</xdr:col>
                    <xdr:colOff>0</xdr:colOff>
                    <xdr:row>1408</xdr:row>
                    <xdr:rowOff>0</xdr:rowOff>
                  </from>
                  <to>
                    <xdr:col>7</xdr:col>
                    <xdr:colOff>0</xdr:colOff>
                    <xdr:row>1408</xdr:row>
                    <xdr:rowOff>161925</xdr:rowOff>
                  </to>
                </anchor>
              </controlPr>
            </control>
          </mc:Choice>
        </mc:AlternateContent>
        <mc:AlternateContent xmlns:mc="http://schemas.openxmlformats.org/markup-compatibility/2006">
          <mc:Choice Requires="x14">
            <control shapeId="2013" r:id="rId889" name="Button 989">
              <controlPr defaultSize="0" autoFill="0" autoLine="0" autoPict="0" macro="[0]!Sheet1.deleteProcedure">
                <anchor moveWithCells="1" sizeWithCells="1">
                  <from>
                    <xdr:col>6</xdr:col>
                    <xdr:colOff>0</xdr:colOff>
                    <xdr:row>1411</xdr:row>
                    <xdr:rowOff>0</xdr:rowOff>
                  </from>
                  <to>
                    <xdr:col>7</xdr:col>
                    <xdr:colOff>0</xdr:colOff>
                    <xdr:row>1412</xdr:row>
                    <xdr:rowOff>0</xdr:rowOff>
                  </to>
                </anchor>
              </controlPr>
            </control>
          </mc:Choice>
        </mc:AlternateContent>
        <mc:AlternateContent xmlns:mc="http://schemas.openxmlformats.org/markup-compatibility/2006">
          <mc:Choice Requires="x14">
            <control shapeId="2012" r:id="rId890" name="Button 988">
              <controlPr defaultSize="0" autoFill="0" autoLine="0" autoPict="0" macro="[0]!Sheet1.InsertNewTableRow">
                <anchor moveWithCells="1" sizeWithCells="1">
                  <from>
                    <xdr:col>6</xdr:col>
                    <xdr:colOff>0</xdr:colOff>
                    <xdr:row>1418</xdr:row>
                    <xdr:rowOff>0</xdr:rowOff>
                  </from>
                  <to>
                    <xdr:col>7</xdr:col>
                    <xdr:colOff>0</xdr:colOff>
                    <xdr:row>1418</xdr:row>
                    <xdr:rowOff>38100</xdr:rowOff>
                  </to>
                </anchor>
              </controlPr>
            </control>
          </mc:Choice>
        </mc:AlternateContent>
        <mc:AlternateContent xmlns:mc="http://schemas.openxmlformats.org/markup-compatibility/2006">
          <mc:Choice Requires="x14">
            <control shapeId="2011" r:id="rId891" name="Button 987">
              <controlPr defaultSize="0" autoFill="0" autoLine="0" autoPict="0" macro="[0]!Sheet1.deleteRow">
                <anchor moveWithCells="1" sizeWithCells="1">
                  <from>
                    <xdr:col>6</xdr:col>
                    <xdr:colOff>0</xdr:colOff>
                    <xdr:row>1419</xdr:row>
                    <xdr:rowOff>0</xdr:rowOff>
                  </from>
                  <to>
                    <xdr:col>7</xdr:col>
                    <xdr:colOff>0</xdr:colOff>
                    <xdr:row>1419</xdr:row>
                    <xdr:rowOff>161925</xdr:rowOff>
                  </to>
                </anchor>
              </controlPr>
            </control>
          </mc:Choice>
        </mc:AlternateContent>
        <mc:AlternateContent xmlns:mc="http://schemas.openxmlformats.org/markup-compatibility/2006">
          <mc:Choice Requires="x14">
            <control shapeId="2010" r:id="rId892" name="Button 986">
              <controlPr defaultSize="0" autoFill="0" autoLine="0" autoPict="0" macro="[0]!Sheet1.deleteProcedure">
                <anchor moveWithCells="1" sizeWithCells="1">
                  <from>
                    <xdr:col>6</xdr:col>
                    <xdr:colOff>0</xdr:colOff>
                    <xdr:row>1422</xdr:row>
                    <xdr:rowOff>0</xdr:rowOff>
                  </from>
                  <to>
                    <xdr:col>7</xdr:col>
                    <xdr:colOff>0</xdr:colOff>
                    <xdr:row>1423</xdr:row>
                    <xdr:rowOff>0</xdr:rowOff>
                  </to>
                </anchor>
              </controlPr>
            </control>
          </mc:Choice>
        </mc:AlternateContent>
        <mc:AlternateContent xmlns:mc="http://schemas.openxmlformats.org/markup-compatibility/2006">
          <mc:Choice Requires="x14">
            <control shapeId="2009" r:id="rId893" name="Button 985">
              <controlPr defaultSize="0" autoFill="0" autoLine="0" autoPict="0" macro="[0]!Sheet1.InsertNewTableRow">
                <anchor moveWithCells="1" sizeWithCells="1">
                  <from>
                    <xdr:col>6</xdr:col>
                    <xdr:colOff>0</xdr:colOff>
                    <xdr:row>1429</xdr:row>
                    <xdr:rowOff>0</xdr:rowOff>
                  </from>
                  <to>
                    <xdr:col>7</xdr:col>
                    <xdr:colOff>0</xdr:colOff>
                    <xdr:row>1429</xdr:row>
                    <xdr:rowOff>38100</xdr:rowOff>
                  </to>
                </anchor>
              </controlPr>
            </control>
          </mc:Choice>
        </mc:AlternateContent>
        <mc:AlternateContent xmlns:mc="http://schemas.openxmlformats.org/markup-compatibility/2006">
          <mc:Choice Requires="x14">
            <control shapeId="2008" r:id="rId894" name="Button 984">
              <controlPr defaultSize="0" autoFill="0" autoLine="0" autoPict="0" macro="[0]!Sheet1.deleteRow">
                <anchor moveWithCells="1" sizeWithCells="1">
                  <from>
                    <xdr:col>6</xdr:col>
                    <xdr:colOff>0</xdr:colOff>
                    <xdr:row>1430</xdr:row>
                    <xdr:rowOff>0</xdr:rowOff>
                  </from>
                  <to>
                    <xdr:col>7</xdr:col>
                    <xdr:colOff>0</xdr:colOff>
                    <xdr:row>1430</xdr:row>
                    <xdr:rowOff>161925</xdr:rowOff>
                  </to>
                </anchor>
              </controlPr>
            </control>
          </mc:Choice>
        </mc:AlternateContent>
        <mc:AlternateContent xmlns:mc="http://schemas.openxmlformats.org/markup-compatibility/2006">
          <mc:Choice Requires="x14">
            <control shapeId="2007" r:id="rId895" name="Button 983">
              <controlPr defaultSize="0" autoFill="0" autoLine="0" autoPict="0" macro="[0]!Sheet1.deleteProcedure">
                <anchor moveWithCells="1" sizeWithCells="1">
                  <from>
                    <xdr:col>6</xdr:col>
                    <xdr:colOff>0</xdr:colOff>
                    <xdr:row>1433</xdr:row>
                    <xdr:rowOff>0</xdr:rowOff>
                  </from>
                  <to>
                    <xdr:col>7</xdr:col>
                    <xdr:colOff>0</xdr:colOff>
                    <xdr:row>1434</xdr:row>
                    <xdr:rowOff>0</xdr:rowOff>
                  </to>
                </anchor>
              </controlPr>
            </control>
          </mc:Choice>
        </mc:AlternateContent>
        <mc:AlternateContent xmlns:mc="http://schemas.openxmlformats.org/markup-compatibility/2006">
          <mc:Choice Requires="x14">
            <control shapeId="2006" r:id="rId896" name="Button 982">
              <controlPr defaultSize="0" autoFill="0" autoLine="0" autoPict="0" macro="[0]!Sheet1.InsertNewTableRow">
                <anchor moveWithCells="1" sizeWithCells="1">
                  <from>
                    <xdr:col>6</xdr:col>
                    <xdr:colOff>0</xdr:colOff>
                    <xdr:row>1440</xdr:row>
                    <xdr:rowOff>0</xdr:rowOff>
                  </from>
                  <to>
                    <xdr:col>7</xdr:col>
                    <xdr:colOff>0</xdr:colOff>
                    <xdr:row>1440</xdr:row>
                    <xdr:rowOff>38100</xdr:rowOff>
                  </to>
                </anchor>
              </controlPr>
            </control>
          </mc:Choice>
        </mc:AlternateContent>
        <mc:AlternateContent xmlns:mc="http://schemas.openxmlformats.org/markup-compatibility/2006">
          <mc:Choice Requires="x14">
            <control shapeId="2005" r:id="rId897" name="Button 981">
              <controlPr defaultSize="0" autoFill="0" autoLine="0" autoPict="0" macro="[0]!Sheet1.deleteRow">
                <anchor moveWithCells="1" sizeWithCells="1">
                  <from>
                    <xdr:col>6</xdr:col>
                    <xdr:colOff>0</xdr:colOff>
                    <xdr:row>1441</xdr:row>
                    <xdr:rowOff>0</xdr:rowOff>
                  </from>
                  <to>
                    <xdr:col>7</xdr:col>
                    <xdr:colOff>0</xdr:colOff>
                    <xdr:row>1441</xdr:row>
                    <xdr:rowOff>161925</xdr:rowOff>
                  </to>
                </anchor>
              </controlPr>
            </control>
          </mc:Choice>
        </mc:AlternateContent>
        <mc:AlternateContent xmlns:mc="http://schemas.openxmlformats.org/markup-compatibility/2006">
          <mc:Choice Requires="x14">
            <control shapeId="2004" r:id="rId898" name="Button 980">
              <controlPr defaultSize="0" autoFill="0" autoLine="0" autoPict="0" macro="[0]!Sheet1.deleteRow">
                <anchor moveWithCells="1" sizeWithCells="1">
                  <from>
                    <xdr:col>6</xdr:col>
                    <xdr:colOff>0</xdr:colOff>
                    <xdr:row>1442</xdr:row>
                    <xdr:rowOff>0</xdr:rowOff>
                  </from>
                  <to>
                    <xdr:col>7</xdr:col>
                    <xdr:colOff>0</xdr:colOff>
                    <xdr:row>1442</xdr:row>
                    <xdr:rowOff>161925</xdr:rowOff>
                  </to>
                </anchor>
              </controlPr>
            </control>
          </mc:Choice>
        </mc:AlternateContent>
        <mc:AlternateContent xmlns:mc="http://schemas.openxmlformats.org/markup-compatibility/2006">
          <mc:Choice Requires="x14">
            <control shapeId="2003" r:id="rId899" name="Button 979">
              <controlPr defaultSize="0" autoFill="0" autoLine="0" autoPict="0" macro="[0]!Sheet1.deleteRow">
                <anchor moveWithCells="1" sizeWithCells="1">
                  <from>
                    <xdr:col>6</xdr:col>
                    <xdr:colOff>0</xdr:colOff>
                    <xdr:row>1443</xdr:row>
                    <xdr:rowOff>0</xdr:rowOff>
                  </from>
                  <to>
                    <xdr:col>7</xdr:col>
                    <xdr:colOff>0</xdr:colOff>
                    <xdr:row>1443</xdr:row>
                    <xdr:rowOff>161925</xdr:rowOff>
                  </to>
                </anchor>
              </controlPr>
            </control>
          </mc:Choice>
        </mc:AlternateContent>
        <mc:AlternateContent xmlns:mc="http://schemas.openxmlformats.org/markup-compatibility/2006">
          <mc:Choice Requires="x14">
            <control shapeId="2002" r:id="rId900" name="Button 978">
              <controlPr defaultSize="0" autoFill="0" autoLine="0" autoPict="0" macro="[0]!Sheet1.deleteRow">
                <anchor moveWithCells="1" sizeWithCells="1">
                  <from>
                    <xdr:col>6</xdr:col>
                    <xdr:colOff>0</xdr:colOff>
                    <xdr:row>1444</xdr:row>
                    <xdr:rowOff>0</xdr:rowOff>
                  </from>
                  <to>
                    <xdr:col>7</xdr:col>
                    <xdr:colOff>0</xdr:colOff>
                    <xdr:row>1444</xdr:row>
                    <xdr:rowOff>161925</xdr:rowOff>
                  </to>
                </anchor>
              </controlPr>
            </control>
          </mc:Choice>
        </mc:AlternateContent>
        <mc:AlternateContent xmlns:mc="http://schemas.openxmlformats.org/markup-compatibility/2006">
          <mc:Choice Requires="x14">
            <control shapeId="2001" r:id="rId901" name="Button 977">
              <controlPr defaultSize="0" autoFill="0" autoLine="0" autoPict="0" macro="[0]!Sheet1.deleteRow">
                <anchor moveWithCells="1" sizeWithCells="1">
                  <from>
                    <xdr:col>6</xdr:col>
                    <xdr:colOff>0</xdr:colOff>
                    <xdr:row>1445</xdr:row>
                    <xdr:rowOff>0</xdr:rowOff>
                  </from>
                  <to>
                    <xdr:col>7</xdr:col>
                    <xdr:colOff>0</xdr:colOff>
                    <xdr:row>1445</xdr:row>
                    <xdr:rowOff>161925</xdr:rowOff>
                  </to>
                </anchor>
              </controlPr>
            </control>
          </mc:Choice>
        </mc:AlternateContent>
        <mc:AlternateContent xmlns:mc="http://schemas.openxmlformats.org/markup-compatibility/2006">
          <mc:Choice Requires="x14">
            <control shapeId="2000" r:id="rId902" name="Button 976">
              <controlPr defaultSize="0" autoFill="0" autoLine="0" autoPict="0" macro="[0]!Sheet1.deleteRow">
                <anchor moveWithCells="1" sizeWithCells="1">
                  <from>
                    <xdr:col>6</xdr:col>
                    <xdr:colOff>0</xdr:colOff>
                    <xdr:row>1446</xdr:row>
                    <xdr:rowOff>0</xdr:rowOff>
                  </from>
                  <to>
                    <xdr:col>7</xdr:col>
                    <xdr:colOff>0</xdr:colOff>
                    <xdr:row>1446</xdr:row>
                    <xdr:rowOff>161925</xdr:rowOff>
                  </to>
                </anchor>
              </controlPr>
            </control>
          </mc:Choice>
        </mc:AlternateContent>
        <mc:AlternateContent xmlns:mc="http://schemas.openxmlformats.org/markup-compatibility/2006">
          <mc:Choice Requires="x14">
            <control shapeId="1999" r:id="rId903" name="Button 975">
              <controlPr defaultSize="0" autoFill="0" autoLine="0" autoPict="0" macro="[0]!Sheet1.deleteRow">
                <anchor moveWithCells="1" sizeWithCells="1">
                  <from>
                    <xdr:col>6</xdr:col>
                    <xdr:colOff>0</xdr:colOff>
                    <xdr:row>1447</xdr:row>
                    <xdr:rowOff>0</xdr:rowOff>
                  </from>
                  <to>
                    <xdr:col>7</xdr:col>
                    <xdr:colOff>0</xdr:colOff>
                    <xdr:row>1447</xdr:row>
                    <xdr:rowOff>161925</xdr:rowOff>
                  </to>
                </anchor>
              </controlPr>
            </control>
          </mc:Choice>
        </mc:AlternateContent>
        <mc:AlternateContent xmlns:mc="http://schemas.openxmlformats.org/markup-compatibility/2006">
          <mc:Choice Requires="x14">
            <control shapeId="1998" r:id="rId904" name="Button 974">
              <controlPr defaultSize="0" autoFill="0" autoLine="0" autoPict="0" macro="[0]!Sheet1.deleteProcedure">
                <anchor moveWithCells="1" sizeWithCells="1">
                  <from>
                    <xdr:col>6</xdr:col>
                    <xdr:colOff>0</xdr:colOff>
                    <xdr:row>1450</xdr:row>
                    <xdr:rowOff>0</xdr:rowOff>
                  </from>
                  <to>
                    <xdr:col>7</xdr:col>
                    <xdr:colOff>0</xdr:colOff>
                    <xdr:row>1451</xdr:row>
                    <xdr:rowOff>0</xdr:rowOff>
                  </to>
                </anchor>
              </controlPr>
            </control>
          </mc:Choice>
        </mc:AlternateContent>
        <mc:AlternateContent xmlns:mc="http://schemas.openxmlformats.org/markup-compatibility/2006">
          <mc:Choice Requires="x14">
            <control shapeId="1997" r:id="rId905" name="Button 973">
              <controlPr defaultSize="0" autoFill="0" autoLine="0" autoPict="0" macro="[0]!Sheet1.InsertNewTableRow">
                <anchor moveWithCells="1" sizeWithCells="1">
                  <from>
                    <xdr:col>6</xdr:col>
                    <xdr:colOff>0</xdr:colOff>
                    <xdr:row>1457</xdr:row>
                    <xdr:rowOff>0</xdr:rowOff>
                  </from>
                  <to>
                    <xdr:col>7</xdr:col>
                    <xdr:colOff>0</xdr:colOff>
                    <xdr:row>1457</xdr:row>
                    <xdr:rowOff>38100</xdr:rowOff>
                  </to>
                </anchor>
              </controlPr>
            </control>
          </mc:Choice>
        </mc:AlternateContent>
        <mc:AlternateContent xmlns:mc="http://schemas.openxmlformats.org/markup-compatibility/2006">
          <mc:Choice Requires="x14">
            <control shapeId="1996" r:id="rId906" name="Button 972">
              <controlPr defaultSize="0" autoFill="0" autoLine="0" autoPict="0" macro="[0]!Sheet1.deleteRow">
                <anchor moveWithCells="1" sizeWithCells="1">
                  <from>
                    <xdr:col>6</xdr:col>
                    <xdr:colOff>0</xdr:colOff>
                    <xdr:row>1458</xdr:row>
                    <xdr:rowOff>0</xdr:rowOff>
                  </from>
                  <to>
                    <xdr:col>7</xdr:col>
                    <xdr:colOff>0</xdr:colOff>
                    <xdr:row>1458</xdr:row>
                    <xdr:rowOff>161925</xdr:rowOff>
                  </to>
                </anchor>
              </controlPr>
            </control>
          </mc:Choice>
        </mc:AlternateContent>
        <mc:AlternateContent xmlns:mc="http://schemas.openxmlformats.org/markup-compatibility/2006">
          <mc:Choice Requires="x14">
            <control shapeId="1995" r:id="rId907" name="Button 971">
              <controlPr defaultSize="0" autoFill="0" autoLine="0" autoPict="0" macro="[0]!Sheet1.deleteProcedure">
                <anchor moveWithCells="1" sizeWithCells="1">
                  <from>
                    <xdr:col>6</xdr:col>
                    <xdr:colOff>0</xdr:colOff>
                    <xdr:row>1461</xdr:row>
                    <xdr:rowOff>0</xdr:rowOff>
                  </from>
                  <to>
                    <xdr:col>7</xdr:col>
                    <xdr:colOff>0</xdr:colOff>
                    <xdr:row>1462</xdr:row>
                    <xdr:rowOff>0</xdr:rowOff>
                  </to>
                </anchor>
              </controlPr>
            </control>
          </mc:Choice>
        </mc:AlternateContent>
        <mc:AlternateContent xmlns:mc="http://schemas.openxmlformats.org/markup-compatibility/2006">
          <mc:Choice Requires="x14">
            <control shapeId="1994" r:id="rId908" name="Button 970">
              <controlPr defaultSize="0" autoFill="0" autoLine="0" autoPict="0" macro="[0]!Sheet1.InsertNewTableRow">
                <anchor moveWithCells="1" sizeWithCells="1">
                  <from>
                    <xdr:col>6</xdr:col>
                    <xdr:colOff>0</xdr:colOff>
                    <xdr:row>1468</xdr:row>
                    <xdr:rowOff>0</xdr:rowOff>
                  </from>
                  <to>
                    <xdr:col>7</xdr:col>
                    <xdr:colOff>0</xdr:colOff>
                    <xdr:row>1468</xdr:row>
                    <xdr:rowOff>38100</xdr:rowOff>
                  </to>
                </anchor>
              </controlPr>
            </control>
          </mc:Choice>
        </mc:AlternateContent>
        <mc:AlternateContent xmlns:mc="http://schemas.openxmlformats.org/markup-compatibility/2006">
          <mc:Choice Requires="x14">
            <control shapeId="1993" r:id="rId909" name="Button 969">
              <controlPr defaultSize="0" autoFill="0" autoLine="0" autoPict="0" macro="[0]!Sheet1.deleteRow">
                <anchor moveWithCells="1" sizeWithCells="1">
                  <from>
                    <xdr:col>6</xdr:col>
                    <xdr:colOff>0</xdr:colOff>
                    <xdr:row>1469</xdr:row>
                    <xdr:rowOff>0</xdr:rowOff>
                  </from>
                  <to>
                    <xdr:col>7</xdr:col>
                    <xdr:colOff>0</xdr:colOff>
                    <xdr:row>1469</xdr:row>
                    <xdr:rowOff>161925</xdr:rowOff>
                  </to>
                </anchor>
              </controlPr>
            </control>
          </mc:Choice>
        </mc:AlternateContent>
        <mc:AlternateContent xmlns:mc="http://schemas.openxmlformats.org/markup-compatibility/2006">
          <mc:Choice Requires="x14">
            <control shapeId="1992" r:id="rId910" name="Button 968">
              <controlPr defaultSize="0" autoFill="0" autoLine="0" autoPict="0" macro="[0]!Sheet1.deleteRow">
                <anchor moveWithCells="1" sizeWithCells="1">
                  <from>
                    <xdr:col>6</xdr:col>
                    <xdr:colOff>0</xdr:colOff>
                    <xdr:row>1470</xdr:row>
                    <xdr:rowOff>0</xdr:rowOff>
                  </from>
                  <to>
                    <xdr:col>7</xdr:col>
                    <xdr:colOff>0</xdr:colOff>
                    <xdr:row>1470</xdr:row>
                    <xdr:rowOff>161925</xdr:rowOff>
                  </to>
                </anchor>
              </controlPr>
            </control>
          </mc:Choice>
        </mc:AlternateContent>
        <mc:AlternateContent xmlns:mc="http://schemas.openxmlformats.org/markup-compatibility/2006">
          <mc:Choice Requires="x14">
            <control shapeId="1991" r:id="rId911" name="Button 967">
              <controlPr defaultSize="0" autoFill="0" autoLine="0" autoPict="0" macro="[0]!Sheet1.deleteRow">
                <anchor moveWithCells="1" sizeWithCells="1">
                  <from>
                    <xdr:col>6</xdr:col>
                    <xdr:colOff>0</xdr:colOff>
                    <xdr:row>1471</xdr:row>
                    <xdr:rowOff>0</xdr:rowOff>
                  </from>
                  <to>
                    <xdr:col>7</xdr:col>
                    <xdr:colOff>0</xdr:colOff>
                    <xdr:row>1471</xdr:row>
                    <xdr:rowOff>161925</xdr:rowOff>
                  </to>
                </anchor>
              </controlPr>
            </control>
          </mc:Choice>
        </mc:AlternateContent>
        <mc:AlternateContent xmlns:mc="http://schemas.openxmlformats.org/markup-compatibility/2006">
          <mc:Choice Requires="x14">
            <control shapeId="1990" r:id="rId912" name="Button 966">
              <controlPr defaultSize="0" autoFill="0" autoLine="0" autoPict="0" macro="[0]!Sheet1.deleteRow">
                <anchor moveWithCells="1" sizeWithCells="1">
                  <from>
                    <xdr:col>6</xdr:col>
                    <xdr:colOff>0</xdr:colOff>
                    <xdr:row>1472</xdr:row>
                    <xdr:rowOff>0</xdr:rowOff>
                  </from>
                  <to>
                    <xdr:col>7</xdr:col>
                    <xdr:colOff>0</xdr:colOff>
                    <xdr:row>1472</xdr:row>
                    <xdr:rowOff>161925</xdr:rowOff>
                  </to>
                </anchor>
              </controlPr>
            </control>
          </mc:Choice>
        </mc:AlternateContent>
        <mc:AlternateContent xmlns:mc="http://schemas.openxmlformats.org/markup-compatibility/2006">
          <mc:Choice Requires="x14">
            <control shapeId="1989" r:id="rId913" name="Button 965">
              <controlPr defaultSize="0" autoFill="0" autoLine="0" autoPict="0" macro="[0]!Sheet1.deleteRow">
                <anchor moveWithCells="1" sizeWithCells="1">
                  <from>
                    <xdr:col>6</xdr:col>
                    <xdr:colOff>0</xdr:colOff>
                    <xdr:row>1473</xdr:row>
                    <xdr:rowOff>0</xdr:rowOff>
                  </from>
                  <to>
                    <xdr:col>7</xdr:col>
                    <xdr:colOff>0</xdr:colOff>
                    <xdr:row>1473</xdr:row>
                    <xdr:rowOff>161925</xdr:rowOff>
                  </to>
                </anchor>
              </controlPr>
            </control>
          </mc:Choice>
        </mc:AlternateContent>
        <mc:AlternateContent xmlns:mc="http://schemas.openxmlformats.org/markup-compatibility/2006">
          <mc:Choice Requires="x14">
            <control shapeId="1988" r:id="rId914" name="Button 964">
              <controlPr defaultSize="0" autoFill="0" autoLine="0" autoPict="0" macro="[0]!Sheet1.deleteRow">
                <anchor moveWithCells="1" sizeWithCells="1">
                  <from>
                    <xdr:col>6</xdr:col>
                    <xdr:colOff>0</xdr:colOff>
                    <xdr:row>1474</xdr:row>
                    <xdr:rowOff>0</xdr:rowOff>
                  </from>
                  <to>
                    <xdr:col>7</xdr:col>
                    <xdr:colOff>0</xdr:colOff>
                    <xdr:row>1474</xdr:row>
                    <xdr:rowOff>161925</xdr:rowOff>
                  </to>
                </anchor>
              </controlPr>
            </control>
          </mc:Choice>
        </mc:AlternateContent>
        <mc:AlternateContent xmlns:mc="http://schemas.openxmlformats.org/markup-compatibility/2006">
          <mc:Choice Requires="x14">
            <control shapeId="1987" r:id="rId915" name="Button 963">
              <controlPr defaultSize="0" autoFill="0" autoLine="0" autoPict="0" macro="[0]!Sheet1.deleteRow">
                <anchor moveWithCells="1" sizeWithCells="1">
                  <from>
                    <xdr:col>6</xdr:col>
                    <xdr:colOff>0</xdr:colOff>
                    <xdr:row>1475</xdr:row>
                    <xdr:rowOff>0</xdr:rowOff>
                  </from>
                  <to>
                    <xdr:col>7</xdr:col>
                    <xdr:colOff>0</xdr:colOff>
                    <xdr:row>1475</xdr:row>
                    <xdr:rowOff>161925</xdr:rowOff>
                  </to>
                </anchor>
              </controlPr>
            </control>
          </mc:Choice>
        </mc:AlternateContent>
        <mc:AlternateContent xmlns:mc="http://schemas.openxmlformats.org/markup-compatibility/2006">
          <mc:Choice Requires="x14">
            <control shapeId="1986" r:id="rId916" name="Button 962">
              <controlPr defaultSize="0" autoFill="0" autoLine="0" autoPict="0" macro="[0]!Sheet1.deleteRow">
                <anchor moveWithCells="1" sizeWithCells="1">
                  <from>
                    <xdr:col>6</xdr:col>
                    <xdr:colOff>0</xdr:colOff>
                    <xdr:row>1476</xdr:row>
                    <xdr:rowOff>0</xdr:rowOff>
                  </from>
                  <to>
                    <xdr:col>7</xdr:col>
                    <xdr:colOff>0</xdr:colOff>
                    <xdr:row>1476</xdr:row>
                    <xdr:rowOff>161925</xdr:rowOff>
                  </to>
                </anchor>
              </controlPr>
            </control>
          </mc:Choice>
        </mc:AlternateContent>
        <mc:AlternateContent xmlns:mc="http://schemas.openxmlformats.org/markup-compatibility/2006">
          <mc:Choice Requires="x14">
            <control shapeId="1985" r:id="rId917" name="Button 961">
              <controlPr defaultSize="0" autoFill="0" autoLine="0" autoPict="0" macro="[0]!Sheet1.deleteRow">
                <anchor moveWithCells="1" sizeWithCells="1">
                  <from>
                    <xdr:col>6</xdr:col>
                    <xdr:colOff>0</xdr:colOff>
                    <xdr:row>1477</xdr:row>
                    <xdr:rowOff>0</xdr:rowOff>
                  </from>
                  <to>
                    <xdr:col>7</xdr:col>
                    <xdr:colOff>0</xdr:colOff>
                    <xdr:row>1477</xdr:row>
                    <xdr:rowOff>161925</xdr:rowOff>
                  </to>
                </anchor>
              </controlPr>
            </control>
          </mc:Choice>
        </mc:AlternateContent>
        <mc:AlternateContent xmlns:mc="http://schemas.openxmlformats.org/markup-compatibility/2006">
          <mc:Choice Requires="x14">
            <control shapeId="1984" r:id="rId918" name="Button 960">
              <controlPr defaultSize="0" autoFill="0" autoLine="0" autoPict="0" macro="[0]!Sheet1.deleteProcedure">
                <anchor moveWithCells="1" sizeWithCells="1">
                  <from>
                    <xdr:col>6</xdr:col>
                    <xdr:colOff>0</xdr:colOff>
                    <xdr:row>1480</xdr:row>
                    <xdr:rowOff>0</xdr:rowOff>
                  </from>
                  <to>
                    <xdr:col>7</xdr:col>
                    <xdr:colOff>0</xdr:colOff>
                    <xdr:row>1481</xdr:row>
                    <xdr:rowOff>0</xdr:rowOff>
                  </to>
                </anchor>
              </controlPr>
            </control>
          </mc:Choice>
        </mc:AlternateContent>
        <mc:AlternateContent xmlns:mc="http://schemas.openxmlformats.org/markup-compatibility/2006">
          <mc:Choice Requires="x14">
            <control shapeId="1983" r:id="rId919" name="Button 959">
              <controlPr defaultSize="0" autoFill="0" autoLine="0" autoPict="0" macro="[0]!Sheet1.InsertNewTableRow">
                <anchor moveWithCells="1" sizeWithCells="1">
                  <from>
                    <xdr:col>6</xdr:col>
                    <xdr:colOff>0</xdr:colOff>
                    <xdr:row>1487</xdr:row>
                    <xdr:rowOff>0</xdr:rowOff>
                  </from>
                  <to>
                    <xdr:col>7</xdr:col>
                    <xdr:colOff>0</xdr:colOff>
                    <xdr:row>1487</xdr:row>
                    <xdr:rowOff>38100</xdr:rowOff>
                  </to>
                </anchor>
              </controlPr>
            </control>
          </mc:Choice>
        </mc:AlternateContent>
        <mc:AlternateContent xmlns:mc="http://schemas.openxmlformats.org/markup-compatibility/2006">
          <mc:Choice Requires="x14">
            <control shapeId="1982" r:id="rId920" name="Button 958">
              <controlPr defaultSize="0" autoFill="0" autoLine="0" autoPict="0" macro="[0]!Sheet1.deleteRow">
                <anchor moveWithCells="1" sizeWithCells="1">
                  <from>
                    <xdr:col>6</xdr:col>
                    <xdr:colOff>0</xdr:colOff>
                    <xdr:row>1488</xdr:row>
                    <xdr:rowOff>0</xdr:rowOff>
                  </from>
                  <to>
                    <xdr:col>7</xdr:col>
                    <xdr:colOff>0</xdr:colOff>
                    <xdr:row>1488</xdr:row>
                    <xdr:rowOff>161925</xdr:rowOff>
                  </to>
                </anchor>
              </controlPr>
            </control>
          </mc:Choice>
        </mc:AlternateContent>
        <mc:AlternateContent xmlns:mc="http://schemas.openxmlformats.org/markup-compatibility/2006">
          <mc:Choice Requires="x14">
            <control shapeId="1981" r:id="rId921" name="Button 957">
              <controlPr defaultSize="0" autoFill="0" autoLine="0" autoPict="0" macro="[0]!Sheet1.deleteProcedure">
                <anchor moveWithCells="1" sizeWithCells="1">
                  <from>
                    <xdr:col>6</xdr:col>
                    <xdr:colOff>0</xdr:colOff>
                    <xdr:row>1491</xdr:row>
                    <xdr:rowOff>0</xdr:rowOff>
                  </from>
                  <to>
                    <xdr:col>7</xdr:col>
                    <xdr:colOff>0</xdr:colOff>
                    <xdr:row>1492</xdr:row>
                    <xdr:rowOff>0</xdr:rowOff>
                  </to>
                </anchor>
              </controlPr>
            </control>
          </mc:Choice>
        </mc:AlternateContent>
        <mc:AlternateContent xmlns:mc="http://schemas.openxmlformats.org/markup-compatibility/2006">
          <mc:Choice Requires="x14">
            <control shapeId="1980" r:id="rId922" name="Button 956">
              <controlPr defaultSize="0" autoFill="0" autoLine="0" autoPict="0" macro="[0]!Sheet1.InsertNewTableRow">
                <anchor moveWithCells="1" sizeWithCells="1">
                  <from>
                    <xdr:col>6</xdr:col>
                    <xdr:colOff>0</xdr:colOff>
                    <xdr:row>1498</xdr:row>
                    <xdr:rowOff>0</xdr:rowOff>
                  </from>
                  <to>
                    <xdr:col>7</xdr:col>
                    <xdr:colOff>0</xdr:colOff>
                    <xdr:row>1498</xdr:row>
                    <xdr:rowOff>38100</xdr:rowOff>
                  </to>
                </anchor>
              </controlPr>
            </control>
          </mc:Choice>
        </mc:AlternateContent>
        <mc:AlternateContent xmlns:mc="http://schemas.openxmlformats.org/markup-compatibility/2006">
          <mc:Choice Requires="x14">
            <control shapeId="1979" r:id="rId923" name="Button 955">
              <controlPr defaultSize="0" autoFill="0" autoLine="0" autoPict="0" macro="[0]!Sheet1.deleteRow">
                <anchor moveWithCells="1" sizeWithCells="1">
                  <from>
                    <xdr:col>6</xdr:col>
                    <xdr:colOff>0</xdr:colOff>
                    <xdr:row>1499</xdr:row>
                    <xdr:rowOff>0</xdr:rowOff>
                  </from>
                  <to>
                    <xdr:col>7</xdr:col>
                    <xdr:colOff>0</xdr:colOff>
                    <xdr:row>1499</xdr:row>
                    <xdr:rowOff>161925</xdr:rowOff>
                  </to>
                </anchor>
              </controlPr>
            </control>
          </mc:Choice>
        </mc:AlternateContent>
        <mc:AlternateContent xmlns:mc="http://schemas.openxmlformats.org/markup-compatibility/2006">
          <mc:Choice Requires="x14">
            <control shapeId="1978" r:id="rId924" name="Button 954">
              <controlPr defaultSize="0" autoFill="0" autoLine="0" autoPict="0" macro="[0]!Sheet1.deleteRow">
                <anchor moveWithCells="1" sizeWithCells="1">
                  <from>
                    <xdr:col>6</xdr:col>
                    <xdr:colOff>0</xdr:colOff>
                    <xdr:row>1500</xdr:row>
                    <xdr:rowOff>0</xdr:rowOff>
                  </from>
                  <to>
                    <xdr:col>7</xdr:col>
                    <xdr:colOff>0</xdr:colOff>
                    <xdr:row>1500</xdr:row>
                    <xdr:rowOff>161925</xdr:rowOff>
                  </to>
                </anchor>
              </controlPr>
            </control>
          </mc:Choice>
        </mc:AlternateContent>
        <mc:AlternateContent xmlns:mc="http://schemas.openxmlformats.org/markup-compatibility/2006">
          <mc:Choice Requires="x14">
            <control shapeId="1977" r:id="rId925" name="Button 953">
              <controlPr defaultSize="0" autoFill="0" autoLine="0" autoPict="0" macro="[0]!Sheet1.deleteRow">
                <anchor moveWithCells="1" sizeWithCells="1">
                  <from>
                    <xdr:col>6</xdr:col>
                    <xdr:colOff>0</xdr:colOff>
                    <xdr:row>1501</xdr:row>
                    <xdr:rowOff>0</xdr:rowOff>
                  </from>
                  <to>
                    <xdr:col>7</xdr:col>
                    <xdr:colOff>0</xdr:colOff>
                    <xdr:row>1501</xdr:row>
                    <xdr:rowOff>161925</xdr:rowOff>
                  </to>
                </anchor>
              </controlPr>
            </control>
          </mc:Choice>
        </mc:AlternateContent>
        <mc:AlternateContent xmlns:mc="http://schemas.openxmlformats.org/markup-compatibility/2006">
          <mc:Choice Requires="x14">
            <control shapeId="1976" r:id="rId926" name="Button 952">
              <controlPr defaultSize="0" autoFill="0" autoLine="0" autoPict="0" macro="[0]!Sheet1.deleteRow">
                <anchor moveWithCells="1" sizeWithCells="1">
                  <from>
                    <xdr:col>6</xdr:col>
                    <xdr:colOff>0</xdr:colOff>
                    <xdr:row>1502</xdr:row>
                    <xdr:rowOff>0</xdr:rowOff>
                  </from>
                  <to>
                    <xdr:col>7</xdr:col>
                    <xdr:colOff>0</xdr:colOff>
                    <xdr:row>1502</xdr:row>
                    <xdr:rowOff>161925</xdr:rowOff>
                  </to>
                </anchor>
              </controlPr>
            </control>
          </mc:Choice>
        </mc:AlternateContent>
        <mc:AlternateContent xmlns:mc="http://schemas.openxmlformats.org/markup-compatibility/2006">
          <mc:Choice Requires="x14">
            <control shapeId="1975" r:id="rId927" name="Button 951">
              <controlPr defaultSize="0" autoFill="0" autoLine="0" autoPict="0" macro="[0]!Sheet1.deleteRow">
                <anchor moveWithCells="1" sizeWithCells="1">
                  <from>
                    <xdr:col>6</xdr:col>
                    <xdr:colOff>0</xdr:colOff>
                    <xdr:row>1503</xdr:row>
                    <xdr:rowOff>0</xdr:rowOff>
                  </from>
                  <to>
                    <xdr:col>7</xdr:col>
                    <xdr:colOff>0</xdr:colOff>
                    <xdr:row>1503</xdr:row>
                    <xdr:rowOff>161925</xdr:rowOff>
                  </to>
                </anchor>
              </controlPr>
            </control>
          </mc:Choice>
        </mc:AlternateContent>
        <mc:AlternateContent xmlns:mc="http://schemas.openxmlformats.org/markup-compatibility/2006">
          <mc:Choice Requires="x14">
            <control shapeId="1974" r:id="rId928" name="Button 950">
              <controlPr defaultSize="0" autoFill="0" autoLine="0" autoPict="0" macro="[0]!Sheet1.deleteRow">
                <anchor moveWithCells="1" sizeWithCells="1">
                  <from>
                    <xdr:col>6</xdr:col>
                    <xdr:colOff>0</xdr:colOff>
                    <xdr:row>1504</xdr:row>
                    <xdr:rowOff>0</xdr:rowOff>
                  </from>
                  <to>
                    <xdr:col>7</xdr:col>
                    <xdr:colOff>0</xdr:colOff>
                    <xdr:row>1504</xdr:row>
                    <xdr:rowOff>161925</xdr:rowOff>
                  </to>
                </anchor>
              </controlPr>
            </control>
          </mc:Choice>
        </mc:AlternateContent>
        <mc:AlternateContent xmlns:mc="http://schemas.openxmlformats.org/markup-compatibility/2006">
          <mc:Choice Requires="x14">
            <control shapeId="1973" r:id="rId929" name="Button 949">
              <controlPr defaultSize="0" autoFill="0" autoLine="0" autoPict="0" macro="[0]!Sheet1.deleteRow">
                <anchor moveWithCells="1" sizeWithCells="1">
                  <from>
                    <xdr:col>6</xdr:col>
                    <xdr:colOff>0</xdr:colOff>
                    <xdr:row>1505</xdr:row>
                    <xdr:rowOff>0</xdr:rowOff>
                  </from>
                  <to>
                    <xdr:col>7</xdr:col>
                    <xdr:colOff>0</xdr:colOff>
                    <xdr:row>1505</xdr:row>
                    <xdr:rowOff>161925</xdr:rowOff>
                  </to>
                </anchor>
              </controlPr>
            </control>
          </mc:Choice>
        </mc:AlternateContent>
        <mc:AlternateContent xmlns:mc="http://schemas.openxmlformats.org/markup-compatibility/2006">
          <mc:Choice Requires="x14">
            <control shapeId="1972" r:id="rId930" name="Button 948">
              <controlPr defaultSize="0" autoFill="0" autoLine="0" autoPict="0" macro="[0]!Sheet1.deleteRow">
                <anchor moveWithCells="1" sizeWithCells="1">
                  <from>
                    <xdr:col>6</xdr:col>
                    <xdr:colOff>0</xdr:colOff>
                    <xdr:row>1506</xdr:row>
                    <xdr:rowOff>0</xdr:rowOff>
                  </from>
                  <to>
                    <xdr:col>7</xdr:col>
                    <xdr:colOff>0</xdr:colOff>
                    <xdr:row>1506</xdr:row>
                    <xdr:rowOff>161925</xdr:rowOff>
                  </to>
                </anchor>
              </controlPr>
            </control>
          </mc:Choice>
        </mc:AlternateContent>
        <mc:AlternateContent xmlns:mc="http://schemas.openxmlformats.org/markup-compatibility/2006">
          <mc:Choice Requires="x14">
            <control shapeId="1971" r:id="rId931" name="Button 947">
              <controlPr defaultSize="0" autoFill="0" autoLine="0" autoPict="0" macro="[0]!Sheet1.deleteRow">
                <anchor moveWithCells="1" sizeWithCells="1">
                  <from>
                    <xdr:col>6</xdr:col>
                    <xdr:colOff>0</xdr:colOff>
                    <xdr:row>1507</xdr:row>
                    <xdr:rowOff>0</xdr:rowOff>
                  </from>
                  <to>
                    <xdr:col>7</xdr:col>
                    <xdr:colOff>0</xdr:colOff>
                    <xdr:row>1507</xdr:row>
                    <xdr:rowOff>161925</xdr:rowOff>
                  </to>
                </anchor>
              </controlPr>
            </control>
          </mc:Choice>
        </mc:AlternateContent>
        <mc:AlternateContent xmlns:mc="http://schemas.openxmlformats.org/markup-compatibility/2006">
          <mc:Choice Requires="x14">
            <control shapeId="1970" r:id="rId932" name="Button 946">
              <controlPr defaultSize="0" autoFill="0" autoLine="0" autoPict="0" macro="[0]!Sheet1.deleteRow">
                <anchor moveWithCells="1" sizeWithCells="1">
                  <from>
                    <xdr:col>6</xdr:col>
                    <xdr:colOff>0</xdr:colOff>
                    <xdr:row>1508</xdr:row>
                    <xdr:rowOff>0</xdr:rowOff>
                  </from>
                  <to>
                    <xdr:col>7</xdr:col>
                    <xdr:colOff>0</xdr:colOff>
                    <xdr:row>1508</xdr:row>
                    <xdr:rowOff>161925</xdr:rowOff>
                  </to>
                </anchor>
              </controlPr>
            </control>
          </mc:Choice>
        </mc:AlternateContent>
        <mc:AlternateContent xmlns:mc="http://schemas.openxmlformats.org/markup-compatibility/2006">
          <mc:Choice Requires="x14">
            <control shapeId="1969" r:id="rId933" name="Button 945">
              <controlPr defaultSize="0" autoFill="0" autoLine="0" autoPict="0" macro="[0]!Sheet1.deleteRow">
                <anchor moveWithCells="1" sizeWithCells="1">
                  <from>
                    <xdr:col>6</xdr:col>
                    <xdr:colOff>0</xdr:colOff>
                    <xdr:row>1509</xdr:row>
                    <xdr:rowOff>0</xdr:rowOff>
                  </from>
                  <to>
                    <xdr:col>7</xdr:col>
                    <xdr:colOff>0</xdr:colOff>
                    <xdr:row>1509</xdr:row>
                    <xdr:rowOff>161925</xdr:rowOff>
                  </to>
                </anchor>
              </controlPr>
            </control>
          </mc:Choice>
        </mc:AlternateContent>
        <mc:AlternateContent xmlns:mc="http://schemas.openxmlformats.org/markup-compatibility/2006">
          <mc:Choice Requires="x14">
            <control shapeId="1968" r:id="rId934" name="Button 944">
              <controlPr defaultSize="0" autoFill="0" autoLine="0" autoPict="0" macro="[0]!Sheet1.deleteRow">
                <anchor moveWithCells="1" sizeWithCells="1">
                  <from>
                    <xdr:col>6</xdr:col>
                    <xdr:colOff>0</xdr:colOff>
                    <xdr:row>1510</xdr:row>
                    <xdr:rowOff>0</xdr:rowOff>
                  </from>
                  <to>
                    <xdr:col>7</xdr:col>
                    <xdr:colOff>0</xdr:colOff>
                    <xdr:row>1510</xdr:row>
                    <xdr:rowOff>161925</xdr:rowOff>
                  </to>
                </anchor>
              </controlPr>
            </control>
          </mc:Choice>
        </mc:AlternateContent>
        <mc:AlternateContent xmlns:mc="http://schemas.openxmlformats.org/markup-compatibility/2006">
          <mc:Choice Requires="x14">
            <control shapeId="1967" r:id="rId935" name="Button 943">
              <controlPr defaultSize="0" autoFill="0" autoLine="0" autoPict="0" macro="[0]!Sheet1.deleteRow">
                <anchor moveWithCells="1" sizeWithCells="1">
                  <from>
                    <xdr:col>6</xdr:col>
                    <xdr:colOff>0</xdr:colOff>
                    <xdr:row>1511</xdr:row>
                    <xdr:rowOff>0</xdr:rowOff>
                  </from>
                  <to>
                    <xdr:col>7</xdr:col>
                    <xdr:colOff>0</xdr:colOff>
                    <xdr:row>1511</xdr:row>
                    <xdr:rowOff>161925</xdr:rowOff>
                  </to>
                </anchor>
              </controlPr>
            </control>
          </mc:Choice>
        </mc:AlternateContent>
        <mc:AlternateContent xmlns:mc="http://schemas.openxmlformats.org/markup-compatibility/2006">
          <mc:Choice Requires="x14">
            <control shapeId="1966" r:id="rId936" name="Button 942">
              <controlPr defaultSize="0" autoFill="0" autoLine="0" autoPict="0" macro="[0]!Sheet1.deleteRow">
                <anchor moveWithCells="1" sizeWithCells="1">
                  <from>
                    <xdr:col>6</xdr:col>
                    <xdr:colOff>0</xdr:colOff>
                    <xdr:row>1512</xdr:row>
                    <xdr:rowOff>0</xdr:rowOff>
                  </from>
                  <to>
                    <xdr:col>7</xdr:col>
                    <xdr:colOff>0</xdr:colOff>
                    <xdr:row>1512</xdr:row>
                    <xdr:rowOff>161925</xdr:rowOff>
                  </to>
                </anchor>
              </controlPr>
            </control>
          </mc:Choice>
        </mc:AlternateContent>
        <mc:AlternateContent xmlns:mc="http://schemas.openxmlformats.org/markup-compatibility/2006">
          <mc:Choice Requires="x14">
            <control shapeId="1965" r:id="rId937" name="Button 941">
              <controlPr defaultSize="0" autoFill="0" autoLine="0" autoPict="0" macro="[0]!Sheet1.deleteRow">
                <anchor moveWithCells="1" sizeWithCells="1">
                  <from>
                    <xdr:col>6</xdr:col>
                    <xdr:colOff>0</xdr:colOff>
                    <xdr:row>1513</xdr:row>
                    <xdr:rowOff>0</xdr:rowOff>
                  </from>
                  <to>
                    <xdr:col>7</xdr:col>
                    <xdr:colOff>0</xdr:colOff>
                    <xdr:row>1513</xdr:row>
                    <xdr:rowOff>161925</xdr:rowOff>
                  </to>
                </anchor>
              </controlPr>
            </control>
          </mc:Choice>
        </mc:AlternateContent>
        <mc:AlternateContent xmlns:mc="http://schemas.openxmlformats.org/markup-compatibility/2006">
          <mc:Choice Requires="x14">
            <control shapeId="1964" r:id="rId938" name="Button 940">
              <controlPr defaultSize="0" autoFill="0" autoLine="0" autoPict="0" macro="[0]!Sheet1.deleteRow">
                <anchor moveWithCells="1" sizeWithCells="1">
                  <from>
                    <xdr:col>6</xdr:col>
                    <xdr:colOff>0</xdr:colOff>
                    <xdr:row>1514</xdr:row>
                    <xdr:rowOff>0</xdr:rowOff>
                  </from>
                  <to>
                    <xdr:col>7</xdr:col>
                    <xdr:colOff>0</xdr:colOff>
                    <xdr:row>1514</xdr:row>
                    <xdr:rowOff>161925</xdr:rowOff>
                  </to>
                </anchor>
              </controlPr>
            </control>
          </mc:Choice>
        </mc:AlternateContent>
        <mc:AlternateContent xmlns:mc="http://schemas.openxmlformats.org/markup-compatibility/2006">
          <mc:Choice Requires="x14">
            <control shapeId="1963" r:id="rId939" name="Button 939">
              <controlPr defaultSize="0" autoFill="0" autoLine="0" autoPict="0" macro="[0]!Sheet1.deleteRow">
                <anchor moveWithCells="1" sizeWithCells="1">
                  <from>
                    <xdr:col>6</xdr:col>
                    <xdr:colOff>0</xdr:colOff>
                    <xdr:row>1515</xdr:row>
                    <xdr:rowOff>0</xdr:rowOff>
                  </from>
                  <to>
                    <xdr:col>7</xdr:col>
                    <xdr:colOff>0</xdr:colOff>
                    <xdr:row>1515</xdr:row>
                    <xdr:rowOff>161925</xdr:rowOff>
                  </to>
                </anchor>
              </controlPr>
            </control>
          </mc:Choice>
        </mc:AlternateContent>
        <mc:AlternateContent xmlns:mc="http://schemas.openxmlformats.org/markup-compatibility/2006">
          <mc:Choice Requires="x14">
            <control shapeId="1962" r:id="rId940" name="Button 938">
              <controlPr defaultSize="0" autoFill="0" autoLine="0" autoPict="0" macro="[0]!Sheet1.deleteRow">
                <anchor moveWithCells="1" sizeWithCells="1">
                  <from>
                    <xdr:col>6</xdr:col>
                    <xdr:colOff>0</xdr:colOff>
                    <xdr:row>1516</xdr:row>
                    <xdr:rowOff>0</xdr:rowOff>
                  </from>
                  <to>
                    <xdr:col>7</xdr:col>
                    <xdr:colOff>0</xdr:colOff>
                    <xdr:row>1516</xdr:row>
                    <xdr:rowOff>161925</xdr:rowOff>
                  </to>
                </anchor>
              </controlPr>
            </control>
          </mc:Choice>
        </mc:AlternateContent>
        <mc:AlternateContent xmlns:mc="http://schemas.openxmlformats.org/markup-compatibility/2006">
          <mc:Choice Requires="x14">
            <control shapeId="1961" r:id="rId941" name="Button 937">
              <controlPr defaultSize="0" autoFill="0" autoLine="0" autoPict="0" macro="[0]!Sheet1.deleteRow">
                <anchor moveWithCells="1" sizeWithCells="1">
                  <from>
                    <xdr:col>6</xdr:col>
                    <xdr:colOff>0</xdr:colOff>
                    <xdr:row>1517</xdr:row>
                    <xdr:rowOff>0</xdr:rowOff>
                  </from>
                  <to>
                    <xdr:col>7</xdr:col>
                    <xdr:colOff>0</xdr:colOff>
                    <xdr:row>1517</xdr:row>
                    <xdr:rowOff>161925</xdr:rowOff>
                  </to>
                </anchor>
              </controlPr>
            </control>
          </mc:Choice>
        </mc:AlternateContent>
        <mc:AlternateContent xmlns:mc="http://schemas.openxmlformats.org/markup-compatibility/2006">
          <mc:Choice Requires="x14">
            <control shapeId="1960" r:id="rId942" name="Button 936">
              <controlPr defaultSize="0" autoFill="0" autoLine="0" autoPict="0" macro="[0]!Sheet1.deleteRow">
                <anchor moveWithCells="1" sizeWithCells="1">
                  <from>
                    <xdr:col>6</xdr:col>
                    <xdr:colOff>0</xdr:colOff>
                    <xdr:row>1518</xdr:row>
                    <xdr:rowOff>0</xdr:rowOff>
                  </from>
                  <to>
                    <xdr:col>7</xdr:col>
                    <xdr:colOff>0</xdr:colOff>
                    <xdr:row>1518</xdr:row>
                    <xdr:rowOff>161925</xdr:rowOff>
                  </to>
                </anchor>
              </controlPr>
            </control>
          </mc:Choice>
        </mc:AlternateContent>
        <mc:AlternateContent xmlns:mc="http://schemas.openxmlformats.org/markup-compatibility/2006">
          <mc:Choice Requires="x14">
            <control shapeId="1959" r:id="rId943" name="Button 935">
              <controlPr defaultSize="0" autoFill="0" autoLine="0" autoPict="0" macro="[0]!Sheet1.deleteProcedure">
                <anchor moveWithCells="1" sizeWithCells="1">
                  <from>
                    <xdr:col>6</xdr:col>
                    <xdr:colOff>0</xdr:colOff>
                    <xdr:row>1521</xdr:row>
                    <xdr:rowOff>0</xdr:rowOff>
                  </from>
                  <to>
                    <xdr:col>7</xdr:col>
                    <xdr:colOff>0</xdr:colOff>
                    <xdr:row>1522</xdr:row>
                    <xdr:rowOff>0</xdr:rowOff>
                  </to>
                </anchor>
              </controlPr>
            </control>
          </mc:Choice>
        </mc:AlternateContent>
        <mc:AlternateContent xmlns:mc="http://schemas.openxmlformats.org/markup-compatibility/2006">
          <mc:Choice Requires="x14">
            <control shapeId="1958" r:id="rId944" name="Button 934">
              <controlPr defaultSize="0" autoFill="0" autoLine="0" autoPict="0" macro="[0]!Sheet1.InsertNewTableRow">
                <anchor moveWithCells="1" sizeWithCells="1">
                  <from>
                    <xdr:col>6</xdr:col>
                    <xdr:colOff>0</xdr:colOff>
                    <xdr:row>1528</xdr:row>
                    <xdr:rowOff>0</xdr:rowOff>
                  </from>
                  <to>
                    <xdr:col>7</xdr:col>
                    <xdr:colOff>0</xdr:colOff>
                    <xdr:row>1528</xdr:row>
                    <xdr:rowOff>38100</xdr:rowOff>
                  </to>
                </anchor>
              </controlPr>
            </control>
          </mc:Choice>
        </mc:AlternateContent>
        <mc:AlternateContent xmlns:mc="http://schemas.openxmlformats.org/markup-compatibility/2006">
          <mc:Choice Requires="x14">
            <control shapeId="1957" r:id="rId945" name="Button 933">
              <controlPr defaultSize="0" autoFill="0" autoLine="0" autoPict="0" macro="[0]!Sheet1.deleteRow">
                <anchor moveWithCells="1" sizeWithCells="1">
                  <from>
                    <xdr:col>6</xdr:col>
                    <xdr:colOff>0</xdr:colOff>
                    <xdr:row>1529</xdr:row>
                    <xdr:rowOff>0</xdr:rowOff>
                  </from>
                  <to>
                    <xdr:col>7</xdr:col>
                    <xdr:colOff>0</xdr:colOff>
                    <xdr:row>1529</xdr:row>
                    <xdr:rowOff>161925</xdr:rowOff>
                  </to>
                </anchor>
              </controlPr>
            </control>
          </mc:Choice>
        </mc:AlternateContent>
        <mc:AlternateContent xmlns:mc="http://schemas.openxmlformats.org/markup-compatibility/2006">
          <mc:Choice Requires="x14">
            <control shapeId="1956" r:id="rId946" name="Button 932">
              <controlPr defaultSize="0" autoFill="0" autoLine="0" autoPict="0" macro="[0]!Sheet1.deleteRow">
                <anchor moveWithCells="1" sizeWithCells="1">
                  <from>
                    <xdr:col>6</xdr:col>
                    <xdr:colOff>0</xdr:colOff>
                    <xdr:row>1530</xdr:row>
                    <xdr:rowOff>0</xdr:rowOff>
                  </from>
                  <to>
                    <xdr:col>7</xdr:col>
                    <xdr:colOff>0</xdr:colOff>
                    <xdr:row>1530</xdr:row>
                    <xdr:rowOff>161925</xdr:rowOff>
                  </to>
                </anchor>
              </controlPr>
            </control>
          </mc:Choice>
        </mc:AlternateContent>
        <mc:AlternateContent xmlns:mc="http://schemas.openxmlformats.org/markup-compatibility/2006">
          <mc:Choice Requires="x14">
            <control shapeId="1955" r:id="rId947" name="Button 931">
              <controlPr defaultSize="0" autoFill="0" autoLine="0" autoPict="0" macro="[0]!Sheet1.deleteRow">
                <anchor moveWithCells="1" sizeWithCells="1">
                  <from>
                    <xdr:col>6</xdr:col>
                    <xdr:colOff>0</xdr:colOff>
                    <xdr:row>1531</xdr:row>
                    <xdr:rowOff>0</xdr:rowOff>
                  </from>
                  <to>
                    <xdr:col>7</xdr:col>
                    <xdr:colOff>0</xdr:colOff>
                    <xdr:row>1531</xdr:row>
                    <xdr:rowOff>161925</xdr:rowOff>
                  </to>
                </anchor>
              </controlPr>
            </control>
          </mc:Choice>
        </mc:AlternateContent>
        <mc:AlternateContent xmlns:mc="http://schemas.openxmlformats.org/markup-compatibility/2006">
          <mc:Choice Requires="x14">
            <control shapeId="1954" r:id="rId948" name="Button 930">
              <controlPr defaultSize="0" autoFill="0" autoLine="0" autoPict="0" macro="[0]!Sheet1.deleteRow">
                <anchor moveWithCells="1" sizeWithCells="1">
                  <from>
                    <xdr:col>6</xdr:col>
                    <xdr:colOff>0</xdr:colOff>
                    <xdr:row>1532</xdr:row>
                    <xdr:rowOff>0</xdr:rowOff>
                  </from>
                  <to>
                    <xdr:col>7</xdr:col>
                    <xdr:colOff>0</xdr:colOff>
                    <xdr:row>1532</xdr:row>
                    <xdr:rowOff>161925</xdr:rowOff>
                  </to>
                </anchor>
              </controlPr>
            </control>
          </mc:Choice>
        </mc:AlternateContent>
        <mc:AlternateContent xmlns:mc="http://schemas.openxmlformats.org/markup-compatibility/2006">
          <mc:Choice Requires="x14">
            <control shapeId="1953" r:id="rId949" name="Button 929">
              <controlPr defaultSize="0" autoFill="0" autoLine="0" autoPict="0" macro="[0]!Sheet1.deleteRow">
                <anchor moveWithCells="1" sizeWithCells="1">
                  <from>
                    <xdr:col>6</xdr:col>
                    <xdr:colOff>0</xdr:colOff>
                    <xdr:row>1533</xdr:row>
                    <xdr:rowOff>0</xdr:rowOff>
                  </from>
                  <to>
                    <xdr:col>7</xdr:col>
                    <xdr:colOff>0</xdr:colOff>
                    <xdr:row>1533</xdr:row>
                    <xdr:rowOff>161925</xdr:rowOff>
                  </to>
                </anchor>
              </controlPr>
            </control>
          </mc:Choice>
        </mc:AlternateContent>
        <mc:AlternateContent xmlns:mc="http://schemas.openxmlformats.org/markup-compatibility/2006">
          <mc:Choice Requires="x14">
            <control shapeId="1952" r:id="rId950" name="Button 928">
              <controlPr defaultSize="0" autoFill="0" autoLine="0" autoPict="0" macro="[0]!Sheet1.deleteRow">
                <anchor moveWithCells="1" sizeWithCells="1">
                  <from>
                    <xdr:col>6</xdr:col>
                    <xdr:colOff>0</xdr:colOff>
                    <xdr:row>1534</xdr:row>
                    <xdr:rowOff>0</xdr:rowOff>
                  </from>
                  <to>
                    <xdr:col>7</xdr:col>
                    <xdr:colOff>0</xdr:colOff>
                    <xdr:row>1534</xdr:row>
                    <xdr:rowOff>161925</xdr:rowOff>
                  </to>
                </anchor>
              </controlPr>
            </control>
          </mc:Choice>
        </mc:AlternateContent>
        <mc:AlternateContent xmlns:mc="http://schemas.openxmlformats.org/markup-compatibility/2006">
          <mc:Choice Requires="x14">
            <control shapeId="1951" r:id="rId951" name="Button 927">
              <controlPr defaultSize="0" autoFill="0" autoLine="0" autoPict="0" macro="[0]!Sheet1.deleteRow">
                <anchor moveWithCells="1" sizeWithCells="1">
                  <from>
                    <xdr:col>6</xdr:col>
                    <xdr:colOff>0</xdr:colOff>
                    <xdr:row>1535</xdr:row>
                    <xdr:rowOff>0</xdr:rowOff>
                  </from>
                  <to>
                    <xdr:col>7</xdr:col>
                    <xdr:colOff>0</xdr:colOff>
                    <xdr:row>1535</xdr:row>
                    <xdr:rowOff>161925</xdr:rowOff>
                  </to>
                </anchor>
              </controlPr>
            </control>
          </mc:Choice>
        </mc:AlternateContent>
        <mc:AlternateContent xmlns:mc="http://schemas.openxmlformats.org/markup-compatibility/2006">
          <mc:Choice Requires="x14">
            <control shapeId="1950" r:id="rId952" name="Button 926">
              <controlPr defaultSize="0" autoFill="0" autoLine="0" autoPict="0" macro="[0]!Sheet1.deleteProcedure">
                <anchor moveWithCells="1" sizeWithCells="1">
                  <from>
                    <xdr:col>6</xdr:col>
                    <xdr:colOff>0</xdr:colOff>
                    <xdr:row>1538</xdr:row>
                    <xdr:rowOff>0</xdr:rowOff>
                  </from>
                  <to>
                    <xdr:col>7</xdr:col>
                    <xdr:colOff>0</xdr:colOff>
                    <xdr:row>1539</xdr:row>
                    <xdr:rowOff>0</xdr:rowOff>
                  </to>
                </anchor>
              </controlPr>
            </control>
          </mc:Choice>
        </mc:AlternateContent>
        <mc:AlternateContent xmlns:mc="http://schemas.openxmlformats.org/markup-compatibility/2006">
          <mc:Choice Requires="x14">
            <control shapeId="1949" r:id="rId953" name="Button 925">
              <controlPr defaultSize="0" autoFill="0" autoLine="0" autoPict="0" macro="[0]!Sheet1.InsertNewTableRow">
                <anchor moveWithCells="1" sizeWithCells="1">
                  <from>
                    <xdr:col>6</xdr:col>
                    <xdr:colOff>0</xdr:colOff>
                    <xdr:row>1545</xdr:row>
                    <xdr:rowOff>0</xdr:rowOff>
                  </from>
                  <to>
                    <xdr:col>7</xdr:col>
                    <xdr:colOff>0</xdr:colOff>
                    <xdr:row>1545</xdr:row>
                    <xdr:rowOff>38100</xdr:rowOff>
                  </to>
                </anchor>
              </controlPr>
            </control>
          </mc:Choice>
        </mc:AlternateContent>
        <mc:AlternateContent xmlns:mc="http://schemas.openxmlformats.org/markup-compatibility/2006">
          <mc:Choice Requires="x14">
            <control shapeId="1948" r:id="rId954" name="Button 924">
              <controlPr defaultSize="0" autoFill="0" autoLine="0" autoPict="0" macro="[0]!Sheet1.deleteRow">
                <anchor moveWithCells="1" sizeWithCells="1">
                  <from>
                    <xdr:col>6</xdr:col>
                    <xdr:colOff>0</xdr:colOff>
                    <xdr:row>1546</xdr:row>
                    <xdr:rowOff>0</xdr:rowOff>
                  </from>
                  <to>
                    <xdr:col>7</xdr:col>
                    <xdr:colOff>0</xdr:colOff>
                    <xdr:row>1546</xdr:row>
                    <xdr:rowOff>161925</xdr:rowOff>
                  </to>
                </anchor>
              </controlPr>
            </control>
          </mc:Choice>
        </mc:AlternateContent>
        <mc:AlternateContent xmlns:mc="http://schemas.openxmlformats.org/markup-compatibility/2006">
          <mc:Choice Requires="x14">
            <control shapeId="1947" r:id="rId955" name="Button 923">
              <controlPr defaultSize="0" autoFill="0" autoLine="0" autoPict="0" macro="[0]!Sheet1.deleteRow">
                <anchor moveWithCells="1" sizeWithCells="1">
                  <from>
                    <xdr:col>6</xdr:col>
                    <xdr:colOff>0</xdr:colOff>
                    <xdr:row>1547</xdr:row>
                    <xdr:rowOff>0</xdr:rowOff>
                  </from>
                  <to>
                    <xdr:col>7</xdr:col>
                    <xdr:colOff>0</xdr:colOff>
                    <xdr:row>1547</xdr:row>
                    <xdr:rowOff>161925</xdr:rowOff>
                  </to>
                </anchor>
              </controlPr>
            </control>
          </mc:Choice>
        </mc:AlternateContent>
        <mc:AlternateContent xmlns:mc="http://schemas.openxmlformats.org/markup-compatibility/2006">
          <mc:Choice Requires="x14">
            <control shapeId="1946" r:id="rId956" name="Button 922">
              <controlPr defaultSize="0" autoFill="0" autoLine="0" autoPict="0" macro="[0]!Sheet1.deleteRow">
                <anchor moveWithCells="1" sizeWithCells="1">
                  <from>
                    <xdr:col>6</xdr:col>
                    <xdr:colOff>0</xdr:colOff>
                    <xdr:row>1548</xdr:row>
                    <xdr:rowOff>0</xdr:rowOff>
                  </from>
                  <to>
                    <xdr:col>7</xdr:col>
                    <xdr:colOff>0</xdr:colOff>
                    <xdr:row>1548</xdr:row>
                    <xdr:rowOff>161925</xdr:rowOff>
                  </to>
                </anchor>
              </controlPr>
            </control>
          </mc:Choice>
        </mc:AlternateContent>
        <mc:AlternateContent xmlns:mc="http://schemas.openxmlformats.org/markup-compatibility/2006">
          <mc:Choice Requires="x14">
            <control shapeId="1945" r:id="rId957" name="Button 921">
              <controlPr defaultSize="0" autoFill="0" autoLine="0" autoPict="0" macro="[0]!Sheet1.deleteRow">
                <anchor moveWithCells="1" sizeWithCells="1">
                  <from>
                    <xdr:col>6</xdr:col>
                    <xdr:colOff>0</xdr:colOff>
                    <xdr:row>1549</xdr:row>
                    <xdr:rowOff>0</xdr:rowOff>
                  </from>
                  <to>
                    <xdr:col>7</xdr:col>
                    <xdr:colOff>0</xdr:colOff>
                    <xdr:row>1549</xdr:row>
                    <xdr:rowOff>161925</xdr:rowOff>
                  </to>
                </anchor>
              </controlPr>
            </control>
          </mc:Choice>
        </mc:AlternateContent>
        <mc:AlternateContent xmlns:mc="http://schemas.openxmlformats.org/markup-compatibility/2006">
          <mc:Choice Requires="x14">
            <control shapeId="1944" r:id="rId958" name="Button 920">
              <controlPr defaultSize="0" autoFill="0" autoLine="0" autoPict="0" macro="[0]!Sheet1.deleteRow">
                <anchor moveWithCells="1" sizeWithCells="1">
                  <from>
                    <xdr:col>6</xdr:col>
                    <xdr:colOff>0</xdr:colOff>
                    <xdr:row>1550</xdr:row>
                    <xdr:rowOff>0</xdr:rowOff>
                  </from>
                  <to>
                    <xdr:col>7</xdr:col>
                    <xdr:colOff>0</xdr:colOff>
                    <xdr:row>1550</xdr:row>
                    <xdr:rowOff>161925</xdr:rowOff>
                  </to>
                </anchor>
              </controlPr>
            </control>
          </mc:Choice>
        </mc:AlternateContent>
        <mc:AlternateContent xmlns:mc="http://schemas.openxmlformats.org/markup-compatibility/2006">
          <mc:Choice Requires="x14">
            <control shapeId="1943" r:id="rId959" name="Button 919">
              <controlPr defaultSize="0" autoFill="0" autoLine="0" autoPict="0" macro="[0]!Sheet1.deleteProcedure">
                <anchor moveWithCells="1" sizeWithCells="1">
                  <from>
                    <xdr:col>6</xdr:col>
                    <xdr:colOff>0</xdr:colOff>
                    <xdr:row>1553</xdr:row>
                    <xdr:rowOff>0</xdr:rowOff>
                  </from>
                  <to>
                    <xdr:col>7</xdr:col>
                    <xdr:colOff>0</xdr:colOff>
                    <xdr:row>1554</xdr:row>
                    <xdr:rowOff>0</xdr:rowOff>
                  </to>
                </anchor>
              </controlPr>
            </control>
          </mc:Choice>
        </mc:AlternateContent>
        <mc:AlternateContent xmlns:mc="http://schemas.openxmlformats.org/markup-compatibility/2006">
          <mc:Choice Requires="x14">
            <control shapeId="1942" r:id="rId960" name="Button 918">
              <controlPr defaultSize="0" autoFill="0" autoLine="0" autoPict="0" macro="[0]!Sheet1.InsertNewTableRow">
                <anchor moveWithCells="1" sizeWithCells="1">
                  <from>
                    <xdr:col>6</xdr:col>
                    <xdr:colOff>0</xdr:colOff>
                    <xdr:row>1560</xdr:row>
                    <xdr:rowOff>0</xdr:rowOff>
                  </from>
                  <to>
                    <xdr:col>7</xdr:col>
                    <xdr:colOff>0</xdr:colOff>
                    <xdr:row>1560</xdr:row>
                    <xdr:rowOff>38100</xdr:rowOff>
                  </to>
                </anchor>
              </controlPr>
            </control>
          </mc:Choice>
        </mc:AlternateContent>
        <mc:AlternateContent xmlns:mc="http://schemas.openxmlformats.org/markup-compatibility/2006">
          <mc:Choice Requires="x14">
            <control shapeId="1941" r:id="rId961" name="Button 917">
              <controlPr defaultSize="0" autoFill="0" autoLine="0" autoPict="0" macro="[0]!Sheet1.deleteRow">
                <anchor moveWithCells="1" sizeWithCells="1">
                  <from>
                    <xdr:col>6</xdr:col>
                    <xdr:colOff>0</xdr:colOff>
                    <xdr:row>1561</xdr:row>
                    <xdr:rowOff>0</xdr:rowOff>
                  </from>
                  <to>
                    <xdr:col>7</xdr:col>
                    <xdr:colOff>0</xdr:colOff>
                    <xdr:row>1561</xdr:row>
                    <xdr:rowOff>161925</xdr:rowOff>
                  </to>
                </anchor>
              </controlPr>
            </control>
          </mc:Choice>
        </mc:AlternateContent>
        <mc:AlternateContent xmlns:mc="http://schemas.openxmlformats.org/markup-compatibility/2006">
          <mc:Choice Requires="x14">
            <control shapeId="1940" r:id="rId962" name="Button 916">
              <controlPr defaultSize="0" autoFill="0" autoLine="0" autoPict="0" macro="[0]!Sheet1.deleteProcedure">
                <anchor moveWithCells="1" sizeWithCells="1">
                  <from>
                    <xdr:col>6</xdr:col>
                    <xdr:colOff>0</xdr:colOff>
                    <xdr:row>1564</xdr:row>
                    <xdr:rowOff>0</xdr:rowOff>
                  </from>
                  <to>
                    <xdr:col>7</xdr:col>
                    <xdr:colOff>0</xdr:colOff>
                    <xdr:row>1565</xdr:row>
                    <xdr:rowOff>0</xdr:rowOff>
                  </to>
                </anchor>
              </controlPr>
            </control>
          </mc:Choice>
        </mc:AlternateContent>
        <mc:AlternateContent xmlns:mc="http://schemas.openxmlformats.org/markup-compatibility/2006">
          <mc:Choice Requires="x14">
            <control shapeId="1939" r:id="rId963" name="Button 915">
              <controlPr defaultSize="0" autoFill="0" autoLine="0" autoPict="0" macro="[0]!Sheet1.InsertNewTableRow">
                <anchor moveWithCells="1" sizeWithCells="1">
                  <from>
                    <xdr:col>6</xdr:col>
                    <xdr:colOff>0</xdr:colOff>
                    <xdr:row>1571</xdr:row>
                    <xdr:rowOff>0</xdr:rowOff>
                  </from>
                  <to>
                    <xdr:col>7</xdr:col>
                    <xdr:colOff>0</xdr:colOff>
                    <xdr:row>1571</xdr:row>
                    <xdr:rowOff>38100</xdr:rowOff>
                  </to>
                </anchor>
              </controlPr>
            </control>
          </mc:Choice>
        </mc:AlternateContent>
        <mc:AlternateContent xmlns:mc="http://schemas.openxmlformats.org/markup-compatibility/2006">
          <mc:Choice Requires="x14">
            <control shapeId="1938" r:id="rId964" name="Button 914">
              <controlPr defaultSize="0" autoFill="0" autoLine="0" autoPict="0" macro="[0]!Sheet1.deleteRow">
                <anchor moveWithCells="1" sizeWithCells="1">
                  <from>
                    <xdr:col>6</xdr:col>
                    <xdr:colOff>0</xdr:colOff>
                    <xdr:row>1572</xdr:row>
                    <xdr:rowOff>0</xdr:rowOff>
                  </from>
                  <to>
                    <xdr:col>7</xdr:col>
                    <xdr:colOff>0</xdr:colOff>
                    <xdr:row>1572</xdr:row>
                    <xdr:rowOff>161925</xdr:rowOff>
                  </to>
                </anchor>
              </controlPr>
            </control>
          </mc:Choice>
        </mc:AlternateContent>
        <mc:AlternateContent xmlns:mc="http://schemas.openxmlformats.org/markup-compatibility/2006">
          <mc:Choice Requires="x14">
            <control shapeId="1937" r:id="rId965" name="Button 913">
              <controlPr defaultSize="0" autoFill="0" autoLine="0" autoPict="0" macro="[0]!Sheet1.deleteRow">
                <anchor moveWithCells="1" sizeWithCells="1">
                  <from>
                    <xdr:col>6</xdr:col>
                    <xdr:colOff>0</xdr:colOff>
                    <xdr:row>1573</xdr:row>
                    <xdr:rowOff>0</xdr:rowOff>
                  </from>
                  <to>
                    <xdr:col>7</xdr:col>
                    <xdr:colOff>0</xdr:colOff>
                    <xdr:row>1573</xdr:row>
                    <xdr:rowOff>161925</xdr:rowOff>
                  </to>
                </anchor>
              </controlPr>
            </control>
          </mc:Choice>
        </mc:AlternateContent>
        <mc:AlternateContent xmlns:mc="http://schemas.openxmlformats.org/markup-compatibility/2006">
          <mc:Choice Requires="x14">
            <control shapeId="1936" r:id="rId966" name="Button 912">
              <controlPr defaultSize="0" autoFill="0" autoLine="0" autoPict="0" macro="[0]!Sheet1.deleteRow">
                <anchor moveWithCells="1" sizeWithCells="1">
                  <from>
                    <xdr:col>6</xdr:col>
                    <xdr:colOff>0</xdr:colOff>
                    <xdr:row>1574</xdr:row>
                    <xdr:rowOff>0</xdr:rowOff>
                  </from>
                  <to>
                    <xdr:col>7</xdr:col>
                    <xdr:colOff>0</xdr:colOff>
                    <xdr:row>1574</xdr:row>
                    <xdr:rowOff>161925</xdr:rowOff>
                  </to>
                </anchor>
              </controlPr>
            </control>
          </mc:Choice>
        </mc:AlternateContent>
        <mc:AlternateContent xmlns:mc="http://schemas.openxmlformats.org/markup-compatibility/2006">
          <mc:Choice Requires="x14">
            <control shapeId="1935" r:id="rId967" name="Button 911">
              <controlPr defaultSize="0" autoFill="0" autoLine="0" autoPict="0" macro="[0]!Sheet1.deleteRow">
                <anchor moveWithCells="1" sizeWithCells="1">
                  <from>
                    <xdr:col>6</xdr:col>
                    <xdr:colOff>0</xdr:colOff>
                    <xdr:row>1575</xdr:row>
                    <xdr:rowOff>0</xdr:rowOff>
                  </from>
                  <to>
                    <xdr:col>7</xdr:col>
                    <xdr:colOff>0</xdr:colOff>
                    <xdr:row>1575</xdr:row>
                    <xdr:rowOff>161925</xdr:rowOff>
                  </to>
                </anchor>
              </controlPr>
            </control>
          </mc:Choice>
        </mc:AlternateContent>
        <mc:AlternateContent xmlns:mc="http://schemas.openxmlformats.org/markup-compatibility/2006">
          <mc:Choice Requires="x14">
            <control shapeId="1934" r:id="rId968" name="Button 910">
              <controlPr defaultSize="0" autoFill="0" autoLine="0" autoPict="0" macro="[0]!Sheet1.deleteRow">
                <anchor moveWithCells="1" sizeWithCells="1">
                  <from>
                    <xdr:col>6</xdr:col>
                    <xdr:colOff>0</xdr:colOff>
                    <xdr:row>1576</xdr:row>
                    <xdr:rowOff>0</xdr:rowOff>
                  </from>
                  <to>
                    <xdr:col>7</xdr:col>
                    <xdr:colOff>0</xdr:colOff>
                    <xdr:row>1576</xdr:row>
                    <xdr:rowOff>161925</xdr:rowOff>
                  </to>
                </anchor>
              </controlPr>
            </control>
          </mc:Choice>
        </mc:AlternateContent>
        <mc:AlternateContent xmlns:mc="http://schemas.openxmlformats.org/markup-compatibility/2006">
          <mc:Choice Requires="x14">
            <control shapeId="1933" r:id="rId969" name="Button 909">
              <controlPr defaultSize="0" autoFill="0" autoLine="0" autoPict="0" macro="[0]!Sheet1.deleteRow">
                <anchor moveWithCells="1" sizeWithCells="1">
                  <from>
                    <xdr:col>6</xdr:col>
                    <xdr:colOff>0</xdr:colOff>
                    <xdr:row>1577</xdr:row>
                    <xdr:rowOff>0</xdr:rowOff>
                  </from>
                  <to>
                    <xdr:col>7</xdr:col>
                    <xdr:colOff>0</xdr:colOff>
                    <xdr:row>1577</xdr:row>
                    <xdr:rowOff>161925</xdr:rowOff>
                  </to>
                </anchor>
              </controlPr>
            </control>
          </mc:Choice>
        </mc:AlternateContent>
        <mc:AlternateContent xmlns:mc="http://schemas.openxmlformats.org/markup-compatibility/2006">
          <mc:Choice Requires="x14">
            <control shapeId="1932" r:id="rId970" name="Button 908">
              <controlPr defaultSize="0" autoFill="0" autoLine="0" autoPict="0" macro="[0]!Sheet1.deleteRow">
                <anchor moveWithCells="1" sizeWithCells="1">
                  <from>
                    <xdr:col>6</xdr:col>
                    <xdr:colOff>0</xdr:colOff>
                    <xdr:row>1578</xdr:row>
                    <xdr:rowOff>0</xdr:rowOff>
                  </from>
                  <to>
                    <xdr:col>7</xdr:col>
                    <xdr:colOff>0</xdr:colOff>
                    <xdr:row>1578</xdr:row>
                    <xdr:rowOff>161925</xdr:rowOff>
                  </to>
                </anchor>
              </controlPr>
            </control>
          </mc:Choice>
        </mc:AlternateContent>
        <mc:AlternateContent xmlns:mc="http://schemas.openxmlformats.org/markup-compatibility/2006">
          <mc:Choice Requires="x14">
            <control shapeId="1931" r:id="rId971" name="Button 907">
              <controlPr defaultSize="0" autoFill="0" autoLine="0" autoPict="0" macro="[0]!Sheet1.deleteRow">
                <anchor moveWithCells="1" sizeWithCells="1">
                  <from>
                    <xdr:col>6</xdr:col>
                    <xdr:colOff>0</xdr:colOff>
                    <xdr:row>1579</xdr:row>
                    <xdr:rowOff>0</xdr:rowOff>
                  </from>
                  <to>
                    <xdr:col>7</xdr:col>
                    <xdr:colOff>0</xdr:colOff>
                    <xdr:row>1579</xdr:row>
                    <xdr:rowOff>161925</xdr:rowOff>
                  </to>
                </anchor>
              </controlPr>
            </control>
          </mc:Choice>
        </mc:AlternateContent>
        <mc:AlternateContent xmlns:mc="http://schemas.openxmlformats.org/markup-compatibility/2006">
          <mc:Choice Requires="x14">
            <control shapeId="1930" r:id="rId972" name="Button 906">
              <controlPr defaultSize="0" autoFill="0" autoLine="0" autoPict="0" macro="[0]!Sheet1.deleteRow">
                <anchor moveWithCells="1" sizeWithCells="1">
                  <from>
                    <xdr:col>6</xdr:col>
                    <xdr:colOff>0</xdr:colOff>
                    <xdr:row>1580</xdr:row>
                    <xdr:rowOff>0</xdr:rowOff>
                  </from>
                  <to>
                    <xdr:col>7</xdr:col>
                    <xdr:colOff>0</xdr:colOff>
                    <xdr:row>1580</xdr:row>
                    <xdr:rowOff>161925</xdr:rowOff>
                  </to>
                </anchor>
              </controlPr>
            </control>
          </mc:Choice>
        </mc:AlternateContent>
        <mc:AlternateContent xmlns:mc="http://schemas.openxmlformats.org/markup-compatibility/2006">
          <mc:Choice Requires="x14">
            <control shapeId="1929" r:id="rId973" name="Button 905">
              <controlPr defaultSize="0" autoFill="0" autoLine="0" autoPict="0" macro="[0]!Sheet1.deleteRow">
                <anchor moveWithCells="1" sizeWithCells="1">
                  <from>
                    <xdr:col>6</xdr:col>
                    <xdr:colOff>0</xdr:colOff>
                    <xdr:row>1581</xdr:row>
                    <xdr:rowOff>0</xdr:rowOff>
                  </from>
                  <to>
                    <xdr:col>7</xdr:col>
                    <xdr:colOff>0</xdr:colOff>
                    <xdr:row>1581</xdr:row>
                    <xdr:rowOff>161925</xdr:rowOff>
                  </to>
                </anchor>
              </controlPr>
            </control>
          </mc:Choice>
        </mc:AlternateContent>
        <mc:AlternateContent xmlns:mc="http://schemas.openxmlformats.org/markup-compatibility/2006">
          <mc:Choice Requires="x14">
            <control shapeId="1928" r:id="rId974" name="Button 904">
              <controlPr defaultSize="0" autoFill="0" autoLine="0" autoPict="0" macro="[0]!Sheet1.deleteRow">
                <anchor moveWithCells="1" sizeWithCells="1">
                  <from>
                    <xdr:col>6</xdr:col>
                    <xdr:colOff>0</xdr:colOff>
                    <xdr:row>1582</xdr:row>
                    <xdr:rowOff>0</xdr:rowOff>
                  </from>
                  <to>
                    <xdr:col>7</xdr:col>
                    <xdr:colOff>0</xdr:colOff>
                    <xdr:row>1582</xdr:row>
                    <xdr:rowOff>161925</xdr:rowOff>
                  </to>
                </anchor>
              </controlPr>
            </control>
          </mc:Choice>
        </mc:AlternateContent>
        <mc:AlternateContent xmlns:mc="http://schemas.openxmlformats.org/markup-compatibility/2006">
          <mc:Choice Requires="x14">
            <control shapeId="1927" r:id="rId975" name="Button 903">
              <controlPr defaultSize="0" autoFill="0" autoLine="0" autoPict="0" macro="[0]!Sheet1.deleteRow">
                <anchor moveWithCells="1" sizeWithCells="1">
                  <from>
                    <xdr:col>6</xdr:col>
                    <xdr:colOff>0</xdr:colOff>
                    <xdr:row>1583</xdr:row>
                    <xdr:rowOff>0</xdr:rowOff>
                  </from>
                  <to>
                    <xdr:col>7</xdr:col>
                    <xdr:colOff>0</xdr:colOff>
                    <xdr:row>1583</xdr:row>
                    <xdr:rowOff>161925</xdr:rowOff>
                  </to>
                </anchor>
              </controlPr>
            </control>
          </mc:Choice>
        </mc:AlternateContent>
        <mc:AlternateContent xmlns:mc="http://schemas.openxmlformats.org/markup-compatibility/2006">
          <mc:Choice Requires="x14">
            <control shapeId="1926" r:id="rId976" name="Button 902">
              <controlPr defaultSize="0" autoFill="0" autoLine="0" autoPict="0" macro="[0]!Sheet1.deleteRow">
                <anchor moveWithCells="1" sizeWithCells="1">
                  <from>
                    <xdr:col>6</xdr:col>
                    <xdr:colOff>0</xdr:colOff>
                    <xdr:row>1584</xdr:row>
                    <xdr:rowOff>0</xdr:rowOff>
                  </from>
                  <to>
                    <xdr:col>7</xdr:col>
                    <xdr:colOff>0</xdr:colOff>
                    <xdr:row>1584</xdr:row>
                    <xdr:rowOff>161925</xdr:rowOff>
                  </to>
                </anchor>
              </controlPr>
            </control>
          </mc:Choice>
        </mc:AlternateContent>
        <mc:AlternateContent xmlns:mc="http://schemas.openxmlformats.org/markup-compatibility/2006">
          <mc:Choice Requires="x14">
            <control shapeId="1925" r:id="rId977" name="Button 901">
              <controlPr defaultSize="0" autoFill="0" autoLine="0" autoPict="0" macro="[0]!Sheet1.deleteRow">
                <anchor moveWithCells="1" sizeWithCells="1">
                  <from>
                    <xdr:col>6</xdr:col>
                    <xdr:colOff>0</xdr:colOff>
                    <xdr:row>1585</xdr:row>
                    <xdr:rowOff>0</xdr:rowOff>
                  </from>
                  <to>
                    <xdr:col>7</xdr:col>
                    <xdr:colOff>0</xdr:colOff>
                    <xdr:row>1585</xdr:row>
                    <xdr:rowOff>161925</xdr:rowOff>
                  </to>
                </anchor>
              </controlPr>
            </control>
          </mc:Choice>
        </mc:AlternateContent>
        <mc:AlternateContent xmlns:mc="http://schemas.openxmlformats.org/markup-compatibility/2006">
          <mc:Choice Requires="x14">
            <control shapeId="1924" r:id="rId978" name="Button 900">
              <controlPr defaultSize="0" autoFill="0" autoLine="0" autoPict="0" macro="[0]!Sheet1.deleteProcedure">
                <anchor moveWithCells="1" sizeWithCells="1">
                  <from>
                    <xdr:col>6</xdr:col>
                    <xdr:colOff>0</xdr:colOff>
                    <xdr:row>1588</xdr:row>
                    <xdr:rowOff>0</xdr:rowOff>
                  </from>
                  <to>
                    <xdr:col>7</xdr:col>
                    <xdr:colOff>0</xdr:colOff>
                    <xdr:row>1589</xdr:row>
                    <xdr:rowOff>0</xdr:rowOff>
                  </to>
                </anchor>
              </controlPr>
            </control>
          </mc:Choice>
        </mc:AlternateContent>
        <mc:AlternateContent xmlns:mc="http://schemas.openxmlformats.org/markup-compatibility/2006">
          <mc:Choice Requires="x14">
            <control shapeId="1923" r:id="rId979" name="Button 899">
              <controlPr defaultSize="0" autoFill="0" autoLine="0" autoPict="0" macro="[0]!Sheet1.InsertNewTableRow">
                <anchor moveWithCells="1" sizeWithCells="1">
                  <from>
                    <xdr:col>6</xdr:col>
                    <xdr:colOff>0</xdr:colOff>
                    <xdr:row>1595</xdr:row>
                    <xdr:rowOff>0</xdr:rowOff>
                  </from>
                  <to>
                    <xdr:col>7</xdr:col>
                    <xdr:colOff>0</xdr:colOff>
                    <xdr:row>1595</xdr:row>
                    <xdr:rowOff>38100</xdr:rowOff>
                  </to>
                </anchor>
              </controlPr>
            </control>
          </mc:Choice>
        </mc:AlternateContent>
        <mc:AlternateContent xmlns:mc="http://schemas.openxmlformats.org/markup-compatibility/2006">
          <mc:Choice Requires="x14">
            <control shapeId="1922" r:id="rId980" name="Button 898">
              <controlPr defaultSize="0" autoFill="0" autoLine="0" autoPict="0" macro="[0]!Sheet1.deleteRow">
                <anchor moveWithCells="1" sizeWithCells="1">
                  <from>
                    <xdr:col>6</xdr:col>
                    <xdr:colOff>0</xdr:colOff>
                    <xdr:row>1596</xdr:row>
                    <xdr:rowOff>0</xdr:rowOff>
                  </from>
                  <to>
                    <xdr:col>7</xdr:col>
                    <xdr:colOff>0</xdr:colOff>
                    <xdr:row>1596</xdr:row>
                    <xdr:rowOff>161925</xdr:rowOff>
                  </to>
                </anchor>
              </controlPr>
            </control>
          </mc:Choice>
        </mc:AlternateContent>
        <mc:AlternateContent xmlns:mc="http://schemas.openxmlformats.org/markup-compatibility/2006">
          <mc:Choice Requires="x14">
            <control shapeId="1921" r:id="rId981" name="Button 897">
              <controlPr defaultSize="0" autoFill="0" autoLine="0" autoPict="0" macro="[0]!Sheet1.deleteRow">
                <anchor moveWithCells="1" sizeWithCells="1">
                  <from>
                    <xdr:col>6</xdr:col>
                    <xdr:colOff>0</xdr:colOff>
                    <xdr:row>1597</xdr:row>
                    <xdr:rowOff>0</xdr:rowOff>
                  </from>
                  <to>
                    <xdr:col>7</xdr:col>
                    <xdr:colOff>0</xdr:colOff>
                    <xdr:row>1597</xdr:row>
                    <xdr:rowOff>161925</xdr:rowOff>
                  </to>
                </anchor>
              </controlPr>
            </control>
          </mc:Choice>
        </mc:AlternateContent>
        <mc:AlternateContent xmlns:mc="http://schemas.openxmlformats.org/markup-compatibility/2006">
          <mc:Choice Requires="x14">
            <control shapeId="1920" r:id="rId982" name="Button 896">
              <controlPr defaultSize="0" autoFill="0" autoLine="0" autoPict="0" macro="[0]!Sheet1.deleteRow">
                <anchor moveWithCells="1" sizeWithCells="1">
                  <from>
                    <xdr:col>6</xdr:col>
                    <xdr:colOff>0</xdr:colOff>
                    <xdr:row>1598</xdr:row>
                    <xdr:rowOff>0</xdr:rowOff>
                  </from>
                  <to>
                    <xdr:col>7</xdr:col>
                    <xdr:colOff>0</xdr:colOff>
                    <xdr:row>1598</xdr:row>
                    <xdr:rowOff>161925</xdr:rowOff>
                  </to>
                </anchor>
              </controlPr>
            </control>
          </mc:Choice>
        </mc:AlternateContent>
        <mc:AlternateContent xmlns:mc="http://schemas.openxmlformats.org/markup-compatibility/2006">
          <mc:Choice Requires="x14">
            <control shapeId="1919" r:id="rId983" name="Button 895">
              <controlPr defaultSize="0" autoFill="0" autoLine="0" autoPict="0" macro="[0]!Sheet1.deleteRow">
                <anchor moveWithCells="1" sizeWithCells="1">
                  <from>
                    <xdr:col>6</xdr:col>
                    <xdr:colOff>0</xdr:colOff>
                    <xdr:row>1599</xdr:row>
                    <xdr:rowOff>0</xdr:rowOff>
                  </from>
                  <to>
                    <xdr:col>7</xdr:col>
                    <xdr:colOff>0</xdr:colOff>
                    <xdr:row>1599</xdr:row>
                    <xdr:rowOff>161925</xdr:rowOff>
                  </to>
                </anchor>
              </controlPr>
            </control>
          </mc:Choice>
        </mc:AlternateContent>
        <mc:AlternateContent xmlns:mc="http://schemas.openxmlformats.org/markup-compatibility/2006">
          <mc:Choice Requires="x14">
            <control shapeId="1918" r:id="rId984" name="Button 894">
              <controlPr defaultSize="0" autoFill="0" autoLine="0" autoPict="0" macro="[0]!Sheet1.deleteRow">
                <anchor moveWithCells="1" sizeWithCells="1">
                  <from>
                    <xdr:col>6</xdr:col>
                    <xdr:colOff>0</xdr:colOff>
                    <xdr:row>1600</xdr:row>
                    <xdr:rowOff>0</xdr:rowOff>
                  </from>
                  <to>
                    <xdr:col>7</xdr:col>
                    <xdr:colOff>0</xdr:colOff>
                    <xdr:row>1600</xdr:row>
                    <xdr:rowOff>161925</xdr:rowOff>
                  </to>
                </anchor>
              </controlPr>
            </control>
          </mc:Choice>
        </mc:AlternateContent>
        <mc:AlternateContent xmlns:mc="http://schemas.openxmlformats.org/markup-compatibility/2006">
          <mc:Choice Requires="x14">
            <control shapeId="1917" r:id="rId985" name="Button 893">
              <controlPr defaultSize="0" autoFill="0" autoLine="0" autoPict="0" macro="[0]!Sheet1.deleteRow">
                <anchor moveWithCells="1" sizeWithCells="1">
                  <from>
                    <xdr:col>6</xdr:col>
                    <xdr:colOff>0</xdr:colOff>
                    <xdr:row>1601</xdr:row>
                    <xdr:rowOff>0</xdr:rowOff>
                  </from>
                  <to>
                    <xdr:col>7</xdr:col>
                    <xdr:colOff>0</xdr:colOff>
                    <xdr:row>1601</xdr:row>
                    <xdr:rowOff>161925</xdr:rowOff>
                  </to>
                </anchor>
              </controlPr>
            </control>
          </mc:Choice>
        </mc:AlternateContent>
        <mc:AlternateContent xmlns:mc="http://schemas.openxmlformats.org/markup-compatibility/2006">
          <mc:Choice Requires="x14">
            <control shapeId="1916" r:id="rId986" name="Button 892">
              <controlPr defaultSize="0" autoFill="0" autoLine="0" autoPict="0" macro="[0]!Sheet1.deleteRow">
                <anchor moveWithCells="1" sizeWithCells="1">
                  <from>
                    <xdr:col>6</xdr:col>
                    <xdr:colOff>0</xdr:colOff>
                    <xdr:row>1602</xdr:row>
                    <xdr:rowOff>0</xdr:rowOff>
                  </from>
                  <to>
                    <xdr:col>7</xdr:col>
                    <xdr:colOff>0</xdr:colOff>
                    <xdr:row>1602</xdr:row>
                    <xdr:rowOff>161925</xdr:rowOff>
                  </to>
                </anchor>
              </controlPr>
            </control>
          </mc:Choice>
        </mc:AlternateContent>
        <mc:AlternateContent xmlns:mc="http://schemas.openxmlformats.org/markup-compatibility/2006">
          <mc:Choice Requires="x14">
            <control shapeId="1915" r:id="rId987" name="Button 891">
              <controlPr defaultSize="0" autoFill="0" autoLine="0" autoPict="0" macro="[0]!Sheet1.deleteRow">
                <anchor moveWithCells="1" sizeWithCells="1">
                  <from>
                    <xdr:col>6</xdr:col>
                    <xdr:colOff>0</xdr:colOff>
                    <xdr:row>1603</xdr:row>
                    <xdr:rowOff>0</xdr:rowOff>
                  </from>
                  <to>
                    <xdr:col>7</xdr:col>
                    <xdr:colOff>0</xdr:colOff>
                    <xdr:row>1603</xdr:row>
                    <xdr:rowOff>161925</xdr:rowOff>
                  </to>
                </anchor>
              </controlPr>
            </control>
          </mc:Choice>
        </mc:AlternateContent>
        <mc:AlternateContent xmlns:mc="http://schemas.openxmlformats.org/markup-compatibility/2006">
          <mc:Choice Requires="x14">
            <control shapeId="1914" r:id="rId988" name="Button 890">
              <controlPr defaultSize="0" autoFill="0" autoLine="0" autoPict="0" macro="[0]!Sheet1.deleteRow">
                <anchor moveWithCells="1" sizeWithCells="1">
                  <from>
                    <xdr:col>6</xdr:col>
                    <xdr:colOff>0</xdr:colOff>
                    <xdr:row>1604</xdr:row>
                    <xdr:rowOff>0</xdr:rowOff>
                  </from>
                  <to>
                    <xdr:col>7</xdr:col>
                    <xdr:colOff>0</xdr:colOff>
                    <xdr:row>1604</xdr:row>
                    <xdr:rowOff>161925</xdr:rowOff>
                  </to>
                </anchor>
              </controlPr>
            </control>
          </mc:Choice>
        </mc:AlternateContent>
        <mc:AlternateContent xmlns:mc="http://schemas.openxmlformats.org/markup-compatibility/2006">
          <mc:Choice Requires="x14">
            <control shapeId="1913" r:id="rId989" name="Button 889">
              <controlPr defaultSize="0" autoFill="0" autoLine="0" autoPict="0" macro="[0]!Sheet1.deleteProcedure">
                <anchor moveWithCells="1" sizeWithCells="1">
                  <from>
                    <xdr:col>6</xdr:col>
                    <xdr:colOff>0</xdr:colOff>
                    <xdr:row>1607</xdr:row>
                    <xdr:rowOff>0</xdr:rowOff>
                  </from>
                  <to>
                    <xdr:col>7</xdr:col>
                    <xdr:colOff>0</xdr:colOff>
                    <xdr:row>1608</xdr:row>
                    <xdr:rowOff>0</xdr:rowOff>
                  </to>
                </anchor>
              </controlPr>
            </control>
          </mc:Choice>
        </mc:AlternateContent>
        <mc:AlternateContent xmlns:mc="http://schemas.openxmlformats.org/markup-compatibility/2006">
          <mc:Choice Requires="x14">
            <control shapeId="1912" r:id="rId990" name="Button 888">
              <controlPr defaultSize="0" autoFill="0" autoLine="0" autoPict="0" macro="[0]!Sheet1.InsertNewTableRow">
                <anchor moveWithCells="1" sizeWithCells="1">
                  <from>
                    <xdr:col>6</xdr:col>
                    <xdr:colOff>0</xdr:colOff>
                    <xdr:row>1614</xdr:row>
                    <xdr:rowOff>0</xdr:rowOff>
                  </from>
                  <to>
                    <xdr:col>7</xdr:col>
                    <xdr:colOff>0</xdr:colOff>
                    <xdr:row>1614</xdr:row>
                    <xdr:rowOff>38100</xdr:rowOff>
                  </to>
                </anchor>
              </controlPr>
            </control>
          </mc:Choice>
        </mc:AlternateContent>
        <mc:AlternateContent xmlns:mc="http://schemas.openxmlformats.org/markup-compatibility/2006">
          <mc:Choice Requires="x14">
            <control shapeId="1911" r:id="rId991" name="Button 887">
              <controlPr defaultSize="0" autoFill="0" autoLine="0" autoPict="0" macro="[0]!Sheet1.deleteRow">
                <anchor moveWithCells="1" sizeWithCells="1">
                  <from>
                    <xdr:col>6</xdr:col>
                    <xdr:colOff>0</xdr:colOff>
                    <xdr:row>1615</xdr:row>
                    <xdr:rowOff>0</xdr:rowOff>
                  </from>
                  <to>
                    <xdr:col>7</xdr:col>
                    <xdr:colOff>0</xdr:colOff>
                    <xdr:row>1615</xdr:row>
                    <xdr:rowOff>161925</xdr:rowOff>
                  </to>
                </anchor>
              </controlPr>
            </control>
          </mc:Choice>
        </mc:AlternateContent>
        <mc:AlternateContent xmlns:mc="http://schemas.openxmlformats.org/markup-compatibility/2006">
          <mc:Choice Requires="x14">
            <control shapeId="1910" r:id="rId992" name="Button 886">
              <controlPr defaultSize="0" autoFill="0" autoLine="0" autoPict="0" macro="[0]!Sheet1.deleteRow">
                <anchor moveWithCells="1" sizeWithCells="1">
                  <from>
                    <xdr:col>6</xdr:col>
                    <xdr:colOff>0</xdr:colOff>
                    <xdr:row>1616</xdr:row>
                    <xdr:rowOff>0</xdr:rowOff>
                  </from>
                  <to>
                    <xdr:col>7</xdr:col>
                    <xdr:colOff>0</xdr:colOff>
                    <xdr:row>1616</xdr:row>
                    <xdr:rowOff>161925</xdr:rowOff>
                  </to>
                </anchor>
              </controlPr>
            </control>
          </mc:Choice>
        </mc:AlternateContent>
        <mc:AlternateContent xmlns:mc="http://schemas.openxmlformats.org/markup-compatibility/2006">
          <mc:Choice Requires="x14">
            <control shapeId="1909" r:id="rId993" name="Button 885">
              <controlPr defaultSize="0" autoFill="0" autoLine="0" autoPict="0" macro="[0]!Sheet1.deleteRow">
                <anchor moveWithCells="1" sizeWithCells="1">
                  <from>
                    <xdr:col>6</xdr:col>
                    <xdr:colOff>0</xdr:colOff>
                    <xdr:row>1617</xdr:row>
                    <xdr:rowOff>0</xdr:rowOff>
                  </from>
                  <to>
                    <xdr:col>7</xdr:col>
                    <xdr:colOff>0</xdr:colOff>
                    <xdr:row>1617</xdr:row>
                    <xdr:rowOff>161925</xdr:rowOff>
                  </to>
                </anchor>
              </controlPr>
            </control>
          </mc:Choice>
        </mc:AlternateContent>
        <mc:AlternateContent xmlns:mc="http://schemas.openxmlformats.org/markup-compatibility/2006">
          <mc:Choice Requires="x14">
            <control shapeId="1908" r:id="rId994" name="Button 884">
              <controlPr defaultSize="0" autoFill="0" autoLine="0" autoPict="0" macro="[0]!Sheet1.deleteRow">
                <anchor moveWithCells="1" sizeWithCells="1">
                  <from>
                    <xdr:col>6</xdr:col>
                    <xdr:colOff>0</xdr:colOff>
                    <xdr:row>1618</xdr:row>
                    <xdr:rowOff>0</xdr:rowOff>
                  </from>
                  <to>
                    <xdr:col>7</xdr:col>
                    <xdr:colOff>0</xdr:colOff>
                    <xdr:row>1618</xdr:row>
                    <xdr:rowOff>161925</xdr:rowOff>
                  </to>
                </anchor>
              </controlPr>
            </control>
          </mc:Choice>
        </mc:AlternateContent>
        <mc:AlternateContent xmlns:mc="http://schemas.openxmlformats.org/markup-compatibility/2006">
          <mc:Choice Requires="x14">
            <control shapeId="1907" r:id="rId995" name="Button 883">
              <controlPr defaultSize="0" autoFill="0" autoLine="0" autoPict="0" macro="[0]!Sheet1.deleteProcedure">
                <anchor moveWithCells="1" sizeWithCells="1">
                  <from>
                    <xdr:col>6</xdr:col>
                    <xdr:colOff>0</xdr:colOff>
                    <xdr:row>1621</xdr:row>
                    <xdr:rowOff>0</xdr:rowOff>
                  </from>
                  <to>
                    <xdr:col>7</xdr:col>
                    <xdr:colOff>0</xdr:colOff>
                    <xdr:row>1622</xdr:row>
                    <xdr:rowOff>0</xdr:rowOff>
                  </to>
                </anchor>
              </controlPr>
            </control>
          </mc:Choice>
        </mc:AlternateContent>
        <mc:AlternateContent xmlns:mc="http://schemas.openxmlformats.org/markup-compatibility/2006">
          <mc:Choice Requires="x14">
            <control shapeId="1906" r:id="rId996" name="Button 882">
              <controlPr defaultSize="0" autoFill="0" autoLine="0" autoPict="0" macro="[0]!Sheet1.InsertNewTableRow">
                <anchor moveWithCells="1" sizeWithCells="1">
                  <from>
                    <xdr:col>6</xdr:col>
                    <xdr:colOff>0</xdr:colOff>
                    <xdr:row>1628</xdr:row>
                    <xdr:rowOff>0</xdr:rowOff>
                  </from>
                  <to>
                    <xdr:col>7</xdr:col>
                    <xdr:colOff>0</xdr:colOff>
                    <xdr:row>1628</xdr:row>
                    <xdr:rowOff>38100</xdr:rowOff>
                  </to>
                </anchor>
              </controlPr>
            </control>
          </mc:Choice>
        </mc:AlternateContent>
        <mc:AlternateContent xmlns:mc="http://schemas.openxmlformats.org/markup-compatibility/2006">
          <mc:Choice Requires="x14">
            <control shapeId="1905" r:id="rId997" name="Button 881">
              <controlPr defaultSize="0" autoFill="0" autoLine="0" autoPict="0" macro="[0]!Sheet1.deleteRow">
                <anchor moveWithCells="1" sizeWithCells="1">
                  <from>
                    <xdr:col>6</xdr:col>
                    <xdr:colOff>0</xdr:colOff>
                    <xdr:row>1629</xdr:row>
                    <xdr:rowOff>0</xdr:rowOff>
                  </from>
                  <to>
                    <xdr:col>7</xdr:col>
                    <xdr:colOff>0</xdr:colOff>
                    <xdr:row>1629</xdr:row>
                    <xdr:rowOff>161925</xdr:rowOff>
                  </to>
                </anchor>
              </controlPr>
            </control>
          </mc:Choice>
        </mc:AlternateContent>
        <mc:AlternateContent xmlns:mc="http://schemas.openxmlformats.org/markup-compatibility/2006">
          <mc:Choice Requires="x14">
            <control shapeId="1904" r:id="rId998" name="Button 880">
              <controlPr defaultSize="0" autoFill="0" autoLine="0" autoPict="0" macro="[0]!Sheet1.deleteProcedure">
                <anchor moveWithCells="1" sizeWithCells="1">
                  <from>
                    <xdr:col>6</xdr:col>
                    <xdr:colOff>0</xdr:colOff>
                    <xdr:row>1632</xdr:row>
                    <xdr:rowOff>0</xdr:rowOff>
                  </from>
                  <to>
                    <xdr:col>7</xdr:col>
                    <xdr:colOff>0</xdr:colOff>
                    <xdr:row>1633</xdr:row>
                    <xdr:rowOff>0</xdr:rowOff>
                  </to>
                </anchor>
              </controlPr>
            </control>
          </mc:Choice>
        </mc:AlternateContent>
        <mc:AlternateContent xmlns:mc="http://schemas.openxmlformats.org/markup-compatibility/2006">
          <mc:Choice Requires="x14">
            <control shapeId="1903" r:id="rId999" name="Button 879">
              <controlPr defaultSize="0" autoFill="0" autoLine="0" autoPict="0" macro="[0]!Sheet1.InsertNewTableRow">
                <anchor moveWithCells="1" sizeWithCells="1">
                  <from>
                    <xdr:col>6</xdr:col>
                    <xdr:colOff>0</xdr:colOff>
                    <xdr:row>1639</xdr:row>
                    <xdr:rowOff>0</xdr:rowOff>
                  </from>
                  <to>
                    <xdr:col>7</xdr:col>
                    <xdr:colOff>0</xdr:colOff>
                    <xdr:row>1639</xdr:row>
                    <xdr:rowOff>38100</xdr:rowOff>
                  </to>
                </anchor>
              </controlPr>
            </control>
          </mc:Choice>
        </mc:AlternateContent>
        <mc:AlternateContent xmlns:mc="http://schemas.openxmlformats.org/markup-compatibility/2006">
          <mc:Choice Requires="x14">
            <control shapeId="1902" r:id="rId1000" name="Button 878">
              <controlPr defaultSize="0" autoFill="0" autoLine="0" autoPict="0" macro="[0]!Sheet1.deleteRow">
                <anchor moveWithCells="1" sizeWithCells="1">
                  <from>
                    <xdr:col>6</xdr:col>
                    <xdr:colOff>0</xdr:colOff>
                    <xdr:row>1640</xdr:row>
                    <xdr:rowOff>0</xdr:rowOff>
                  </from>
                  <to>
                    <xdr:col>7</xdr:col>
                    <xdr:colOff>0</xdr:colOff>
                    <xdr:row>1640</xdr:row>
                    <xdr:rowOff>161925</xdr:rowOff>
                  </to>
                </anchor>
              </controlPr>
            </control>
          </mc:Choice>
        </mc:AlternateContent>
        <mc:AlternateContent xmlns:mc="http://schemas.openxmlformats.org/markup-compatibility/2006">
          <mc:Choice Requires="x14">
            <control shapeId="1901" r:id="rId1001" name="Button 877">
              <controlPr defaultSize="0" autoFill="0" autoLine="0" autoPict="0" macro="[0]!Sheet1.deleteProcedure">
                <anchor moveWithCells="1" sizeWithCells="1">
                  <from>
                    <xdr:col>6</xdr:col>
                    <xdr:colOff>0</xdr:colOff>
                    <xdr:row>1643</xdr:row>
                    <xdr:rowOff>0</xdr:rowOff>
                  </from>
                  <to>
                    <xdr:col>7</xdr:col>
                    <xdr:colOff>0</xdr:colOff>
                    <xdr:row>1644</xdr:row>
                    <xdr:rowOff>0</xdr:rowOff>
                  </to>
                </anchor>
              </controlPr>
            </control>
          </mc:Choice>
        </mc:AlternateContent>
        <mc:AlternateContent xmlns:mc="http://schemas.openxmlformats.org/markup-compatibility/2006">
          <mc:Choice Requires="x14">
            <control shapeId="1900" r:id="rId1002" name="Button 876">
              <controlPr defaultSize="0" autoFill="0" autoLine="0" autoPict="0" macro="[0]!Sheet1.InsertNewTableRow">
                <anchor moveWithCells="1" sizeWithCells="1">
                  <from>
                    <xdr:col>6</xdr:col>
                    <xdr:colOff>0</xdr:colOff>
                    <xdr:row>1650</xdr:row>
                    <xdr:rowOff>0</xdr:rowOff>
                  </from>
                  <to>
                    <xdr:col>7</xdr:col>
                    <xdr:colOff>0</xdr:colOff>
                    <xdr:row>1650</xdr:row>
                    <xdr:rowOff>38100</xdr:rowOff>
                  </to>
                </anchor>
              </controlPr>
            </control>
          </mc:Choice>
        </mc:AlternateContent>
        <mc:AlternateContent xmlns:mc="http://schemas.openxmlformats.org/markup-compatibility/2006">
          <mc:Choice Requires="x14">
            <control shapeId="1899" r:id="rId1003" name="Button 875">
              <controlPr defaultSize="0" autoFill="0" autoLine="0" autoPict="0" macro="[0]!Sheet1.deleteRow">
                <anchor moveWithCells="1" sizeWithCells="1">
                  <from>
                    <xdr:col>6</xdr:col>
                    <xdr:colOff>0</xdr:colOff>
                    <xdr:row>1651</xdr:row>
                    <xdr:rowOff>0</xdr:rowOff>
                  </from>
                  <to>
                    <xdr:col>7</xdr:col>
                    <xdr:colOff>0</xdr:colOff>
                    <xdr:row>1651</xdr:row>
                    <xdr:rowOff>161925</xdr:rowOff>
                  </to>
                </anchor>
              </controlPr>
            </control>
          </mc:Choice>
        </mc:AlternateContent>
        <mc:AlternateContent xmlns:mc="http://schemas.openxmlformats.org/markup-compatibility/2006">
          <mc:Choice Requires="x14">
            <control shapeId="1898" r:id="rId1004" name="Button 874">
              <controlPr defaultSize="0" autoFill="0" autoLine="0" autoPict="0" macro="[0]!Sheet1.deleteRow">
                <anchor moveWithCells="1" sizeWithCells="1">
                  <from>
                    <xdr:col>6</xdr:col>
                    <xdr:colOff>0</xdr:colOff>
                    <xdr:row>1652</xdr:row>
                    <xdr:rowOff>0</xdr:rowOff>
                  </from>
                  <to>
                    <xdr:col>7</xdr:col>
                    <xdr:colOff>0</xdr:colOff>
                    <xdr:row>1652</xdr:row>
                    <xdr:rowOff>161925</xdr:rowOff>
                  </to>
                </anchor>
              </controlPr>
            </control>
          </mc:Choice>
        </mc:AlternateContent>
        <mc:AlternateContent xmlns:mc="http://schemas.openxmlformats.org/markup-compatibility/2006">
          <mc:Choice Requires="x14">
            <control shapeId="1897" r:id="rId1005" name="Button 873">
              <controlPr defaultSize="0" autoFill="0" autoLine="0" autoPict="0" macro="[0]!Sheet1.deleteRow">
                <anchor moveWithCells="1" sizeWithCells="1">
                  <from>
                    <xdr:col>6</xdr:col>
                    <xdr:colOff>0</xdr:colOff>
                    <xdr:row>1653</xdr:row>
                    <xdr:rowOff>0</xdr:rowOff>
                  </from>
                  <to>
                    <xdr:col>7</xdr:col>
                    <xdr:colOff>0</xdr:colOff>
                    <xdr:row>1653</xdr:row>
                    <xdr:rowOff>161925</xdr:rowOff>
                  </to>
                </anchor>
              </controlPr>
            </control>
          </mc:Choice>
        </mc:AlternateContent>
        <mc:AlternateContent xmlns:mc="http://schemas.openxmlformats.org/markup-compatibility/2006">
          <mc:Choice Requires="x14">
            <control shapeId="1896" r:id="rId1006" name="Button 872">
              <controlPr defaultSize="0" autoFill="0" autoLine="0" autoPict="0" macro="[0]!Sheet1.deleteRow">
                <anchor moveWithCells="1" sizeWithCells="1">
                  <from>
                    <xdr:col>6</xdr:col>
                    <xdr:colOff>0</xdr:colOff>
                    <xdr:row>1654</xdr:row>
                    <xdr:rowOff>0</xdr:rowOff>
                  </from>
                  <to>
                    <xdr:col>7</xdr:col>
                    <xdr:colOff>0</xdr:colOff>
                    <xdr:row>1654</xdr:row>
                    <xdr:rowOff>161925</xdr:rowOff>
                  </to>
                </anchor>
              </controlPr>
            </control>
          </mc:Choice>
        </mc:AlternateContent>
        <mc:AlternateContent xmlns:mc="http://schemas.openxmlformats.org/markup-compatibility/2006">
          <mc:Choice Requires="x14">
            <control shapeId="1895" r:id="rId1007" name="Button 871">
              <controlPr defaultSize="0" autoFill="0" autoLine="0" autoPict="0" macro="[0]!Sheet1.deleteRow">
                <anchor moveWithCells="1" sizeWithCells="1">
                  <from>
                    <xdr:col>6</xdr:col>
                    <xdr:colOff>0</xdr:colOff>
                    <xdr:row>1655</xdr:row>
                    <xdr:rowOff>0</xdr:rowOff>
                  </from>
                  <to>
                    <xdr:col>7</xdr:col>
                    <xdr:colOff>0</xdr:colOff>
                    <xdr:row>1655</xdr:row>
                    <xdr:rowOff>161925</xdr:rowOff>
                  </to>
                </anchor>
              </controlPr>
            </control>
          </mc:Choice>
        </mc:AlternateContent>
        <mc:AlternateContent xmlns:mc="http://schemas.openxmlformats.org/markup-compatibility/2006">
          <mc:Choice Requires="x14">
            <control shapeId="1894" r:id="rId1008" name="Button 870">
              <controlPr defaultSize="0" autoFill="0" autoLine="0" autoPict="0" macro="[0]!Sheet1.deleteRow">
                <anchor moveWithCells="1" sizeWithCells="1">
                  <from>
                    <xdr:col>6</xdr:col>
                    <xdr:colOff>0</xdr:colOff>
                    <xdr:row>1656</xdr:row>
                    <xdr:rowOff>0</xdr:rowOff>
                  </from>
                  <to>
                    <xdr:col>7</xdr:col>
                    <xdr:colOff>0</xdr:colOff>
                    <xdr:row>1656</xdr:row>
                    <xdr:rowOff>161925</xdr:rowOff>
                  </to>
                </anchor>
              </controlPr>
            </control>
          </mc:Choice>
        </mc:AlternateContent>
        <mc:AlternateContent xmlns:mc="http://schemas.openxmlformats.org/markup-compatibility/2006">
          <mc:Choice Requires="x14">
            <control shapeId="1893" r:id="rId1009" name="Button 869">
              <controlPr defaultSize="0" autoFill="0" autoLine="0" autoPict="0" macro="[0]!Sheet1.deleteRow">
                <anchor moveWithCells="1" sizeWithCells="1">
                  <from>
                    <xdr:col>6</xdr:col>
                    <xdr:colOff>0</xdr:colOff>
                    <xdr:row>1657</xdr:row>
                    <xdr:rowOff>0</xdr:rowOff>
                  </from>
                  <to>
                    <xdr:col>7</xdr:col>
                    <xdr:colOff>0</xdr:colOff>
                    <xdr:row>1657</xdr:row>
                    <xdr:rowOff>161925</xdr:rowOff>
                  </to>
                </anchor>
              </controlPr>
            </control>
          </mc:Choice>
        </mc:AlternateContent>
        <mc:AlternateContent xmlns:mc="http://schemas.openxmlformats.org/markup-compatibility/2006">
          <mc:Choice Requires="x14">
            <control shapeId="1892" r:id="rId1010" name="Button 868">
              <controlPr defaultSize="0" autoFill="0" autoLine="0" autoPict="0" macro="[0]!Sheet1.deleteRow">
                <anchor moveWithCells="1" sizeWithCells="1">
                  <from>
                    <xdr:col>6</xdr:col>
                    <xdr:colOff>0</xdr:colOff>
                    <xdr:row>1658</xdr:row>
                    <xdr:rowOff>0</xdr:rowOff>
                  </from>
                  <to>
                    <xdr:col>7</xdr:col>
                    <xdr:colOff>0</xdr:colOff>
                    <xdr:row>1658</xdr:row>
                    <xdr:rowOff>161925</xdr:rowOff>
                  </to>
                </anchor>
              </controlPr>
            </control>
          </mc:Choice>
        </mc:AlternateContent>
        <mc:AlternateContent xmlns:mc="http://schemas.openxmlformats.org/markup-compatibility/2006">
          <mc:Choice Requires="x14">
            <control shapeId="1891" r:id="rId1011" name="Button 867">
              <controlPr defaultSize="0" autoFill="0" autoLine="0" autoPict="0" macro="[0]!Sheet1.deleteRow">
                <anchor moveWithCells="1" sizeWithCells="1">
                  <from>
                    <xdr:col>6</xdr:col>
                    <xdr:colOff>0</xdr:colOff>
                    <xdr:row>1659</xdr:row>
                    <xdr:rowOff>0</xdr:rowOff>
                  </from>
                  <to>
                    <xdr:col>7</xdr:col>
                    <xdr:colOff>0</xdr:colOff>
                    <xdr:row>1659</xdr:row>
                    <xdr:rowOff>161925</xdr:rowOff>
                  </to>
                </anchor>
              </controlPr>
            </control>
          </mc:Choice>
        </mc:AlternateContent>
        <mc:AlternateContent xmlns:mc="http://schemas.openxmlformats.org/markup-compatibility/2006">
          <mc:Choice Requires="x14">
            <control shapeId="1890" r:id="rId1012" name="Button 866">
              <controlPr defaultSize="0" autoFill="0" autoLine="0" autoPict="0" macro="[0]!Sheet1.deleteRow">
                <anchor moveWithCells="1" sizeWithCells="1">
                  <from>
                    <xdr:col>6</xdr:col>
                    <xdr:colOff>0</xdr:colOff>
                    <xdr:row>1660</xdr:row>
                    <xdr:rowOff>0</xdr:rowOff>
                  </from>
                  <to>
                    <xdr:col>7</xdr:col>
                    <xdr:colOff>0</xdr:colOff>
                    <xdr:row>1660</xdr:row>
                    <xdr:rowOff>161925</xdr:rowOff>
                  </to>
                </anchor>
              </controlPr>
            </control>
          </mc:Choice>
        </mc:AlternateContent>
        <mc:AlternateContent xmlns:mc="http://schemas.openxmlformats.org/markup-compatibility/2006">
          <mc:Choice Requires="x14">
            <control shapeId="1889" r:id="rId1013" name="Button 865">
              <controlPr defaultSize="0" autoFill="0" autoLine="0" autoPict="0" macro="[0]!Sheet1.deleteRow">
                <anchor moveWithCells="1" sizeWithCells="1">
                  <from>
                    <xdr:col>6</xdr:col>
                    <xdr:colOff>0</xdr:colOff>
                    <xdr:row>1661</xdr:row>
                    <xdr:rowOff>0</xdr:rowOff>
                  </from>
                  <to>
                    <xdr:col>7</xdr:col>
                    <xdr:colOff>0</xdr:colOff>
                    <xdr:row>1661</xdr:row>
                    <xdr:rowOff>161925</xdr:rowOff>
                  </to>
                </anchor>
              </controlPr>
            </control>
          </mc:Choice>
        </mc:AlternateContent>
        <mc:AlternateContent xmlns:mc="http://schemas.openxmlformats.org/markup-compatibility/2006">
          <mc:Choice Requires="x14">
            <control shapeId="1888" r:id="rId1014" name="Button 864">
              <controlPr defaultSize="0" autoFill="0" autoLine="0" autoPict="0" macro="[0]!Sheet1.deleteRow">
                <anchor moveWithCells="1" sizeWithCells="1">
                  <from>
                    <xdr:col>6</xdr:col>
                    <xdr:colOff>0</xdr:colOff>
                    <xdr:row>1662</xdr:row>
                    <xdr:rowOff>0</xdr:rowOff>
                  </from>
                  <to>
                    <xdr:col>7</xdr:col>
                    <xdr:colOff>0</xdr:colOff>
                    <xdr:row>1662</xdr:row>
                    <xdr:rowOff>161925</xdr:rowOff>
                  </to>
                </anchor>
              </controlPr>
            </control>
          </mc:Choice>
        </mc:AlternateContent>
        <mc:AlternateContent xmlns:mc="http://schemas.openxmlformats.org/markup-compatibility/2006">
          <mc:Choice Requires="x14">
            <control shapeId="1887" r:id="rId1015" name="Button 863">
              <controlPr defaultSize="0" autoFill="0" autoLine="0" autoPict="0" macro="[0]!Sheet1.deleteRow">
                <anchor moveWithCells="1" sizeWithCells="1">
                  <from>
                    <xdr:col>6</xdr:col>
                    <xdr:colOff>0</xdr:colOff>
                    <xdr:row>1663</xdr:row>
                    <xdr:rowOff>0</xdr:rowOff>
                  </from>
                  <to>
                    <xdr:col>7</xdr:col>
                    <xdr:colOff>0</xdr:colOff>
                    <xdr:row>1663</xdr:row>
                    <xdr:rowOff>161925</xdr:rowOff>
                  </to>
                </anchor>
              </controlPr>
            </control>
          </mc:Choice>
        </mc:AlternateContent>
        <mc:AlternateContent xmlns:mc="http://schemas.openxmlformats.org/markup-compatibility/2006">
          <mc:Choice Requires="x14">
            <control shapeId="1886" r:id="rId1016" name="Button 862">
              <controlPr defaultSize="0" autoFill="0" autoLine="0" autoPict="0" macro="[0]!Sheet1.deleteRow">
                <anchor moveWithCells="1" sizeWithCells="1">
                  <from>
                    <xdr:col>6</xdr:col>
                    <xdr:colOff>0</xdr:colOff>
                    <xdr:row>1664</xdr:row>
                    <xdr:rowOff>0</xdr:rowOff>
                  </from>
                  <to>
                    <xdr:col>7</xdr:col>
                    <xdr:colOff>0</xdr:colOff>
                    <xdr:row>1664</xdr:row>
                    <xdr:rowOff>161925</xdr:rowOff>
                  </to>
                </anchor>
              </controlPr>
            </control>
          </mc:Choice>
        </mc:AlternateContent>
        <mc:AlternateContent xmlns:mc="http://schemas.openxmlformats.org/markup-compatibility/2006">
          <mc:Choice Requires="x14">
            <control shapeId="1885" r:id="rId1017" name="Button 861">
              <controlPr defaultSize="0" autoFill="0" autoLine="0" autoPict="0" macro="[0]!Sheet1.deleteRow">
                <anchor moveWithCells="1" sizeWithCells="1">
                  <from>
                    <xdr:col>6</xdr:col>
                    <xdr:colOff>0</xdr:colOff>
                    <xdr:row>1665</xdr:row>
                    <xdr:rowOff>0</xdr:rowOff>
                  </from>
                  <to>
                    <xdr:col>7</xdr:col>
                    <xdr:colOff>0</xdr:colOff>
                    <xdr:row>1665</xdr:row>
                    <xdr:rowOff>161925</xdr:rowOff>
                  </to>
                </anchor>
              </controlPr>
            </control>
          </mc:Choice>
        </mc:AlternateContent>
        <mc:AlternateContent xmlns:mc="http://schemas.openxmlformats.org/markup-compatibility/2006">
          <mc:Choice Requires="x14">
            <control shapeId="1884" r:id="rId1018" name="Button 860">
              <controlPr defaultSize="0" autoFill="0" autoLine="0" autoPict="0" macro="[0]!Sheet1.deleteRow">
                <anchor moveWithCells="1" sizeWithCells="1">
                  <from>
                    <xdr:col>6</xdr:col>
                    <xdr:colOff>0</xdr:colOff>
                    <xdr:row>1666</xdr:row>
                    <xdr:rowOff>0</xdr:rowOff>
                  </from>
                  <to>
                    <xdr:col>7</xdr:col>
                    <xdr:colOff>0</xdr:colOff>
                    <xdr:row>1666</xdr:row>
                    <xdr:rowOff>161925</xdr:rowOff>
                  </to>
                </anchor>
              </controlPr>
            </control>
          </mc:Choice>
        </mc:AlternateContent>
        <mc:AlternateContent xmlns:mc="http://schemas.openxmlformats.org/markup-compatibility/2006">
          <mc:Choice Requires="x14">
            <control shapeId="1883" r:id="rId1019" name="Button 859">
              <controlPr defaultSize="0" autoFill="0" autoLine="0" autoPict="0" macro="[0]!Sheet1.deleteRow">
                <anchor moveWithCells="1" sizeWithCells="1">
                  <from>
                    <xdr:col>6</xdr:col>
                    <xdr:colOff>0</xdr:colOff>
                    <xdr:row>1667</xdr:row>
                    <xdr:rowOff>0</xdr:rowOff>
                  </from>
                  <to>
                    <xdr:col>7</xdr:col>
                    <xdr:colOff>0</xdr:colOff>
                    <xdr:row>1667</xdr:row>
                    <xdr:rowOff>161925</xdr:rowOff>
                  </to>
                </anchor>
              </controlPr>
            </control>
          </mc:Choice>
        </mc:AlternateContent>
        <mc:AlternateContent xmlns:mc="http://schemas.openxmlformats.org/markup-compatibility/2006">
          <mc:Choice Requires="x14">
            <control shapeId="1882" r:id="rId1020" name="Button 858">
              <controlPr defaultSize="0" autoFill="0" autoLine="0" autoPict="0" macro="[0]!Sheet1.deleteRow">
                <anchor moveWithCells="1" sizeWithCells="1">
                  <from>
                    <xdr:col>6</xdr:col>
                    <xdr:colOff>0</xdr:colOff>
                    <xdr:row>1668</xdr:row>
                    <xdr:rowOff>0</xdr:rowOff>
                  </from>
                  <to>
                    <xdr:col>7</xdr:col>
                    <xdr:colOff>0</xdr:colOff>
                    <xdr:row>1668</xdr:row>
                    <xdr:rowOff>161925</xdr:rowOff>
                  </to>
                </anchor>
              </controlPr>
            </control>
          </mc:Choice>
        </mc:AlternateContent>
        <mc:AlternateContent xmlns:mc="http://schemas.openxmlformats.org/markup-compatibility/2006">
          <mc:Choice Requires="x14">
            <control shapeId="1881" r:id="rId1021" name="Button 857">
              <controlPr defaultSize="0" autoFill="0" autoLine="0" autoPict="0" macro="[0]!Sheet1.deleteRow">
                <anchor moveWithCells="1" sizeWithCells="1">
                  <from>
                    <xdr:col>6</xdr:col>
                    <xdr:colOff>0</xdr:colOff>
                    <xdr:row>1669</xdr:row>
                    <xdr:rowOff>0</xdr:rowOff>
                  </from>
                  <to>
                    <xdr:col>7</xdr:col>
                    <xdr:colOff>0</xdr:colOff>
                    <xdr:row>1669</xdr:row>
                    <xdr:rowOff>161925</xdr:rowOff>
                  </to>
                </anchor>
              </controlPr>
            </control>
          </mc:Choice>
        </mc:AlternateContent>
        <mc:AlternateContent xmlns:mc="http://schemas.openxmlformats.org/markup-compatibility/2006">
          <mc:Choice Requires="x14">
            <control shapeId="1880" r:id="rId1022" name="Button 856">
              <controlPr defaultSize="0" autoFill="0" autoLine="0" autoPict="0" macro="[0]!Sheet1.deleteRow">
                <anchor moveWithCells="1" sizeWithCells="1">
                  <from>
                    <xdr:col>6</xdr:col>
                    <xdr:colOff>0</xdr:colOff>
                    <xdr:row>1670</xdr:row>
                    <xdr:rowOff>0</xdr:rowOff>
                  </from>
                  <to>
                    <xdr:col>7</xdr:col>
                    <xdr:colOff>0</xdr:colOff>
                    <xdr:row>1670</xdr:row>
                    <xdr:rowOff>161925</xdr:rowOff>
                  </to>
                </anchor>
              </controlPr>
            </control>
          </mc:Choice>
        </mc:AlternateContent>
        <mc:AlternateContent xmlns:mc="http://schemas.openxmlformats.org/markup-compatibility/2006">
          <mc:Choice Requires="x14">
            <control shapeId="1879" r:id="rId1023" name="Button 855">
              <controlPr defaultSize="0" autoFill="0" autoLine="0" autoPict="0" macro="[0]!Sheet1.deleteRow">
                <anchor moveWithCells="1" sizeWithCells="1">
                  <from>
                    <xdr:col>6</xdr:col>
                    <xdr:colOff>0</xdr:colOff>
                    <xdr:row>1671</xdr:row>
                    <xdr:rowOff>0</xdr:rowOff>
                  </from>
                  <to>
                    <xdr:col>7</xdr:col>
                    <xdr:colOff>0</xdr:colOff>
                    <xdr:row>1671</xdr:row>
                    <xdr:rowOff>161925</xdr:rowOff>
                  </to>
                </anchor>
              </controlPr>
            </control>
          </mc:Choice>
        </mc:AlternateContent>
        <mc:AlternateContent xmlns:mc="http://schemas.openxmlformats.org/markup-compatibility/2006">
          <mc:Choice Requires="x14">
            <control shapeId="1878" r:id="rId1024" name="Button 854">
              <controlPr defaultSize="0" autoFill="0" autoLine="0" autoPict="0" macro="[0]!Sheet1.deleteRow">
                <anchor moveWithCells="1" sizeWithCells="1">
                  <from>
                    <xdr:col>6</xdr:col>
                    <xdr:colOff>0</xdr:colOff>
                    <xdr:row>1672</xdr:row>
                    <xdr:rowOff>0</xdr:rowOff>
                  </from>
                  <to>
                    <xdr:col>7</xdr:col>
                    <xdr:colOff>0</xdr:colOff>
                    <xdr:row>1672</xdr:row>
                    <xdr:rowOff>161925</xdr:rowOff>
                  </to>
                </anchor>
              </controlPr>
            </control>
          </mc:Choice>
        </mc:AlternateContent>
        <mc:AlternateContent xmlns:mc="http://schemas.openxmlformats.org/markup-compatibility/2006">
          <mc:Choice Requires="x14">
            <control shapeId="1877" r:id="rId1025" name="Button 853">
              <controlPr defaultSize="0" autoFill="0" autoLine="0" autoPict="0" macro="[0]!Sheet1.deleteRow">
                <anchor moveWithCells="1" sizeWithCells="1">
                  <from>
                    <xdr:col>6</xdr:col>
                    <xdr:colOff>0</xdr:colOff>
                    <xdr:row>1673</xdr:row>
                    <xdr:rowOff>0</xdr:rowOff>
                  </from>
                  <to>
                    <xdr:col>7</xdr:col>
                    <xdr:colOff>0</xdr:colOff>
                    <xdr:row>1673</xdr:row>
                    <xdr:rowOff>161925</xdr:rowOff>
                  </to>
                </anchor>
              </controlPr>
            </control>
          </mc:Choice>
        </mc:AlternateContent>
        <mc:AlternateContent xmlns:mc="http://schemas.openxmlformats.org/markup-compatibility/2006">
          <mc:Choice Requires="x14">
            <control shapeId="1876" r:id="rId1026" name="Button 852">
              <controlPr defaultSize="0" autoFill="0" autoLine="0" autoPict="0" macro="[0]!Sheet1.deleteRow">
                <anchor moveWithCells="1" sizeWithCells="1">
                  <from>
                    <xdr:col>6</xdr:col>
                    <xdr:colOff>0</xdr:colOff>
                    <xdr:row>1674</xdr:row>
                    <xdr:rowOff>0</xdr:rowOff>
                  </from>
                  <to>
                    <xdr:col>7</xdr:col>
                    <xdr:colOff>0</xdr:colOff>
                    <xdr:row>1674</xdr:row>
                    <xdr:rowOff>161925</xdr:rowOff>
                  </to>
                </anchor>
              </controlPr>
            </control>
          </mc:Choice>
        </mc:AlternateContent>
        <mc:AlternateContent xmlns:mc="http://schemas.openxmlformats.org/markup-compatibility/2006">
          <mc:Choice Requires="x14">
            <control shapeId="1875" r:id="rId1027" name="Button 851">
              <controlPr defaultSize="0" autoFill="0" autoLine="0" autoPict="0" macro="[0]!Sheet1.deleteProcedure">
                <anchor moveWithCells="1" sizeWithCells="1">
                  <from>
                    <xdr:col>6</xdr:col>
                    <xdr:colOff>0</xdr:colOff>
                    <xdr:row>1677</xdr:row>
                    <xdr:rowOff>0</xdr:rowOff>
                  </from>
                  <to>
                    <xdr:col>7</xdr:col>
                    <xdr:colOff>0</xdr:colOff>
                    <xdr:row>1678</xdr:row>
                    <xdr:rowOff>0</xdr:rowOff>
                  </to>
                </anchor>
              </controlPr>
            </control>
          </mc:Choice>
        </mc:AlternateContent>
        <mc:AlternateContent xmlns:mc="http://schemas.openxmlformats.org/markup-compatibility/2006">
          <mc:Choice Requires="x14">
            <control shapeId="1874" r:id="rId1028" name="Button 850">
              <controlPr defaultSize="0" autoFill="0" autoLine="0" autoPict="0" macro="[0]!Sheet1.InsertNewTableRow">
                <anchor moveWithCells="1" sizeWithCells="1">
                  <from>
                    <xdr:col>6</xdr:col>
                    <xdr:colOff>0</xdr:colOff>
                    <xdr:row>1684</xdr:row>
                    <xdr:rowOff>0</xdr:rowOff>
                  </from>
                  <to>
                    <xdr:col>7</xdr:col>
                    <xdr:colOff>0</xdr:colOff>
                    <xdr:row>1684</xdr:row>
                    <xdr:rowOff>38100</xdr:rowOff>
                  </to>
                </anchor>
              </controlPr>
            </control>
          </mc:Choice>
        </mc:AlternateContent>
        <mc:AlternateContent xmlns:mc="http://schemas.openxmlformats.org/markup-compatibility/2006">
          <mc:Choice Requires="x14">
            <control shapeId="1873" r:id="rId1029" name="Button 849">
              <controlPr defaultSize="0" autoFill="0" autoLine="0" autoPict="0" macro="[0]!Sheet1.deleteRow">
                <anchor moveWithCells="1" sizeWithCells="1">
                  <from>
                    <xdr:col>6</xdr:col>
                    <xdr:colOff>0</xdr:colOff>
                    <xdr:row>1685</xdr:row>
                    <xdr:rowOff>0</xdr:rowOff>
                  </from>
                  <to>
                    <xdr:col>7</xdr:col>
                    <xdr:colOff>0</xdr:colOff>
                    <xdr:row>1685</xdr:row>
                    <xdr:rowOff>161925</xdr:rowOff>
                  </to>
                </anchor>
              </controlPr>
            </control>
          </mc:Choice>
        </mc:AlternateContent>
        <mc:AlternateContent xmlns:mc="http://schemas.openxmlformats.org/markup-compatibility/2006">
          <mc:Choice Requires="x14">
            <control shapeId="1872" r:id="rId1030" name="Button 848">
              <controlPr defaultSize="0" autoFill="0" autoLine="0" autoPict="0" macro="[0]!Sheet1.deleteProcedure">
                <anchor moveWithCells="1" sizeWithCells="1">
                  <from>
                    <xdr:col>6</xdr:col>
                    <xdr:colOff>0</xdr:colOff>
                    <xdr:row>1688</xdr:row>
                    <xdr:rowOff>0</xdr:rowOff>
                  </from>
                  <to>
                    <xdr:col>7</xdr:col>
                    <xdr:colOff>0</xdr:colOff>
                    <xdr:row>1689</xdr:row>
                    <xdr:rowOff>0</xdr:rowOff>
                  </to>
                </anchor>
              </controlPr>
            </control>
          </mc:Choice>
        </mc:AlternateContent>
        <mc:AlternateContent xmlns:mc="http://schemas.openxmlformats.org/markup-compatibility/2006">
          <mc:Choice Requires="x14">
            <control shapeId="1871" r:id="rId1031" name="Button 847">
              <controlPr defaultSize="0" autoFill="0" autoLine="0" autoPict="0" macro="[0]!Sheet1.InsertNewTableRow">
                <anchor moveWithCells="1" sizeWithCells="1">
                  <from>
                    <xdr:col>6</xdr:col>
                    <xdr:colOff>0</xdr:colOff>
                    <xdr:row>1695</xdr:row>
                    <xdr:rowOff>0</xdr:rowOff>
                  </from>
                  <to>
                    <xdr:col>7</xdr:col>
                    <xdr:colOff>0</xdr:colOff>
                    <xdr:row>1695</xdr:row>
                    <xdr:rowOff>38100</xdr:rowOff>
                  </to>
                </anchor>
              </controlPr>
            </control>
          </mc:Choice>
        </mc:AlternateContent>
        <mc:AlternateContent xmlns:mc="http://schemas.openxmlformats.org/markup-compatibility/2006">
          <mc:Choice Requires="x14">
            <control shapeId="1870" r:id="rId1032" name="Button 846">
              <controlPr defaultSize="0" autoFill="0" autoLine="0" autoPict="0" macro="[0]!Sheet1.deleteRow">
                <anchor moveWithCells="1" sizeWithCells="1">
                  <from>
                    <xdr:col>6</xdr:col>
                    <xdr:colOff>0</xdr:colOff>
                    <xdr:row>1696</xdr:row>
                    <xdr:rowOff>0</xdr:rowOff>
                  </from>
                  <to>
                    <xdr:col>7</xdr:col>
                    <xdr:colOff>0</xdr:colOff>
                    <xdr:row>1696</xdr:row>
                    <xdr:rowOff>161925</xdr:rowOff>
                  </to>
                </anchor>
              </controlPr>
            </control>
          </mc:Choice>
        </mc:AlternateContent>
        <mc:AlternateContent xmlns:mc="http://schemas.openxmlformats.org/markup-compatibility/2006">
          <mc:Choice Requires="x14">
            <control shapeId="1869" r:id="rId1033" name="Button 845">
              <controlPr defaultSize="0" autoFill="0" autoLine="0" autoPict="0" macro="[0]!Sheet1.deleteRow">
                <anchor moveWithCells="1" sizeWithCells="1">
                  <from>
                    <xdr:col>6</xdr:col>
                    <xdr:colOff>0</xdr:colOff>
                    <xdr:row>1697</xdr:row>
                    <xdr:rowOff>0</xdr:rowOff>
                  </from>
                  <to>
                    <xdr:col>7</xdr:col>
                    <xdr:colOff>0</xdr:colOff>
                    <xdr:row>1697</xdr:row>
                    <xdr:rowOff>161925</xdr:rowOff>
                  </to>
                </anchor>
              </controlPr>
            </control>
          </mc:Choice>
        </mc:AlternateContent>
        <mc:AlternateContent xmlns:mc="http://schemas.openxmlformats.org/markup-compatibility/2006">
          <mc:Choice Requires="x14">
            <control shapeId="1868" r:id="rId1034" name="Button 844">
              <controlPr defaultSize="0" autoFill="0" autoLine="0" autoPict="0" macro="[0]!Sheet1.deleteRow">
                <anchor moveWithCells="1" sizeWithCells="1">
                  <from>
                    <xdr:col>6</xdr:col>
                    <xdr:colOff>0</xdr:colOff>
                    <xdr:row>1698</xdr:row>
                    <xdr:rowOff>0</xdr:rowOff>
                  </from>
                  <to>
                    <xdr:col>7</xdr:col>
                    <xdr:colOff>0</xdr:colOff>
                    <xdr:row>1698</xdr:row>
                    <xdr:rowOff>161925</xdr:rowOff>
                  </to>
                </anchor>
              </controlPr>
            </control>
          </mc:Choice>
        </mc:AlternateContent>
        <mc:AlternateContent xmlns:mc="http://schemas.openxmlformats.org/markup-compatibility/2006">
          <mc:Choice Requires="x14">
            <control shapeId="1867" r:id="rId1035" name="Button 843">
              <controlPr defaultSize="0" autoFill="0" autoLine="0" autoPict="0" macro="[0]!Sheet1.deleteRow">
                <anchor moveWithCells="1" sizeWithCells="1">
                  <from>
                    <xdr:col>6</xdr:col>
                    <xdr:colOff>0</xdr:colOff>
                    <xdr:row>1699</xdr:row>
                    <xdr:rowOff>0</xdr:rowOff>
                  </from>
                  <to>
                    <xdr:col>7</xdr:col>
                    <xdr:colOff>0</xdr:colOff>
                    <xdr:row>1699</xdr:row>
                    <xdr:rowOff>161925</xdr:rowOff>
                  </to>
                </anchor>
              </controlPr>
            </control>
          </mc:Choice>
        </mc:AlternateContent>
        <mc:AlternateContent xmlns:mc="http://schemas.openxmlformats.org/markup-compatibility/2006">
          <mc:Choice Requires="x14">
            <control shapeId="1866" r:id="rId1036" name="Button 842">
              <controlPr defaultSize="0" autoFill="0" autoLine="0" autoPict="0" macro="[0]!Sheet1.deleteRow">
                <anchor moveWithCells="1" sizeWithCells="1">
                  <from>
                    <xdr:col>6</xdr:col>
                    <xdr:colOff>0</xdr:colOff>
                    <xdr:row>1700</xdr:row>
                    <xdr:rowOff>0</xdr:rowOff>
                  </from>
                  <to>
                    <xdr:col>7</xdr:col>
                    <xdr:colOff>0</xdr:colOff>
                    <xdr:row>1700</xdr:row>
                    <xdr:rowOff>161925</xdr:rowOff>
                  </to>
                </anchor>
              </controlPr>
            </control>
          </mc:Choice>
        </mc:AlternateContent>
        <mc:AlternateContent xmlns:mc="http://schemas.openxmlformats.org/markup-compatibility/2006">
          <mc:Choice Requires="x14">
            <control shapeId="1865" r:id="rId1037" name="Button 841">
              <controlPr defaultSize="0" autoFill="0" autoLine="0" autoPict="0" macro="[0]!Sheet1.deleteRow">
                <anchor moveWithCells="1" sizeWithCells="1">
                  <from>
                    <xdr:col>6</xdr:col>
                    <xdr:colOff>0</xdr:colOff>
                    <xdr:row>1701</xdr:row>
                    <xdr:rowOff>0</xdr:rowOff>
                  </from>
                  <to>
                    <xdr:col>7</xdr:col>
                    <xdr:colOff>0</xdr:colOff>
                    <xdr:row>1701</xdr:row>
                    <xdr:rowOff>161925</xdr:rowOff>
                  </to>
                </anchor>
              </controlPr>
            </control>
          </mc:Choice>
        </mc:AlternateContent>
        <mc:AlternateContent xmlns:mc="http://schemas.openxmlformats.org/markup-compatibility/2006">
          <mc:Choice Requires="x14">
            <control shapeId="1864" r:id="rId1038" name="Button 840">
              <controlPr defaultSize="0" autoFill="0" autoLine="0" autoPict="0" macro="[0]!Sheet1.deleteRow">
                <anchor moveWithCells="1" sizeWithCells="1">
                  <from>
                    <xdr:col>6</xdr:col>
                    <xdr:colOff>0</xdr:colOff>
                    <xdr:row>1702</xdr:row>
                    <xdr:rowOff>0</xdr:rowOff>
                  </from>
                  <to>
                    <xdr:col>7</xdr:col>
                    <xdr:colOff>0</xdr:colOff>
                    <xdr:row>1702</xdr:row>
                    <xdr:rowOff>161925</xdr:rowOff>
                  </to>
                </anchor>
              </controlPr>
            </control>
          </mc:Choice>
        </mc:AlternateContent>
        <mc:AlternateContent xmlns:mc="http://schemas.openxmlformats.org/markup-compatibility/2006">
          <mc:Choice Requires="x14">
            <control shapeId="1863" r:id="rId1039" name="Button 839">
              <controlPr defaultSize="0" autoFill="0" autoLine="0" autoPict="0" macro="[0]!Sheet1.deleteRow">
                <anchor moveWithCells="1" sizeWithCells="1">
                  <from>
                    <xdr:col>6</xdr:col>
                    <xdr:colOff>0</xdr:colOff>
                    <xdr:row>1703</xdr:row>
                    <xdr:rowOff>0</xdr:rowOff>
                  </from>
                  <to>
                    <xdr:col>7</xdr:col>
                    <xdr:colOff>0</xdr:colOff>
                    <xdr:row>1703</xdr:row>
                    <xdr:rowOff>161925</xdr:rowOff>
                  </to>
                </anchor>
              </controlPr>
            </control>
          </mc:Choice>
        </mc:AlternateContent>
        <mc:AlternateContent xmlns:mc="http://schemas.openxmlformats.org/markup-compatibility/2006">
          <mc:Choice Requires="x14">
            <control shapeId="1862" r:id="rId1040" name="Button 838">
              <controlPr defaultSize="0" autoFill="0" autoLine="0" autoPict="0" macro="[0]!Sheet1.deleteRow">
                <anchor moveWithCells="1" sizeWithCells="1">
                  <from>
                    <xdr:col>6</xdr:col>
                    <xdr:colOff>0</xdr:colOff>
                    <xdr:row>1704</xdr:row>
                    <xdr:rowOff>0</xdr:rowOff>
                  </from>
                  <to>
                    <xdr:col>7</xdr:col>
                    <xdr:colOff>0</xdr:colOff>
                    <xdr:row>1704</xdr:row>
                    <xdr:rowOff>161925</xdr:rowOff>
                  </to>
                </anchor>
              </controlPr>
            </control>
          </mc:Choice>
        </mc:AlternateContent>
        <mc:AlternateContent xmlns:mc="http://schemas.openxmlformats.org/markup-compatibility/2006">
          <mc:Choice Requires="x14">
            <control shapeId="1861" r:id="rId1041" name="Button 837">
              <controlPr defaultSize="0" autoFill="0" autoLine="0" autoPict="0" macro="[0]!Sheet1.deleteRow">
                <anchor moveWithCells="1" sizeWithCells="1">
                  <from>
                    <xdr:col>6</xdr:col>
                    <xdr:colOff>0</xdr:colOff>
                    <xdr:row>1705</xdr:row>
                    <xdr:rowOff>0</xdr:rowOff>
                  </from>
                  <to>
                    <xdr:col>7</xdr:col>
                    <xdr:colOff>0</xdr:colOff>
                    <xdr:row>1705</xdr:row>
                    <xdr:rowOff>161925</xdr:rowOff>
                  </to>
                </anchor>
              </controlPr>
            </control>
          </mc:Choice>
        </mc:AlternateContent>
        <mc:AlternateContent xmlns:mc="http://schemas.openxmlformats.org/markup-compatibility/2006">
          <mc:Choice Requires="x14">
            <control shapeId="1860" r:id="rId1042" name="Button 836">
              <controlPr defaultSize="0" autoFill="0" autoLine="0" autoPict="0" macro="[0]!Sheet1.deleteRow">
                <anchor moveWithCells="1" sizeWithCells="1">
                  <from>
                    <xdr:col>6</xdr:col>
                    <xdr:colOff>0</xdr:colOff>
                    <xdr:row>1706</xdr:row>
                    <xdr:rowOff>0</xdr:rowOff>
                  </from>
                  <to>
                    <xdr:col>7</xdr:col>
                    <xdr:colOff>0</xdr:colOff>
                    <xdr:row>1706</xdr:row>
                    <xdr:rowOff>161925</xdr:rowOff>
                  </to>
                </anchor>
              </controlPr>
            </control>
          </mc:Choice>
        </mc:AlternateContent>
        <mc:AlternateContent xmlns:mc="http://schemas.openxmlformats.org/markup-compatibility/2006">
          <mc:Choice Requires="x14">
            <control shapeId="1859" r:id="rId1043" name="Button 835">
              <controlPr defaultSize="0" autoFill="0" autoLine="0" autoPict="0" macro="[0]!Sheet1.deleteRow">
                <anchor moveWithCells="1" sizeWithCells="1">
                  <from>
                    <xdr:col>6</xdr:col>
                    <xdr:colOff>0</xdr:colOff>
                    <xdr:row>1707</xdr:row>
                    <xdr:rowOff>0</xdr:rowOff>
                  </from>
                  <to>
                    <xdr:col>7</xdr:col>
                    <xdr:colOff>0</xdr:colOff>
                    <xdr:row>1707</xdr:row>
                    <xdr:rowOff>161925</xdr:rowOff>
                  </to>
                </anchor>
              </controlPr>
            </control>
          </mc:Choice>
        </mc:AlternateContent>
        <mc:AlternateContent xmlns:mc="http://schemas.openxmlformats.org/markup-compatibility/2006">
          <mc:Choice Requires="x14">
            <control shapeId="1858" r:id="rId1044" name="Button 834">
              <controlPr defaultSize="0" autoFill="0" autoLine="0" autoPict="0" macro="[0]!Sheet1.deleteRow">
                <anchor moveWithCells="1" sizeWithCells="1">
                  <from>
                    <xdr:col>6</xdr:col>
                    <xdr:colOff>0</xdr:colOff>
                    <xdr:row>1708</xdr:row>
                    <xdr:rowOff>0</xdr:rowOff>
                  </from>
                  <to>
                    <xdr:col>7</xdr:col>
                    <xdr:colOff>0</xdr:colOff>
                    <xdr:row>1708</xdr:row>
                    <xdr:rowOff>161925</xdr:rowOff>
                  </to>
                </anchor>
              </controlPr>
            </control>
          </mc:Choice>
        </mc:AlternateContent>
        <mc:AlternateContent xmlns:mc="http://schemas.openxmlformats.org/markup-compatibility/2006">
          <mc:Choice Requires="x14">
            <control shapeId="1857" r:id="rId1045" name="Button 833">
              <controlPr defaultSize="0" autoFill="0" autoLine="0" autoPict="0" macro="[0]!Sheet1.deleteRow">
                <anchor moveWithCells="1" sizeWithCells="1">
                  <from>
                    <xdr:col>6</xdr:col>
                    <xdr:colOff>0</xdr:colOff>
                    <xdr:row>1709</xdr:row>
                    <xdr:rowOff>0</xdr:rowOff>
                  </from>
                  <to>
                    <xdr:col>7</xdr:col>
                    <xdr:colOff>0</xdr:colOff>
                    <xdr:row>1709</xdr:row>
                    <xdr:rowOff>161925</xdr:rowOff>
                  </to>
                </anchor>
              </controlPr>
            </control>
          </mc:Choice>
        </mc:AlternateContent>
        <mc:AlternateContent xmlns:mc="http://schemas.openxmlformats.org/markup-compatibility/2006">
          <mc:Choice Requires="x14">
            <control shapeId="1856" r:id="rId1046" name="Button 832">
              <controlPr defaultSize="0" autoFill="0" autoLine="0" autoPict="0" macro="[0]!Sheet1.deleteRow">
                <anchor moveWithCells="1" sizeWithCells="1">
                  <from>
                    <xdr:col>6</xdr:col>
                    <xdr:colOff>0</xdr:colOff>
                    <xdr:row>1710</xdr:row>
                    <xdr:rowOff>0</xdr:rowOff>
                  </from>
                  <to>
                    <xdr:col>7</xdr:col>
                    <xdr:colOff>0</xdr:colOff>
                    <xdr:row>1710</xdr:row>
                    <xdr:rowOff>161925</xdr:rowOff>
                  </to>
                </anchor>
              </controlPr>
            </control>
          </mc:Choice>
        </mc:AlternateContent>
        <mc:AlternateContent xmlns:mc="http://schemas.openxmlformats.org/markup-compatibility/2006">
          <mc:Choice Requires="x14">
            <control shapeId="1855" r:id="rId1047" name="Button 831">
              <controlPr defaultSize="0" autoFill="0" autoLine="0" autoPict="0" macro="[0]!Sheet1.deleteRow">
                <anchor moveWithCells="1" sizeWithCells="1">
                  <from>
                    <xdr:col>6</xdr:col>
                    <xdr:colOff>0</xdr:colOff>
                    <xdr:row>1711</xdr:row>
                    <xdr:rowOff>0</xdr:rowOff>
                  </from>
                  <to>
                    <xdr:col>7</xdr:col>
                    <xdr:colOff>0</xdr:colOff>
                    <xdr:row>1711</xdr:row>
                    <xdr:rowOff>161925</xdr:rowOff>
                  </to>
                </anchor>
              </controlPr>
            </control>
          </mc:Choice>
        </mc:AlternateContent>
        <mc:AlternateContent xmlns:mc="http://schemas.openxmlformats.org/markup-compatibility/2006">
          <mc:Choice Requires="x14">
            <control shapeId="1854" r:id="rId1048" name="Button 830">
              <controlPr defaultSize="0" autoFill="0" autoLine="0" autoPict="0" macro="[0]!Sheet1.deleteRow">
                <anchor moveWithCells="1" sizeWithCells="1">
                  <from>
                    <xdr:col>6</xdr:col>
                    <xdr:colOff>0</xdr:colOff>
                    <xdr:row>1712</xdr:row>
                    <xdr:rowOff>0</xdr:rowOff>
                  </from>
                  <to>
                    <xdr:col>7</xdr:col>
                    <xdr:colOff>0</xdr:colOff>
                    <xdr:row>1712</xdr:row>
                    <xdr:rowOff>161925</xdr:rowOff>
                  </to>
                </anchor>
              </controlPr>
            </control>
          </mc:Choice>
        </mc:AlternateContent>
        <mc:AlternateContent xmlns:mc="http://schemas.openxmlformats.org/markup-compatibility/2006">
          <mc:Choice Requires="x14">
            <control shapeId="1853" r:id="rId1049" name="Button 829">
              <controlPr defaultSize="0" autoFill="0" autoLine="0" autoPict="0" macro="[0]!Sheet1.deleteRow">
                <anchor moveWithCells="1" sizeWithCells="1">
                  <from>
                    <xdr:col>6</xdr:col>
                    <xdr:colOff>0</xdr:colOff>
                    <xdr:row>1713</xdr:row>
                    <xdr:rowOff>0</xdr:rowOff>
                  </from>
                  <to>
                    <xdr:col>7</xdr:col>
                    <xdr:colOff>0</xdr:colOff>
                    <xdr:row>1713</xdr:row>
                    <xdr:rowOff>161925</xdr:rowOff>
                  </to>
                </anchor>
              </controlPr>
            </control>
          </mc:Choice>
        </mc:AlternateContent>
        <mc:AlternateContent xmlns:mc="http://schemas.openxmlformats.org/markup-compatibility/2006">
          <mc:Choice Requires="x14">
            <control shapeId="1852" r:id="rId1050" name="Button 828">
              <controlPr defaultSize="0" autoFill="0" autoLine="0" autoPict="0" macro="[0]!Sheet1.deleteRow">
                <anchor moveWithCells="1" sizeWithCells="1">
                  <from>
                    <xdr:col>6</xdr:col>
                    <xdr:colOff>0</xdr:colOff>
                    <xdr:row>1714</xdr:row>
                    <xdr:rowOff>0</xdr:rowOff>
                  </from>
                  <to>
                    <xdr:col>7</xdr:col>
                    <xdr:colOff>0</xdr:colOff>
                    <xdr:row>1714</xdr:row>
                    <xdr:rowOff>161925</xdr:rowOff>
                  </to>
                </anchor>
              </controlPr>
            </control>
          </mc:Choice>
        </mc:AlternateContent>
        <mc:AlternateContent xmlns:mc="http://schemas.openxmlformats.org/markup-compatibility/2006">
          <mc:Choice Requires="x14">
            <control shapeId="1851" r:id="rId1051" name="Button 827">
              <controlPr defaultSize="0" autoFill="0" autoLine="0" autoPict="0" macro="[0]!Sheet1.deleteRow">
                <anchor moveWithCells="1" sizeWithCells="1">
                  <from>
                    <xdr:col>6</xdr:col>
                    <xdr:colOff>0</xdr:colOff>
                    <xdr:row>1715</xdr:row>
                    <xdr:rowOff>0</xdr:rowOff>
                  </from>
                  <to>
                    <xdr:col>7</xdr:col>
                    <xdr:colOff>0</xdr:colOff>
                    <xdr:row>1715</xdr:row>
                    <xdr:rowOff>161925</xdr:rowOff>
                  </to>
                </anchor>
              </controlPr>
            </control>
          </mc:Choice>
        </mc:AlternateContent>
        <mc:AlternateContent xmlns:mc="http://schemas.openxmlformats.org/markup-compatibility/2006">
          <mc:Choice Requires="x14">
            <control shapeId="1850" r:id="rId1052" name="Button 826">
              <controlPr defaultSize="0" autoFill="0" autoLine="0" autoPict="0" macro="[0]!Sheet1.deleteRow">
                <anchor moveWithCells="1" sizeWithCells="1">
                  <from>
                    <xdr:col>6</xdr:col>
                    <xdr:colOff>0</xdr:colOff>
                    <xdr:row>1716</xdr:row>
                    <xdr:rowOff>0</xdr:rowOff>
                  </from>
                  <to>
                    <xdr:col>7</xdr:col>
                    <xdr:colOff>0</xdr:colOff>
                    <xdr:row>1716</xdr:row>
                    <xdr:rowOff>161925</xdr:rowOff>
                  </to>
                </anchor>
              </controlPr>
            </control>
          </mc:Choice>
        </mc:AlternateContent>
        <mc:AlternateContent xmlns:mc="http://schemas.openxmlformats.org/markup-compatibility/2006">
          <mc:Choice Requires="x14">
            <control shapeId="1849" r:id="rId1053" name="Button 825">
              <controlPr defaultSize="0" autoFill="0" autoLine="0" autoPict="0" macro="[0]!Sheet1.deleteRow">
                <anchor moveWithCells="1" sizeWithCells="1">
                  <from>
                    <xdr:col>6</xdr:col>
                    <xdr:colOff>0</xdr:colOff>
                    <xdr:row>1717</xdr:row>
                    <xdr:rowOff>0</xdr:rowOff>
                  </from>
                  <to>
                    <xdr:col>7</xdr:col>
                    <xdr:colOff>0</xdr:colOff>
                    <xdr:row>1717</xdr:row>
                    <xdr:rowOff>161925</xdr:rowOff>
                  </to>
                </anchor>
              </controlPr>
            </control>
          </mc:Choice>
        </mc:AlternateContent>
        <mc:AlternateContent xmlns:mc="http://schemas.openxmlformats.org/markup-compatibility/2006">
          <mc:Choice Requires="x14">
            <control shapeId="1848" r:id="rId1054" name="Button 824">
              <controlPr defaultSize="0" autoFill="0" autoLine="0" autoPict="0" macro="[0]!Sheet1.deleteRow">
                <anchor moveWithCells="1" sizeWithCells="1">
                  <from>
                    <xdr:col>6</xdr:col>
                    <xdr:colOff>0</xdr:colOff>
                    <xdr:row>1718</xdr:row>
                    <xdr:rowOff>0</xdr:rowOff>
                  </from>
                  <to>
                    <xdr:col>7</xdr:col>
                    <xdr:colOff>0</xdr:colOff>
                    <xdr:row>1718</xdr:row>
                    <xdr:rowOff>161925</xdr:rowOff>
                  </to>
                </anchor>
              </controlPr>
            </control>
          </mc:Choice>
        </mc:AlternateContent>
        <mc:AlternateContent xmlns:mc="http://schemas.openxmlformats.org/markup-compatibility/2006">
          <mc:Choice Requires="x14">
            <control shapeId="1847" r:id="rId1055" name="Button 823">
              <controlPr defaultSize="0" autoFill="0" autoLine="0" autoPict="0" macro="[0]!Sheet1.deleteRow">
                <anchor moveWithCells="1" sizeWithCells="1">
                  <from>
                    <xdr:col>6</xdr:col>
                    <xdr:colOff>0</xdr:colOff>
                    <xdr:row>1719</xdr:row>
                    <xdr:rowOff>0</xdr:rowOff>
                  </from>
                  <to>
                    <xdr:col>7</xdr:col>
                    <xdr:colOff>0</xdr:colOff>
                    <xdr:row>1719</xdr:row>
                    <xdr:rowOff>161925</xdr:rowOff>
                  </to>
                </anchor>
              </controlPr>
            </control>
          </mc:Choice>
        </mc:AlternateContent>
        <mc:AlternateContent xmlns:mc="http://schemas.openxmlformats.org/markup-compatibility/2006">
          <mc:Choice Requires="x14">
            <control shapeId="1846" r:id="rId1056" name="Button 822">
              <controlPr defaultSize="0" autoFill="0" autoLine="0" autoPict="0" macro="[0]!Sheet1.deleteRow">
                <anchor moveWithCells="1" sizeWithCells="1">
                  <from>
                    <xdr:col>6</xdr:col>
                    <xdr:colOff>0</xdr:colOff>
                    <xdr:row>1720</xdr:row>
                    <xdr:rowOff>0</xdr:rowOff>
                  </from>
                  <to>
                    <xdr:col>7</xdr:col>
                    <xdr:colOff>0</xdr:colOff>
                    <xdr:row>1720</xdr:row>
                    <xdr:rowOff>161925</xdr:rowOff>
                  </to>
                </anchor>
              </controlPr>
            </control>
          </mc:Choice>
        </mc:AlternateContent>
        <mc:AlternateContent xmlns:mc="http://schemas.openxmlformats.org/markup-compatibility/2006">
          <mc:Choice Requires="x14">
            <control shapeId="1845" r:id="rId1057" name="Button 821">
              <controlPr defaultSize="0" autoFill="0" autoLine="0" autoPict="0" macro="[0]!Sheet1.deleteRow">
                <anchor moveWithCells="1" sizeWithCells="1">
                  <from>
                    <xdr:col>6</xdr:col>
                    <xdr:colOff>0</xdr:colOff>
                    <xdr:row>1721</xdr:row>
                    <xdr:rowOff>0</xdr:rowOff>
                  </from>
                  <to>
                    <xdr:col>7</xdr:col>
                    <xdr:colOff>0</xdr:colOff>
                    <xdr:row>1721</xdr:row>
                    <xdr:rowOff>161925</xdr:rowOff>
                  </to>
                </anchor>
              </controlPr>
            </control>
          </mc:Choice>
        </mc:AlternateContent>
        <mc:AlternateContent xmlns:mc="http://schemas.openxmlformats.org/markup-compatibility/2006">
          <mc:Choice Requires="x14">
            <control shapeId="1844" r:id="rId1058" name="Button 820">
              <controlPr defaultSize="0" autoFill="0" autoLine="0" autoPict="0" macro="[0]!Sheet1.deleteRow">
                <anchor moveWithCells="1" sizeWithCells="1">
                  <from>
                    <xdr:col>6</xdr:col>
                    <xdr:colOff>0</xdr:colOff>
                    <xdr:row>1722</xdr:row>
                    <xdr:rowOff>0</xdr:rowOff>
                  </from>
                  <to>
                    <xdr:col>7</xdr:col>
                    <xdr:colOff>0</xdr:colOff>
                    <xdr:row>1722</xdr:row>
                    <xdr:rowOff>161925</xdr:rowOff>
                  </to>
                </anchor>
              </controlPr>
            </control>
          </mc:Choice>
        </mc:AlternateContent>
        <mc:AlternateContent xmlns:mc="http://schemas.openxmlformats.org/markup-compatibility/2006">
          <mc:Choice Requires="x14">
            <control shapeId="1843" r:id="rId1059" name="Button 819">
              <controlPr defaultSize="0" autoFill="0" autoLine="0" autoPict="0" macro="[0]!Sheet1.deleteRow">
                <anchor moveWithCells="1" sizeWithCells="1">
                  <from>
                    <xdr:col>6</xdr:col>
                    <xdr:colOff>0</xdr:colOff>
                    <xdr:row>1723</xdr:row>
                    <xdr:rowOff>0</xdr:rowOff>
                  </from>
                  <to>
                    <xdr:col>7</xdr:col>
                    <xdr:colOff>0</xdr:colOff>
                    <xdr:row>1723</xdr:row>
                    <xdr:rowOff>161925</xdr:rowOff>
                  </to>
                </anchor>
              </controlPr>
            </control>
          </mc:Choice>
        </mc:AlternateContent>
        <mc:AlternateContent xmlns:mc="http://schemas.openxmlformats.org/markup-compatibility/2006">
          <mc:Choice Requires="x14">
            <control shapeId="1842" r:id="rId1060" name="Button 818">
              <controlPr defaultSize="0" autoFill="0" autoLine="0" autoPict="0" macro="[0]!Sheet1.deleteRow">
                <anchor moveWithCells="1" sizeWithCells="1">
                  <from>
                    <xdr:col>6</xdr:col>
                    <xdr:colOff>0</xdr:colOff>
                    <xdr:row>1724</xdr:row>
                    <xdr:rowOff>0</xdr:rowOff>
                  </from>
                  <to>
                    <xdr:col>7</xdr:col>
                    <xdr:colOff>0</xdr:colOff>
                    <xdr:row>1724</xdr:row>
                    <xdr:rowOff>161925</xdr:rowOff>
                  </to>
                </anchor>
              </controlPr>
            </control>
          </mc:Choice>
        </mc:AlternateContent>
        <mc:AlternateContent xmlns:mc="http://schemas.openxmlformats.org/markup-compatibility/2006">
          <mc:Choice Requires="x14">
            <control shapeId="1841" r:id="rId1061" name="Button 817">
              <controlPr defaultSize="0" autoFill="0" autoLine="0" autoPict="0" macro="[0]!Sheet1.deleteRow">
                <anchor moveWithCells="1" sizeWithCells="1">
                  <from>
                    <xdr:col>6</xdr:col>
                    <xdr:colOff>0</xdr:colOff>
                    <xdr:row>1725</xdr:row>
                    <xdr:rowOff>0</xdr:rowOff>
                  </from>
                  <to>
                    <xdr:col>7</xdr:col>
                    <xdr:colOff>0</xdr:colOff>
                    <xdr:row>1725</xdr:row>
                    <xdr:rowOff>161925</xdr:rowOff>
                  </to>
                </anchor>
              </controlPr>
            </control>
          </mc:Choice>
        </mc:AlternateContent>
        <mc:AlternateContent xmlns:mc="http://schemas.openxmlformats.org/markup-compatibility/2006">
          <mc:Choice Requires="x14">
            <control shapeId="1840" r:id="rId1062" name="Button 816">
              <controlPr defaultSize="0" autoFill="0" autoLine="0" autoPict="0" macro="[0]!Sheet1.deleteRow">
                <anchor moveWithCells="1" sizeWithCells="1">
                  <from>
                    <xdr:col>6</xdr:col>
                    <xdr:colOff>0</xdr:colOff>
                    <xdr:row>1726</xdr:row>
                    <xdr:rowOff>0</xdr:rowOff>
                  </from>
                  <to>
                    <xdr:col>7</xdr:col>
                    <xdr:colOff>0</xdr:colOff>
                    <xdr:row>1726</xdr:row>
                    <xdr:rowOff>161925</xdr:rowOff>
                  </to>
                </anchor>
              </controlPr>
            </control>
          </mc:Choice>
        </mc:AlternateContent>
        <mc:AlternateContent xmlns:mc="http://schemas.openxmlformats.org/markup-compatibility/2006">
          <mc:Choice Requires="x14">
            <control shapeId="1839" r:id="rId1063" name="Button 815">
              <controlPr defaultSize="0" autoFill="0" autoLine="0" autoPict="0" macro="[0]!Sheet1.deleteRow">
                <anchor moveWithCells="1" sizeWithCells="1">
                  <from>
                    <xdr:col>6</xdr:col>
                    <xdr:colOff>0</xdr:colOff>
                    <xdr:row>1727</xdr:row>
                    <xdr:rowOff>0</xdr:rowOff>
                  </from>
                  <to>
                    <xdr:col>7</xdr:col>
                    <xdr:colOff>0</xdr:colOff>
                    <xdr:row>1727</xdr:row>
                    <xdr:rowOff>161925</xdr:rowOff>
                  </to>
                </anchor>
              </controlPr>
            </control>
          </mc:Choice>
        </mc:AlternateContent>
        <mc:AlternateContent xmlns:mc="http://schemas.openxmlformats.org/markup-compatibility/2006">
          <mc:Choice Requires="x14">
            <control shapeId="1838" r:id="rId1064" name="Button 814">
              <controlPr defaultSize="0" autoFill="0" autoLine="0" autoPict="0" macro="[0]!Sheet1.deleteRow">
                <anchor moveWithCells="1" sizeWithCells="1">
                  <from>
                    <xdr:col>6</xdr:col>
                    <xdr:colOff>0</xdr:colOff>
                    <xdr:row>1728</xdr:row>
                    <xdr:rowOff>0</xdr:rowOff>
                  </from>
                  <to>
                    <xdr:col>7</xdr:col>
                    <xdr:colOff>0</xdr:colOff>
                    <xdr:row>1728</xdr:row>
                    <xdr:rowOff>161925</xdr:rowOff>
                  </to>
                </anchor>
              </controlPr>
            </control>
          </mc:Choice>
        </mc:AlternateContent>
        <mc:AlternateContent xmlns:mc="http://schemas.openxmlformats.org/markup-compatibility/2006">
          <mc:Choice Requires="x14">
            <control shapeId="1837" r:id="rId1065" name="Button 813">
              <controlPr defaultSize="0" autoFill="0" autoLine="0" autoPict="0" macro="[0]!Sheet1.deleteRow">
                <anchor moveWithCells="1" sizeWithCells="1">
                  <from>
                    <xdr:col>6</xdr:col>
                    <xdr:colOff>0</xdr:colOff>
                    <xdr:row>1729</xdr:row>
                    <xdr:rowOff>0</xdr:rowOff>
                  </from>
                  <to>
                    <xdr:col>7</xdr:col>
                    <xdr:colOff>0</xdr:colOff>
                    <xdr:row>1729</xdr:row>
                    <xdr:rowOff>161925</xdr:rowOff>
                  </to>
                </anchor>
              </controlPr>
            </control>
          </mc:Choice>
        </mc:AlternateContent>
        <mc:AlternateContent xmlns:mc="http://schemas.openxmlformats.org/markup-compatibility/2006">
          <mc:Choice Requires="x14">
            <control shapeId="1836" r:id="rId1066" name="Button 812">
              <controlPr defaultSize="0" autoFill="0" autoLine="0" autoPict="0" macro="[0]!Sheet1.deleteRow">
                <anchor moveWithCells="1" sizeWithCells="1">
                  <from>
                    <xdr:col>6</xdr:col>
                    <xdr:colOff>0</xdr:colOff>
                    <xdr:row>1730</xdr:row>
                    <xdr:rowOff>0</xdr:rowOff>
                  </from>
                  <to>
                    <xdr:col>7</xdr:col>
                    <xdr:colOff>0</xdr:colOff>
                    <xdr:row>1730</xdr:row>
                    <xdr:rowOff>161925</xdr:rowOff>
                  </to>
                </anchor>
              </controlPr>
            </control>
          </mc:Choice>
        </mc:AlternateContent>
        <mc:AlternateContent xmlns:mc="http://schemas.openxmlformats.org/markup-compatibility/2006">
          <mc:Choice Requires="x14">
            <control shapeId="1835" r:id="rId1067" name="Button 811">
              <controlPr defaultSize="0" autoFill="0" autoLine="0" autoPict="0" macro="[0]!Sheet1.deleteRow">
                <anchor moveWithCells="1" sizeWithCells="1">
                  <from>
                    <xdr:col>6</xdr:col>
                    <xdr:colOff>0</xdr:colOff>
                    <xdr:row>1731</xdr:row>
                    <xdr:rowOff>0</xdr:rowOff>
                  </from>
                  <to>
                    <xdr:col>7</xdr:col>
                    <xdr:colOff>0</xdr:colOff>
                    <xdr:row>1731</xdr:row>
                    <xdr:rowOff>161925</xdr:rowOff>
                  </to>
                </anchor>
              </controlPr>
            </control>
          </mc:Choice>
        </mc:AlternateContent>
        <mc:AlternateContent xmlns:mc="http://schemas.openxmlformats.org/markup-compatibility/2006">
          <mc:Choice Requires="x14">
            <control shapeId="1834" r:id="rId1068" name="Button 810">
              <controlPr defaultSize="0" autoFill="0" autoLine="0" autoPict="0" macro="[0]!Sheet1.deleteRow">
                <anchor moveWithCells="1" sizeWithCells="1">
                  <from>
                    <xdr:col>6</xdr:col>
                    <xdr:colOff>0</xdr:colOff>
                    <xdr:row>1732</xdr:row>
                    <xdr:rowOff>0</xdr:rowOff>
                  </from>
                  <to>
                    <xdr:col>7</xdr:col>
                    <xdr:colOff>0</xdr:colOff>
                    <xdr:row>1732</xdr:row>
                    <xdr:rowOff>161925</xdr:rowOff>
                  </to>
                </anchor>
              </controlPr>
            </control>
          </mc:Choice>
        </mc:AlternateContent>
        <mc:AlternateContent xmlns:mc="http://schemas.openxmlformats.org/markup-compatibility/2006">
          <mc:Choice Requires="x14">
            <control shapeId="1833" r:id="rId1069" name="Button 809">
              <controlPr defaultSize="0" autoFill="0" autoLine="0" autoPict="0" macro="[0]!Sheet1.deleteRow">
                <anchor moveWithCells="1" sizeWithCells="1">
                  <from>
                    <xdr:col>6</xdr:col>
                    <xdr:colOff>0</xdr:colOff>
                    <xdr:row>1733</xdr:row>
                    <xdr:rowOff>0</xdr:rowOff>
                  </from>
                  <to>
                    <xdr:col>7</xdr:col>
                    <xdr:colOff>0</xdr:colOff>
                    <xdr:row>1733</xdr:row>
                    <xdr:rowOff>161925</xdr:rowOff>
                  </to>
                </anchor>
              </controlPr>
            </control>
          </mc:Choice>
        </mc:AlternateContent>
        <mc:AlternateContent xmlns:mc="http://schemas.openxmlformats.org/markup-compatibility/2006">
          <mc:Choice Requires="x14">
            <control shapeId="1832" r:id="rId1070" name="Button 808">
              <controlPr defaultSize="0" autoFill="0" autoLine="0" autoPict="0" macro="[0]!Sheet1.deleteRow">
                <anchor moveWithCells="1" sizeWithCells="1">
                  <from>
                    <xdr:col>6</xdr:col>
                    <xdr:colOff>0</xdr:colOff>
                    <xdr:row>1734</xdr:row>
                    <xdr:rowOff>0</xdr:rowOff>
                  </from>
                  <to>
                    <xdr:col>7</xdr:col>
                    <xdr:colOff>0</xdr:colOff>
                    <xdr:row>1734</xdr:row>
                    <xdr:rowOff>161925</xdr:rowOff>
                  </to>
                </anchor>
              </controlPr>
            </control>
          </mc:Choice>
        </mc:AlternateContent>
        <mc:AlternateContent xmlns:mc="http://schemas.openxmlformats.org/markup-compatibility/2006">
          <mc:Choice Requires="x14">
            <control shapeId="1831" r:id="rId1071" name="Button 807">
              <controlPr defaultSize="0" autoFill="0" autoLine="0" autoPict="0" macro="[0]!Sheet1.deleteRow">
                <anchor moveWithCells="1" sizeWithCells="1">
                  <from>
                    <xdr:col>6</xdr:col>
                    <xdr:colOff>0</xdr:colOff>
                    <xdr:row>1735</xdr:row>
                    <xdr:rowOff>0</xdr:rowOff>
                  </from>
                  <to>
                    <xdr:col>7</xdr:col>
                    <xdr:colOff>0</xdr:colOff>
                    <xdr:row>1735</xdr:row>
                    <xdr:rowOff>161925</xdr:rowOff>
                  </to>
                </anchor>
              </controlPr>
            </control>
          </mc:Choice>
        </mc:AlternateContent>
        <mc:AlternateContent xmlns:mc="http://schemas.openxmlformats.org/markup-compatibility/2006">
          <mc:Choice Requires="x14">
            <control shapeId="1830" r:id="rId1072" name="Button 806">
              <controlPr defaultSize="0" autoFill="0" autoLine="0" autoPict="0" macro="[0]!Sheet1.deleteRow">
                <anchor moveWithCells="1" sizeWithCells="1">
                  <from>
                    <xdr:col>6</xdr:col>
                    <xdr:colOff>0</xdr:colOff>
                    <xdr:row>1736</xdr:row>
                    <xdr:rowOff>0</xdr:rowOff>
                  </from>
                  <to>
                    <xdr:col>7</xdr:col>
                    <xdr:colOff>0</xdr:colOff>
                    <xdr:row>1736</xdr:row>
                    <xdr:rowOff>161925</xdr:rowOff>
                  </to>
                </anchor>
              </controlPr>
            </control>
          </mc:Choice>
        </mc:AlternateContent>
        <mc:AlternateContent xmlns:mc="http://schemas.openxmlformats.org/markup-compatibility/2006">
          <mc:Choice Requires="x14">
            <control shapeId="1829" r:id="rId1073" name="Button 805">
              <controlPr defaultSize="0" autoFill="0" autoLine="0" autoPict="0" macro="[0]!Sheet1.deleteRow">
                <anchor moveWithCells="1" sizeWithCells="1">
                  <from>
                    <xdr:col>6</xdr:col>
                    <xdr:colOff>0</xdr:colOff>
                    <xdr:row>1737</xdr:row>
                    <xdr:rowOff>0</xdr:rowOff>
                  </from>
                  <to>
                    <xdr:col>7</xdr:col>
                    <xdr:colOff>0</xdr:colOff>
                    <xdr:row>1737</xdr:row>
                    <xdr:rowOff>161925</xdr:rowOff>
                  </to>
                </anchor>
              </controlPr>
            </control>
          </mc:Choice>
        </mc:AlternateContent>
        <mc:AlternateContent xmlns:mc="http://schemas.openxmlformats.org/markup-compatibility/2006">
          <mc:Choice Requires="x14">
            <control shapeId="1828" r:id="rId1074" name="Button 804">
              <controlPr defaultSize="0" autoFill="0" autoLine="0" autoPict="0" macro="[0]!Sheet1.deleteRow">
                <anchor moveWithCells="1" sizeWithCells="1">
                  <from>
                    <xdr:col>6</xdr:col>
                    <xdr:colOff>0</xdr:colOff>
                    <xdr:row>1738</xdr:row>
                    <xdr:rowOff>0</xdr:rowOff>
                  </from>
                  <to>
                    <xdr:col>7</xdr:col>
                    <xdr:colOff>0</xdr:colOff>
                    <xdr:row>1738</xdr:row>
                    <xdr:rowOff>161925</xdr:rowOff>
                  </to>
                </anchor>
              </controlPr>
            </control>
          </mc:Choice>
        </mc:AlternateContent>
        <mc:AlternateContent xmlns:mc="http://schemas.openxmlformats.org/markup-compatibility/2006">
          <mc:Choice Requires="x14">
            <control shapeId="1827" r:id="rId1075" name="Button 803">
              <controlPr defaultSize="0" autoFill="0" autoLine="0" autoPict="0" macro="[0]!Sheet1.deleteRow">
                <anchor moveWithCells="1" sizeWithCells="1">
                  <from>
                    <xdr:col>6</xdr:col>
                    <xdr:colOff>0</xdr:colOff>
                    <xdr:row>1739</xdr:row>
                    <xdr:rowOff>0</xdr:rowOff>
                  </from>
                  <to>
                    <xdr:col>7</xdr:col>
                    <xdr:colOff>0</xdr:colOff>
                    <xdr:row>1739</xdr:row>
                    <xdr:rowOff>161925</xdr:rowOff>
                  </to>
                </anchor>
              </controlPr>
            </control>
          </mc:Choice>
        </mc:AlternateContent>
        <mc:AlternateContent xmlns:mc="http://schemas.openxmlformats.org/markup-compatibility/2006">
          <mc:Choice Requires="x14">
            <control shapeId="1826" r:id="rId1076" name="Button 802">
              <controlPr defaultSize="0" autoFill="0" autoLine="0" autoPict="0" macro="[0]!Sheet1.deleteRow">
                <anchor moveWithCells="1" sizeWithCells="1">
                  <from>
                    <xdr:col>6</xdr:col>
                    <xdr:colOff>0</xdr:colOff>
                    <xdr:row>1740</xdr:row>
                    <xdr:rowOff>0</xdr:rowOff>
                  </from>
                  <to>
                    <xdr:col>7</xdr:col>
                    <xdr:colOff>0</xdr:colOff>
                    <xdr:row>1740</xdr:row>
                    <xdr:rowOff>161925</xdr:rowOff>
                  </to>
                </anchor>
              </controlPr>
            </control>
          </mc:Choice>
        </mc:AlternateContent>
        <mc:AlternateContent xmlns:mc="http://schemas.openxmlformats.org/markup-compatibility/2006">
          <mc:Choice Requires="x14">
            <control shapeId="1825" r:id="rId1077" name="Button 801">
              <controlPr defaultSize="0" autoFill="0" autoLine="0" autoPict="0" macro="[0]!Sheet1.deleteRow">
                <anchor moveWithCells="1" sizeWithCells="1">
                  <from>
                    <xdr:col>6</xdr:col>
                    <xdr:colOff>0</xdr:colOff>
                    <xdr:row>1741</xdr:row>
                    <xdr:rowOff>0</xdr:rowOff>
                  </from>
                  <to>
                    <xdr:col>7</xdr:col>
                    <xdr:colOff>0</xdr:colOff>
                    <xdr:row>1741</xdr:row>
                    <xdr:rowOff>161925</xdr:rowOff>
                  </to>
                </anchor>
              </controlPr>
            </control>
          </mc:Choice>
        </mc:AlternateContent>
        <mc:AlternateContent xmlns:mc="http://schemas.openxmlformats.org/markup-compatibility/2006">
          <mc:Choice Requires="x14">
            <control shapeId="1824" r:id="rId1078" name="Button 800">
              <controlPr defaultSize="0" autoFill="0" autoLine="0" autoPict="0" macro="[0]!Sheet1.deleteRow">
                <anchor moveWithCells="1" sizeWithCells="1">
                  <from>
                    <xdr:col>6</xdr:col>
                    <xdr:colOff>0</xdr:colOff>
                    <xdr:row>1742</xdr:row>
                    <xdr:rowOff>0</xdr:rowOff>
                  </from>
                  <to>
                    <xdr:col>7</xdr:col>
                    <xdr:colOff>0</xdr:colOff>
                    <xdr:row>1742</xdr:row>
                    <xdr:rowOff>161925</xdr:rowOff>
                  </to>
                </anchor>
              </controlPr>
            </control>
          </mc:Choice>
        </mc:AlternateContent>
        <mc:AlternateContent xmlns:mc="http://schemas.openxmlformats.org/markup-compatibility/2006">
          <mc:Choice Requires="x14">
            <control shapeId="1823" r:id="rId1079" name="Button 799">
              <controlPr defaultSize="0" autoFill="0" autoLine="0" autoPict="0" macro="[0]!Sheet1.deleteRow">
                <anchor moveWithCells="1" sizeWithCells="1">
                  <from>
                    <xdr:col>6</xdr:col>
                    <xdr:colOff>0</xdr:colOff>
                    <xdr:row>1743</xdr:row>
                    <xdr:rowOff>0</xdr:rowOff>
                  </from>
                  <to>
                    <xdr:col>7</xdr:col>
                    <xdr:colOff>0</xdr:colOff>
                    <xdr:row>1743</xdr:row>
                    <xdr:rowOff>161925</xdr:rowOff>
                  </to>
                </anchor>
              </controlPr>
            </control>
          </mc:Choice>
        </mc:AlternateContent>
        <mc:AlternateContent xmlns:mc="http://schemas.openxmlformats.org/markup-compatibility/2006">
          <mc:Choice Requires="x14">
            <control shapeId="1822" r:id="rId1080" name="Button 798">
              <controlPr defaultSize="0" autoFill="0" autoLine="0" autoPict="0" macro="[0]!Sheet1.deleteRow">
                <anchor moveWithCells="1" sizeWithCells="1">
                  <from>
                    <xdr:col>6</xdr:col>
                    <xdr:colOff>0</xdr:colOff>
                    <xdr:row>1744</xdr:row>
                    <xdr:rowOff>0</xdr:rowOff>
                  </from>
                  <to>
                    <xdr:col>7</xdr:col>
                    <xdr:colOff>0</xdr:colOff>
                    <xdr:row>1744</xdr:row>
                    <xdr:rowOff>161925</xdr:rowOff>
                  </to>
                </anchor>
              </controlPr>
            </control>
          </mc:Choice>
        </mc:AlternateContent>
        <mc:AlternateContent xmlns:mc="http://schemas.openxmlformats.org/markup-compatibility/2006">
          <mc:Choice Requires="x14">
            <control shapeId="1821" r:id="rId1081" name="Button 797">
              <controlPr defaultSize="0" autoFill="0" autoLine="0" autoPict="0" macro="[0]!Sheet1.deleteRow">
                <anchor moveWithCells="1" sizeWithCells="1">
                  <from>
                    <xdr:col>6</xdr:col>
                    <xdr:colOff>0</xdr:colOff>
                    <xdr:row>1745</xdr:row>
                    <xdr:rowOff>0</xdr:rowOff>
                  </from>
                  <to>
                    <xdr:col>7</xdr:col>
                    <xdr:colOff>0</xdr:colOff>
                    <xdr:row>1745</xdr:row>
                    <xdr:rowOff>161925</xdr:rowOff>
                  </to>
                </anchor>
              </controlPr>
            </control>
          </mc:Choice>
        </mc:AlternateContent>
        <mc:AlternateContent xmlns:mc="http://schemas.openxmlformats.org/markup-compatibility/2006">
          <mc:Choice Requires="x14">
            <control shapeId="1820" r:id="rId1082" name="Button 796">
              <controlPr defaultSize="0" autoFill="0" autoLine="0" autoPict="0" macro="[0]!Sheet1.deleteRow">
                <anchor moveWithCells="1" sizeWithCells="1">
                  <from>
                    <xdr:col>6</xdr:col>
                    <xdr:colOff>0</xdr:colOff>
                    <xdr:row>1746</xdr:row>
                    <xdr:rowOff>0</xdr:rowOff>
                  </from>
                  <to>
                    <xdr:col>7</xdr:col>
                    <xdr:colOff>0</xdr:colOff>
                    <xdr:row>1746</xdr:row>
                    <xdr:rowOff>161925</xdr:rowOff>
                  </to>
                </anchor>
              </controlPr>
            </control>
          </mc:Choice>
        </mc:AlternateContent>
        <mc:AlternateContent xmlns:mc="http://schemas.openxmlformats.org/markup-compatibility/2006">
          <mc:Choice Requires="x14">
            <control shapeId="1819" r:id="rId1083" name="Button 795">
              <controlPr defaultSize="0" autoFill="0" autoLine="0" autoPict="0" macro="[0]!Sheet1.deleteRow">
                <anchor moveWithCells="1" sizeWithCells="1">
                  <from>
                    <xdr:col>6</xdr:col>
                    <xdr:colOff>0</xdr:colOff>
                    <xdr:row>1747</xdr:row>
                    <xdr:rowOff>0</xdr:rowOff>
                  </from>
                  <to>
                    <xdr:col>7</xdr:col>
                    <xdr:colOff>0</xdr:colOff>
                    <xdr:row>1747</xdr:row>
                    <xdr:rowOff>161925</xdr:rowOff>
                  </to>
                </anchor>
              </controlPr>
            </control>
          </mc:Choice>
        </mc:AlternateContent>
        <mc:AlternateContent xmlns:mc="http://schemas.openxmlformats.org/markup-compatibility/2006">
          <mc:Choice Requires="x14">
            <control shapeId="1818" r:id="rId1084" name="Button 794">
              <controlPr defaultSize="0" autoFill="0" autoLine="0" autoPict="0" macro="[0]!Sheet1.deleteRow">
                <anchor moveWithCells="1" sizeWithCells="1">
                  <from>
                    <xdr:col>6</xdr:col>
                    <xdr:colOff>0</xdr:colOff>
                    <xdr:row>1748</xdr:row>
                    <xdr:rowOff>0</xdr:rowOff>
                  </from>
                  <to>
                    <xdr:col>7</xdr:col>
                    <xdr:colOff>0</xdr:colOff>
                    <xdr:row>1748</xdr:row>
                    <xdr:rowOff>161925</xdr:rowOff>
                  </to>
                </anchor>
              </controlPr>
            </control>
          </mc:Choice>
        </mc:AlternateContent>
        <mc:AlternateContent xmlns:mc="http://schemas.openxmlformats.org/markup-compatibility/2006">
          <mc:Choice Requires="x14">
            <control shapeId="1817" r:id="rId1085" name="Button 793">
              <controlPr defaultSize="0" autoFill="0" autoLine="0" autoPict="0" macro="[0]!Sheet1.deleteRow">
                <anchor moveWithCells="1" sizeWithCells="1">
                  <from>
                    <xdr:col>6</xdr:col>
                    <xdr:colOff>0</xdr:colOff>
                    <xdr:row>1749</xdr:row>
                    <xdr:rowOff>0</xdr:rowOff>
                  </from>
                  <to>
                    <xdr:col>7</xdr:col>
                    <xdr:colOff>0</xdr:colOff>
                    <xdr:row>1749</xdr:row>
                    <xdr:rowOff>161925</xdr:rowOff>
                  </to>
                </anchor>
              </controlPr>
            </control>
          </mc:Choice>
        </mc:AlternateContent>
        <mc:AlternateContent xmlns:mc="http://schemas.openxmlformats.org/markup-compatibility/2006">
          <mc:Choice Requires="x14">
            <control shapeId="1816" r:id="rId1086" name="Button 792">
              <controlPr defaultSize="0" autoFill="0" autoLine="0" autoPict="0" macro="[0]!Sheet1.deleteRow">
                <anchor moveWithCells="1" sizeWithCells="1">
                  <from>
                    <xdr:col>6</xdr:col>
                    <xdr:colOff>0</xdr:colOff>
                    <xdr:row>1750</xdr:row>
                    <xdr:rowOff>0</xdr:rowOff>
                  </from>
                  <to>
                    <xdr:col>7</xdr:col>
                    <xdr:colOff>0</xdr:colOff>
                    <xdr:row>1750</xdr:row>
                    <xdr:rowOff>161925</xdr:rowOff>
                  </to>
                </anchor>
              </controlPr>
            </control>
          </mc:Choice>
        </mc:AlternateContent>
        <mc:AlternateContent xmlns:mc="http://schemas.openxmlformats.org/markup-compatibility/2006">
          <mc:Choice Requires="x14">
            <control shapeId="1815" r:id="rId1087" name="Button 791">
              <controlPr defaultSize="0" autoFill="0" autoLine="0" autoPict="0" macro="[0]!Sheet1.deleteRow">
                <anchor moveWithCells="1" sizeWithCells="1">
                  <from>
                    <xdr:col>6</xdr:col>
                    <xdr:colOff>0</xdr:colOff>
                    <xdr:row>1751</xdr:row>
                    <xdr:rowOff>0</xdr:rowOff>
                  </from>
                  <to>
                    <xdr:col>7</xdr:col>
                    <xdr:colOff>0</xdr:colOff>
                    <xdr:row>1751</xdr:row>
                    <xdr:rowOff>161925</xdr:rowOff>
                  </to>
                </anchor>
              </controlPr>
            </control>
          </mc:Choice>
        </mc:AlternateContent>
        <mc:AlternateContent xmlns:mc="http://schemas.openxmlformats.org/markup-compatibility/2006">
          <mc:Choice Requires="x14">
            <control shapeId="1814" r:id="rId1088" name="Button 790">
              <controlPr defaultSize="0" autoFill="0" autoLine="0" autoPict="0" macro="[0]!Sheet1.deleteRow">
                <anchor moveWithCells="1" sizeWithCells="1">
                  <from>
                    <xdr:col>6</xdr:col>
                    <xdr:colOff>0</xdr:colOff>
                    <xdr:row>1752</xdr:row>
                    <xdr:rowOff>0</xdr:rowOff>
                  </from>
                  <to>
                    <xdr:col>7</xdr:col>
                    <xdr:colOff>0</xdr:colOff>
                    <xdr:row>1752</xdr:row>
                    <xdr:rowOff>161925</xdr:rowOff>
                  </to>
                </anchor>
              </controlPr>
            </control>
          </mc:Choice>
        </mc:AlternateContent>
        <mc:AlternateContent xmlns:mc="http://schemas.openxmlformats.org/markup-compatibility/2006">
          <mc:Choice Requires="x14">
            <control shapeId="1813" r:id="rId1089" name="Button 789">
              <controlPr defaultSize="0" autoFill="0" autoLine="0" autoPict="0" macro="[0]!Sheet1.deleteRow">
                <anchor moveWithCells="1" sizeWithCells="1">
                  <from>
                    <xdr:col>6</xdr:col>
                    <xdr:colOff>0</xdr:colOff>
                    <xdr:row>1753</xdr:row>
                    <xdr:rowOff>0</xdr:rowOff>
                  </from>
                  <to>
                    <xdr:col>7</xdr:col>
                    <xdr:colOff>0</xdr:colOff>
                    <xdr:row>1753</xdr:row>
                    <xdr:rowOff>161925</xdr:rowOff>
                  </to>
                </anchor>
              </controlPr>
            </control>
          </mc:Choice>
        </mc:AlternateContent>
        <mc:AlternateContent xmlns:mc="http://schemas.openxmlformats.org/markup-compatibility/2006">
          <mc:Choice Requires="x14">
            <control shapeId="1812" r:id="rId1090" name="Button 788">
              <controlPr defaultSize="0" autoFill="0" autoLine="0" autoPict="0" macro="[0]!Sheet1.deleteRow">
                <anchor moveWithCells="1" sizeWithCells="1">
                  <from>
                    <xdr:col>6</xdr:col>
                    <xdr:colOff>0</xdr:colOff>
                    <xdr:row>1754</xdr:row>
                    <xdr:rowOff>0</xdr:rowOff>
                  </from>
                  <to>
                    <xdr:col>7</xdr:col>
                    <xdr:colOff>0</xdr:colOff>
                    <xdr:row>1754</xdr:row>
                    <xdr:rowOff>161925</xdr:rowOff>
                  </to>
                </anchor>
              </controlPr>
            </control>
          </mc:Choice>
        </mc:AlternateContent>
        <mc:AlternateContent xmlns:mc="http://schemas.openxmlformats.org/markup-compatibility/2006">
          <mc:Choice Requires="x14">
            <control shapeId="1811" r:id="rId1091" name="Button 787">
              <controlPr defaultSize="0" autoFill="0" autoLine="0" autoPict="0" macro="[0]!Sheet1.deleteProcedure">
                <anchor moveWithCells="1" sizeWithCells="1">
                  <from>
                    <xdr:col>6</xdr:col>
                    <xdr:colOff>0</xdr:colOff>
                    <xdr:row>1757</xdr:row>
                    <xdr:rowOff>0</xdr:rowOff>
                  </from>
                  <to>
                    <xdr:col>7</xdr:col>
                    <xdr:colOff>0</xdr:colOff>
                    <xdr:row>1758</xdr:row>
                    <xdr:rowOff>0</xdr:rowOff>
                  </to>
                </anchor>
              </controlPr>
            </control>
          </mc:Choice>
        </mc:AlternateContent>
        <mc:AlternateContent xmlns:mc="http://schemas.openxmlformats.org/markup-compatibility/2006">
          <mc:Choice Requires="x14">
            <control shapeId="1810" r:id="rId1092" name="Button 786">
              <controlPr defaultSize="0" autoFill="0" autoLine="0" autoPict="0" macro="[0]!Sheet1.InsertNewTableRow">
                <anchor moveWithCells="1" sizeWithCells="1">
                  <from>
                    <xdr:col>6</xdr:col>
                    <xdr:colOff>0</xdr:colOff>
                    <xdr:row>1764</xdr:row>
                    <xdr:rowOff>0</xdr:rowOff>
                  </from>
                  <to>
                    <xdr:col>7</xdr:col>
                    <xdr:colOff>0</xdr:colOff>
                    <xdr:row>1764</xdr:row>
                    <xdr:rowOff>38100</xdr:rowOff>
                  </to>
                </anchor>
              </controlPr>
            </control>
          </mc:Choice>
        </mc:AlternateContent>
        <mc:AlternateContent xmlns:mc="http://schemas.openxmlformats.org/markup-compatibility/2006">
          <mc:Choice Requires="x14">
            <control shapeId="1809" r:id="rId1093" name="Button 785">
              <controlPr defaultSize="0" autoFill="0" autoLine="0" autoPict="0" macro="[0]!Sheet1.deleteRow">
                <anchor moveWithCells="1" sizeWithCells="1">
                  <from>
                    <xdr:col>6</xdr:col>
                    <xdr:colOff>0</xdr:colOff>
                    <xdr:row>1765</xdr:row>
                    <xdr:rowOff>0</xdr:rowOff>
                  </from>
                  <to>
                    <xdr:col>7</xdr:col>
                    <xdr:colOff>0</xdr:colOff>
                    <xdr:row>1765</xdr:row>
                    <xdr:rowOff>161925</xdr:rowOff>
                  </to>
                </anchor>
              </controlPr>
            </control>
          </mc:Choice>
        </mc:AlternateContent>
        <mc:AlternateContent xmlns:mc="http://schemas.openxmlformats.org/markup-compatibility/2006">
          <mc:Choice Requires="x14">
            <control shapeId="1808" r:id="rId1094" name="Button 784">
              <controlPr defaultSize="0" autoFill="0" autoLine="0" autoPict="0" macro="[0]!Sheet1.deleteRow">
                <anchor moveWithCells="1" sizeWithCells="1">
                  <from>
                    <xdr:col>6</xdr:col>
                    <xdr:colOff>0</xdr:colOff>
                    <xdr:row>1766</xdr:row>
                    <xdr:rowOff>0</xdr:rowOff>
                  </from>
                  <to>
                    <xdr:col>7</xdr:col>
                    <xdr:colOff>0</xdr:colOff>
                    <xdr:row>1766</xdr:row>
                    <xdr:rowOff>161925</xdr:rowOff>
                  </to>
                </anchor>
              </controlPr>
            </control>
          </mc:Choice>
        </mc:AlternateContent>
        <mc:AlternateContent xmlns:mc="http://schemas.openxmlformats.org/markup-compatibility/2006">
          <mc:Choice Requires="x14">
            <control shapeId="1807" r:id="rId1095" name="Button 783">
              <controlPr defaultSize="0" autoFill="0" autoLine="0" autoPict="0" macro="[0]!Sheet1.deleteRow">
                <anchor moveWithCells="1" sizeWithCells="1">
                  <from>
                    <xdr:col>6</xdr:col>
                    <xdr:colOff>0</xdr:colOff>
                    <xdr:row>1767</xdr:row>
                    <xdr:rowOff>0</xdr:rowOff>
                  </from>
                  <to>
                    <xdr:col>7</xdr:col>
                    <xdr:colOff>0</xdr:colOff>
                    <xdr:row>1767</xdr:row>
                    <xdr:rowOff>161925</xdr:rowOff>
                  </to>
                </anchor>
              </controlPr>
            </control>
          </mc:Choice>
        </mc:AlternateContent>
        <mc:AlternateContent xmlns:mc="http://schemas.openxmlformats.org/markup-compatibility/2006">
          <mc:Choice Requires="x14">
            <control shapeId="1806" r:id="rId1096" name="Button 782">
              <controlPr defaultSize="0" autoFill="0" autoLine="0" autoPict="0" macro="[0]!Sheet1.deleteRow">
                <anchor moveWithCells="1" sizeWithCells="1">
                  <from>
                    <xdr:col>6</xdr:col>
                    <xdr:colOff>0</xdr:colOff>
                    <xdr:row>1768</xdr:row>
                    <xdr:rowOff>0</xdr:rowOff>
                  </from>
                  <to>
                    <xdr:col>7</xdr:col>
                    <xdr:colOff>0</xdr:colOff>
                    <xdr:row>1768</xdr:row>
                    <xdr:rowOff>161925</xdr:rowOff>
                  </to>
                </anchor>
              </controlPr>
            </control>
          </mc:Choice>
        </mc:AlternateContent>
        <mc:AlternateContent xmlns:mc="http://schemas.openxmlformats.org/markup-compatibility/2006">
          <mc:Choice Requires="x14">
            <control shapeId="1805" r:id="rId1097" name="Button 781">
              <controlPr defaultSize="0" autoFill="0" autoLine="0" autoPict="0" macro="[0]!Sheet1.deleteRow">
                <anchor moveWithCells="1" sizeWithCells="1">
                  <from>
                    <xdr:col>6</xdr:col>
                    <xdr:colOff>0</xdr:colOff>
                    <xdr:row>1769</xdr:row>
                    <xdr:rowOff>0</xdr:rowOff>
                  </from>
                  <to>
                    <xdr:col>7</xdr:col>
                    <xdr:colOff>0</xdr:colOff>
                    <xdr:row>1769</xdr:row>
                    <xdr:rowOff>161925</xdr:rowOff>
                  </to>
                </anchor>
              </controlPr>
            </control>
          </mc:Choice>
        </mc:AlternateContent>
        <mc:AlternateContent xmlns:mc="http://schemas.openxmlformats.org/markup-compatibility/2006">
          <mc:Choice Requires="x14">
            <control shapeId="1804" r:id="rId1098" name="Button 780">
              <controlPr defaultSize="0" autoFill="0" autoLine="0" autoPict="0" macro="[0]!Sheet1.deleteRow">
                <anchor moveWithCells="1" sizeWithCells="1">
                  <from>
                    <xdr:col>6</xdr:col>
                    <xdr:colOff>0</xdr:colOff>
                    <xdr:row>1770</xdr:row>
                    <xdr:rowOff>0</xdr:rowOff>
                  </from>
                  <to>
                    <xdr:col>7</xdr:col>
                    <xdr:colOff>0</xdr:colOff>
                    <xdr:row>1770</xdr:row>
                    <xdr:rowOff>161925</xdr:rowOff>
                  </to>
                </anchor>
              </controlPr>
            </control>
          </mc:Choice>
        </mc:AlternateContent>
        <mc:AlternateContent xmlns:mc="http://schemas.openxmlformats.org/markup-compatibility/2006">
          <mc:Choice Requires="x14">
            <control shapeId="1803" r:id="rId1099" name="Button 779">
              <controlPr defaultSize="0" autoFill="0" autoLine="0" autoPict="0" macro="[0]!Sheet1.deleteRow">
                <anchor moveWithCells="1" sizeWithCells="1">
                  <from>
                    <xdr:col>6</xdr:col>
                    <xdr:colOff>0</xdr:colOff>
                    <xdr:row>1771</xdr:row>
                    <xdr:rowOff>0</xdr:rowOff>
                  </from>
                  <to>
                    <xdr:col>7</xdr:col>
                    <xdr:colOff>0</xdr:colOff>
                    <xdr:row>1771</xdr:row>
                    <xdr:rowOff>161925</xdr:rowOff>
                  </to>
                </anchor>
              </controlPr>
            </control>
          </mc:Choice>
        </mc:AlternateContent>
        <mc:AlternateContent xmlns:mc="http://schemas.openxmlformats.org/markup-compatibility/2006">
          <mc:Choice Requires="x14">
            <control shapeId="1802" r:id="rId1100" name="Button 778">
              <controlPr defaultSize="0" autoFill="0" autoLine="0" autoPict="0" macro="[0]!Sheet1.deleteRow">
                <anchor moveWithCells="1" sizeWithCells="1">
                  <from>
                    <xdr:col>6</xdr:col>
                    <xdr:colOff>0</xdr:colOff>
                    <xdr:row>1772</xdr:row>
                    <xdr:rowOff>0</xdr:rowOff>
                  </from>
                  <to>
                    <xdr:col>7</xdr:col>
                    <xdr:colOff>0</xdr:colOff>
                    <xdr:row>1772</xdr:row>
                    <xdr:rowOff>161925</xdr:rowOff>
                  </to>
                </anchor>
              </controlPr>
            </control>
          </mc:Choice>
        </mc:AlternateContent>
        <mc:AlternateContent xmlns:mc="http://schemas.openxmlformats.org/markup-compatibility/2006">
          <mc:Choice Requires="x14">
            <control shapeId="1801" r:id="rId1101" name="Button 777">
              <controlPr defaultSize="0" autoFill="0" autoLine="0" autoPict="0" macro="[0]!Sheet1.deleteRow">
                <anchor moveWithCells="1" sizeWithCells="1">
                  <from>
                    <xdr:col>6</xdr:col>
                    <xdr:colOff>0</xdr:colOff>
                    <xdr:row>1773</xdr:row>
                    <xdr:rowOff>0</xdr:rowOff>
                  </from>
                  <to>
                    <xdr:col>7</xdr:col>
                    <xdr:colOff>0</xdr:colOff>
                    <xdr:row>1773</xdr:row>
                    <xdr:rowOff>161925</xdr:rowOff>
                  </to>
                </anchor>
              </controlPr>
            </control>
          </mc:Choice>
        </mc:AlternateContent>
        <mc:AlternateContent xmlns:mc="http://schemas.openxmlformats.org/markup-compatibility/2006">
          <mc:Choice Requires="x14">
            <control shapeId="1800" r:id="rId1102" name="Button 776">
              <controlPr defaultSize="0" autoFill="0" autoLine="0" autoPict="0" macro="[0]!Sheet1.deleteRow">
                <anchor moveWithCells="1" sizeWithCells="1">
                  <from>
                    <xdr:col>6</xdr:col>
                    <xdr:colOff>0</xdr:colOff>
                    <xdr:row>1774</xdr:row>
                    <xdr:rowOff>0</xdr:rowOff>
                  </from>
                  <to>
                    <xdr:col>7</xdr:col>
                    <xdr:colOff>0</xdr:colOff>
                    <xdr:row>1774</xdr:row>
                    <xdr:rowOff>161925</xdr:rowOff>
                  </to>
                </anchor>
              </controlPr>
            </control>
          </mc:Choice>
        </mc:AlternateContent>
        <mc:AlternateContent xmlns:mc="http://schemas.openxmlformats.org/markup-compatibility/2006">
          <mc:Choice Requires="x14">
            <control shapeId="1799" r:id="rId1103" name="Button 775">
              <controlPr defaultSize="0" autoFill="0" autoLine="0" autoPict="0" macro="[0]!Sheet1.deleteRow">
                <anchor moveWithCells="1" sizeWithCells="1">
                  <from>
                    <xdr:col>6</xdr:col>
                    <xdr:colOff>0</xdr:colOff>
                    <xdr:row>1775</xdr:row>
                    <xdr:rowOff>0</xdr:rowOff>
                  </from>
                  <to>
                    <xdr:col>7</xdr:col>
                    <xdr:colOff>0</xdr:colOff>
                    <xdr:row>1775</xdr:row>
                    <xdr:rowOff>161925</xdr:rowOff>
                  </to>
                </anchor>
              </controlPr>
            </control>
          </mc:Choice>
        </mc:AlternateContent>
        <mc:AlternateContent xmlns:mc="http://schemas.openxmlformats.org/markup-compatibility/2006">
          <mc:Choice Requires="x14">
            <control shapeId="1798" r:id="rId1104" name="Button 774">
              <controlPr defaultSize="0" autoFill="0" autoLine="0" autoPict="0" macro="[0]!Sheet1.deleteRow">
                <anchor moveWithCells="1" sizeWithCells="1">
                  <from>
                    <xdr:col>6</xdr:col>
                    <xdr:colOff>0</xdr:colOff>
                    <xdr:row>1776</xdr:row>
                    <xdr:rowOff>0</xdr:rowOff>
                  </from>
                  <to>
                    <xdr:col>7</xdr:col>
                    <xdr:colOff>0</xdr:colOff>
                    <xdr:row>1776</xdr:row>
                    <xdr:rowOff>161925</xdr:rowOff>
                  </to>
                </anchor>
              </controlPr>
            </control>
          </mc:Choice>
        </mc:AlternateContent>
        <mc:AlternateContent xmlns:mc="http://schemas.openxmlformats.org/markup-compatibility/2006">
          <mc:Choice Requires="x14">
            <control shapeId="1797" r:id="rId1105" name="Button 773">
              <controlPr defaultSize="0" autoFill="0" autoLine="0" autoPict="0" macro="[0]!Sheet1.deleteRow">
                <anchor moveWithCells="1" sizeWithCells="1">
                  <from>
                    <xdr:col>6</xdr:col>
                    <xdr:colOff>0</xdr:colOff>
                    <xdr:row>1777</xdr:row>
                    <xdr:rowOff>0</xdr:rowOff>
                  </from>
                  <to>
                    <xdr:col>7</xdr:col>
                    <xdr:colOff>0</xdr:colOff>
                    <xdr:row>1777</xdr:row>
                    <xdr:rowOff>161925</xdr:rowOff>
                  </to>
                </anchor>
              </controlPr>
            </control>
          </mc:Choice>
        </mc:AlternateContent>
        <mc:AlternateContent xmlns:mc="http://schemas.openxmlformats.org/markup-compatibility/2006">
          <mc:Choice Requires="x14">
            <control shapeId="1796" r:id="rId1106" name="Button 772">
              <controlPr defaultSize="0" autoFill="0" autoLine="0" autoPict="0" macro="[0]!Sheet1.deleteRow">
                <anchor moveWithCells="1" sizeWithCells="1">
                  <from>
                    <xdr:col>6</xdr:col>
                    <xdr:colOff>0</xdr:colOff>
                    <xdr:row>1778</xdr:row>
                    <xdr:rowOff>0</xdr:rowOff>
                  </from>
                  <to>
                    <xdr:col>7</xdr:col>
                    <xdr:colOff>0</xdr:colOff>
                    <xdr:row>1778</xdr:row>
                    <xdr:rowOff>161925</xdr:rowOff>
                  </to>
                </anchor>
              </controlPr>
            </control>
          </mc:Choice>
        </mc:AlternateContent>
        <mc:AlternateContent xmlns:mc="http://schemas.openxmlformats.org/markup-compatibility/2006">
          <mc:Choice Requires="x14">
            <control shapeId="1795" r:id="rId1107" name="Button 771">
              <controlPr defaultSize="0" autoFill="0" autoLine="0" autoPict="0" macro="[0]!Sheet1.deleteRow">
                <anchor moveWithCells="1" sizeWithCells="1">
                  <from>
                    <xdr:col>6</xdr:col>
                    <xdr:colOff>0</xdr:colOff>
                    <xdr:row>1779</xdr:row>
                    <xdr:rowOff>0</xdr:rowOff>
                  </from>
                  <to>
                    <xdr:col>7</xdr:col>
                    <xdr:colOff>0</xdr:colOff>
                    <xdr:row>1779</xdr:row>
                    <xdr:rowOff>161925</xdr:rowOff>
                  </to>
                </anchor>
              </controlPr>
            </control>
          </mc:Choice>
        </mc:AlternateContent>
        <mc:AlternateContent xmlns:mc="http://schemas.openxmlformats.org/markup-compatibility/2006">
          <mc:Choice Requires="x14">
            <control shapeId="1794" r:id="rId1108" name="Button 770">
              <controlPr defaultSize="0" autoFill="0" autoLine="0" autoPict="0" macro="[0]!Sheet1.deleteRow">
                <anchor moveWithCells="1" sizeWithCells="1">
                  <from>
                    <xdr:col>6</xdr:col>
                    <xdr:colOff>0</xdr:colOff>
                    <xdr:row>1780</xdr:row>
                    <xdr:rowOff>0</xdr:rowOff>
                  </from>
                  <to>
                    <xdr:col>7</xdr:col>
                    <xdr:colOff>0</xdr:colOff>
                    <xdr:row>1780</xdr:row>
                    <xdr:rowOff>161925</xdr:rowOff>
                  </to>
                </anchor>
              </controlPr>
            </control>
          </mc:Choice>
        </mc:AlternateContent>
        <mc:AlternateContent xmlns:mc="http://schemas.openxmlformats.org/markup-compatibility/2006">
          <mc:Choice Requires="x14">
            <control shapeId="1793" r:id="rId1109" name="Button 769">
              <controlPr defaultSize="0" autoFill="0" autoLine="0" autoPict="0" macro="[0]!Sheet1.deleteRow">
                <anchor moveWithCells="1" sizeWithCells="1">
                  <from>
                    <xdr:col>6</xdr:col>
                    <xdr:colOff>0</xdr:colOff>
                    <xdr:row>1781</xdr:row>
                    <xdr:rowOff>0</xdr:rowOff>
                  </from>
                  <to>
                    <xdr:col>7</xdr:col>
                    <xdr:colOff>0</xdr:colOff>
                    <xdr:row>1781</xdr:row>
                    <xdr:rowOff>161925</xdr:rowOff>
                  </to>
                </anchor>
              </controlPr>
            </control>
          </mc:Choice>
        </mc:AlternateContent>
        <mc:AlternateContent xmlns:mc="http://schemas.openxmlformats.org/markup-compatibility/2006">
          <mc:Choice Requires="x14">
            <control shapeId="1792" r:id="rId1110" name="Button 768">
              <controlPr defaultSize="0" autoFill="0" autoLine="0" autoPict="0" macro="[0]!Sheet1.deleteRow">
                <anchor moveWithCells="1" sizeWithCells="1">
                  <from>
                    <xdr:col>6</xdr:col>
                    <xdr:colOff>0</xdr:colOff>
                    <xdr:row>1782</xdr:row>
                    <xdr:rowOff>0</xdr:rowOff>
                  </from>
                  <to>
                    <xdr:col>7</xdr:col>
                    <xdr:colOff>0</xdr:colOff>
                    <xdr:row>1782</xdr:row>
                    <xdr:rowOff>161925</xdr:rowOff>
                  </to>
                </anchor>
              </controlPr>
            </control>
          </mc:Choice>
        </mc:AlternateContent>
        <mc:AlternateContent xmlns:mc="http://schemas.openxmlformats.org/markup-compatibility/2006">
          <mc:Choice Requires="x14">
            <control shapeId="1791" r:id="rId1111" name="Button 767">
              <controlPr defaultSize="0" autoFill="0" autoLine="0" autoPict="0" macro="[0]!Sheet1.deleteRow">
                <anchor moveWithCells="1" sizeWithCells="1">
                  <from>
                    <xdr:col>6</xdr:col>
                    <xdr:colOff>0</xdr:colOff>
                    <xdr:row>1783</xdr:row>
                    <xdr:rowOff>0</xdr:rowOff>
                  </from>
                  <to>
                    <xdr:col>7</xdr:col>
                    <xdr:colOff>0</xdr:colOff>
                    <xdr:row>1783</xdr:row>
                    <xdr:rowOff>161925</xdr:rowOff>
                  </to>
                </anchor>
              </controlPr>
            </control>
          </mc:Choice>
        </mc:AlternateContent>
        <mc:AlternateContent xmlns:mc="http://schemas.openxmlformats.org/markup-compatibility/2006">
          <mc:Choice Requires="x14">
            <control shapeId="1790" r:id="rId1112" name="Button 766">
              <controlPr defaultSize="0" autoFill="0" autoLine="0" autoPict="0" macro="[0]!Sheet1.deleteRow">
                <anchor moveWithCells="1" sizeWithCells="1">
                  <from>
                    <xdr:col>6</xdr:col>
                    <xdr:colOff>0</xdr:colOff>
                    <xdr:row>1784</xdr:row>
                    <xdr:rowOff>0</xdr:rowOff>
                  </from>
                  <to>
                    <xdr:col>7</xdr:col>
                    <xdr:colOff>0</xdr:colOff>
                    <xdr:row>1784</xdr:row>
                    <xdr:rowOff>161925</xdr:rowOff>
                  </to>
                </anchor>
              </controlPr>
            </control>
          </mc:Choice>
        </mc:AlternateContent>
        <mc:AlternateContent xmlns:mc="http://schemas.openxmlformats.org/markup-compatibility/2006">
          <mc:Choice Requires="x14">
            <control shapeId="1789" r:id="rId1113" name="Button 765">
              <controlPr defaultSize="0" autoFill="0" autoLine="0" autoPict="0" macro="[0]!Sheet1.deleteRow">
                <anchor moveWithCells="1" sizeWithCells="1">
                  <from>
                    <xdr:col>6</xdr:col>
                    <xdr:colOff>0</xdr:colOff>
                    <xdr:row>1785</xdr:row>
                    <xdr:rowOff>0</xdr:rowOff>
                  </from>
                  <to>
                    <xdr:col>7</xdr:col>
                    <xdr:colOff>0</xdr:colOff>
                    <xdr:row>1785</xdr:row>
                    <xdr:rowOff>161925</xdr:rowOff>
                  </to>
                </anchor>
              </controlPr>
            </control>
          </mc:Choice>
        </mc:AlternateContent>
        <mc:AlternateContent xmlns:mc="http://schemas.openxmlformats.org/markup-compatibility/2006">
          <mc:Choice Requires="x14">
            <control shapeId="1788" r:id="rId1114" name="Button 764">
              <controlPr defaultSize="0" autoFill="0" autoLine="0" autoPict="0" macro="[0]!Sheet1.deleteRow">
                <anchor moveWithCells="1" sizeWithCells="1">
                  <from>
                    <xdr:col>6</xdr:col>
                    <xdr:colOff>0</xdr:colOff>
                    <xdr:row>1786</xdr:row>
                    <xdr:rowOff>0</xdr:rowOff>
                  </from>
                  <to>
                    <xdr:col>7</xdr:col>
                    <xdr:colOff>0</xdr:colOff>
                    <xdr:row>1786</xdr:row>
                    <xdr:rowOff>161925</xdr:rowOff>
                  </to>
                </anchor>
              </controlPr>
            </control>
          </mc:Choice>
        </mc:AlternateContent>
        <mc:AlternateContent xmlns:mc="http://schemas.openxmlformats.org/markup-compatibility/2006">
          <mc:Choice Requires="x14">
            <control shapeId="1787" r:id="rId1115" name="Button 763">
              <controlPr defaultSize="0" autoFill="0" autoLine="0" autoPict="0" macro="[0]!Sheet1.deleteRow">
                <anchor moveWithCells="1" sizeWithCells="1">
                  <from>
                    <xdr:col>6</xdr:col>
                    <xdr:colOff>0</xdr:colOff>
                    <xdr:row>1787</xdr:row>
                    <xdr:rowOff>0</xdr:rowOff>
                  </from>
                  <to>
                    <xdr:col>7</xdr:col>
                    <xdr:colOff>0</xdr:colOff>
                    <xdr:row>1787</xdr:row>
                    <xdr:rowOff>161925</xdr:rowOff>
                  </to>
                </anchor>
              </controlPr>
            </control>
          </mc:Choice>
        </mc:AlternateContent>
        <mc:AlternateContent xmlns:mc="http://schemas.openxmlformats.org/markup-compatibility/2006">
          <mc:Choice Requires="x14">
            <control shapeId="1786" r:id="rId1116" name="Button 762">
              <controlPr defaultSize="0" autoFill="0" autoLine="0" autoPict="0" macro="[0]!Sheet1.deleteRow">
                <anchor moveWithCells="1" sizeWithCells="1">
                  <from>
                    <xdr:col>6</xdr:col>
                    <xdr:colOff>0</xdr:colOff>
                    <xdr:row>1788</xdr:row>
                    <xdr:rowOff>0</xdr:rowOff>
                  </from>
                  <to>
                    <xdr:col>7</xdr:col>
                    <xdr:colOff>0</xdr:colOff>
                    <xdr:row>1788</xdr:row>
                    <xdr:rowOff>161925</xdr:rowOff>
                  </to>
                </anchor>
              </controlPr>
            </control>
          </mc:Choice>
        </mc:AlternateContent>
        <mc:AlternateContent xmlns:mc="http://schemas.openxmlformats.org/markup-compatibility/2006">
          <mc:Choice Requires="x14">
            <control shapeId="1785" r:id="rId1117" name="Button 761">
              <controlPr defaultSize="0" autoFill="0" autoLine="0" autoPict="0" macro="[0]!Sheet1.deleteRow">
                <anchor moveWithCells="1" sizeWithCells="1">
                  <from>
                    <xdr:col>6</xdr:col>
                    <xdr:colOff>0</xdr:colOff>
                    <xdr:row>1789</xdr:row>
                    <xdr:rowOff>0</xdr:rowOff>
                  </from>
                  <to>
                    <xdr:col>7</xdr:col>
                    <xdr:colOff>0</xdr:colOff>
                    <xdr:row>1789</xdr:row>
                    <xdr:rowOff>161925</xdr:rowOff>
                  </to>
                </anchor>
              </controlPr>
            </control>
          </mc:Choice>
        </mc:AlternateContent>
        <mc:AlternateContent xmlns:mc="http://schemas.openxmlformats.org/markup-compatibility/2006">
          <mc:Choice Requires="x14">
            <control shapeId="1784" r:id="rId1118" name="Button 760">
              <controlPr defaultSize="0" autoFill="0" autoLine="0" autoPict="0" macro="[0]!Sheet1.deleteRow">
                <anchor moveWithCells="1" sizeWithCells="1">
                  <from>
                    <xdr:col>6</xdr:col>
                    <xdr:colOff>0</xdr:colOff>
                    <xdr:row>1790</xdr:row>
                    <xdr:rowOff>0</xdr:rowOff>
                  </from>
                  <to>
                    <xdr:col>7</xdr:col>
                    <xdr:colOff>0</xdr:colOff>
                    <xdr:row>1790</xdr:row>
                    <xdr:rowOff>161925</xdr:rowOff>
                  </to>
                </anchor>
              </controlPr>
            </control>
          </mc:Choice>
        </mc:AlternateContent>
        <mc:AlternateContent xmlns:mc="http://schemas.openxmlformats.org/markup-compatibility/2006">
          <mc:Choice Requires="x14">
            <control shapeId="1783" r:id="rId1119" name="Button 759">
              <controlPr defaultSize="0" autoFill="0" autoLine="0" autoPict="0" macro="[0]!Sheet1.deleteRow">
                <anchor moveWithCells="1" sizeWithCells="1">
                  <from>
                    <xdr:col>6</xdr:col>
                    <xdr:colOff>0</xdr:colOff>
                    <xdr:row>1791</xdr:row>
                    <xdr:rowOff>0</xdr:rowOff>
                  </from>
                  <to>
                    <xdr:col>7</xdr:col>
                    <xdr:colOff>0</xdr:colOff>
                    <xdr:row>1791</xdr:row>
                    <xdr:rowOff>161925</xdr:rowOff>
                  </to>
                </anchor>
              </controlPr>
            </control>
          </mc:Choice>
        </mc:AlternateContent>
        <mc:AlternateContent xmlns:mc="http://schemas.openxmlformats.org/markup-compatibility/2006">
          <mc:Choice Requires="x14">
            <control shapeId="1782" r:id="rId1120" name="Button 758">
              <controlPr defaultSize="0" autoFill="0" autoLine="0" autoPict="0" macro="[0]!Sheet1.deleteRow">
                <anchor moveWithCells="1" sizeWithCells="1">
                  <from>
                    <xdr:col>6</xdr:col>
                    <xdr:colOff>0</xdr:colOff>
                    <xdr:row>1792</xdr:row>
                    <xdr:rowOff>0</xdr:rowOff>
                  </from>
                  <to>
                    <xdr:col>7</xdr:col>
                    <xdr:colOff>0</xdr:colOff>
                    <xdr:row>1792</xdr:row>
                    <xdr:rowOff>161925</xdr:rowOff>
                  </to>
                </anchor>
              </controlPr>
            </control>
          </mc:Choice>
        </mc:AlternateContent>
        <mc:AlternateContent xmlns:mc="http://schemas.openxmlformats.org/markup-compatibility/2006">
          <mc:Choice Requires="x14">
            <control shapeId="1781" r:id="rId1121" name="Button 757">
              <controlPr defaultSize="0" autoFill="0" autoLine="0" autoPict="0" macro="[0]!Sheet1.deleteRow">
                <anchor moveWithCells="1" sizeWithCells="1">
                  <from>
                    <xdr:col>6</xdr:col>
                    <xdr:colOff>0</xdr:colOff>
                    <xdr:row>1793</xdr:row>
                    <xdr:rowOff>0</xdr:rowOff>
                  </from>
                  <to>
                    <xdr:col>7</xdr:col>
                    <xdr:colOff>0</xdr:colOff>
                    <xdr:row>1793</xdr:row>
                    <xdr:rowOff>161925</xdr:rowOff>
                  </to>
                </anchor>
              </controlPr>
            </control>
          </mc:Choice>
        </mc:AlternateContent>
        <mc:AlternateContent xmlns:mc="http://schemas.openxmlformats.org/markup-compatibility/2006">
          <mc:Choice Requires="x14">
            <control shapeId="1780" r:id="rId1122" name="Button 756">
              <controlPr defaultSize="0" autoFill="0" autoLine="0" autoPict="0" macro="[0]!Sheet1.deleteRow">
                <anchor moveWithCells="1" sizeWithCells="1">
                  <from>
                    <xdr:col>6</xdr:col>
                    <xdr:colOff>0</xdr:colOff>
                    <xdr:row>1794</xdr:row>
                    <xdr:rowOff>0</xdr:rowOff>
                  </from>
                  <to>
                    <xdr:col>7</xdr:col>
                    <xdr:colOff>0</xdr:colOff>
                    <xdr:row>1794</xdr:row>
                    <xdr:rowOff>161925</xdr:rowOff>
                  </to>
                </anchor>
              </controlPr>
            </control>
          </mc:Choice>
        </mc:AlternateContent>
        <mc:AlternateContent xmlns:mc="http://schemas.openxmlformats.org/markup-compatibility/2006">
          <mc:Choice Requires="x14">
            <control shapeId="1779" r:id="rId1123" name="Button 755">
              <controlPr defaultSize="0" autoFill="0" autoLine="0" autoPict="0" macro="[0]!Sheet1.deleteRow">
                <anchor moveWithCells="1" sizeWithCells="1">
                  <from>
                    <xdr:col>6</xdr:col>
                    <xdr:colOff>0</xdr:colOff>
                    <xdr:row>1795</xdr:row>
                    <xdr:rowOff>0</xdr:rowOff>
                  </from>
                  <to>
                    <xdr:col>7</xdr:col>
                    <xdr:colOff>0</xdr:colOff>
                    <xdr:row>1795</xdr:row>
                    <xdr:rowOff>161925</xdr:rowOff>
                  </to>
                </anchor>
              </controlPr>
            </control>
          </mc:Choice>
        </mc:AlternateContent>
        <mc:AlternateContent xmlns:mc="http://schemas.openxmlformats.org/markup-compatibility/2006">
          <mc:Choice Requires="x14">
            <control shapeId="1778" r:id="rId1124" name="Button 754">
              <controlPr defaultSize="0" autoFill="0" autoLine="0" autoPict="0" macro="[0]!Sheet1.deleteRow">
                <anchor moveWithCells="1" sizeWithCells="1">
                  <from>
                    <xdr:col>6</xdr:col>
                    <xdr:colOff>0</xdr:colOff>
                    <xdr:row>1796</xdr:row>
                    <xdr:rowOff>0</xdr:rowOff>
                  </from>
                  <to>
                    <xdr:col>7</xdr:col>
                    <xdr:colOff>0</xdr:colOff>
                    <xdr:row>1796</xdr:row>
                    <xdr:rowOff>161925</xdr:rowOff>
                  </to>
                </anchor>
              </controlPr>
            </control>
          </mc:Choice>
        </mc:AlternateContent>
        <mc:AlternateContent xmlns:mc="http://schemas.openxmlformats.org/markup-compatibility/2006">
          <mc:Choice Requires="x14">
            <control shapeId="1777" r:id="rId1125" name="Button 753">
              <controlPr defaultSize="0" autoFill="0" autoLine="0" autoPict="0" macro="[0]!Sheet1.deleteRow">
                <anchor moveWithCells="1" sizeWithCells="1">
                  <from>
                    <xdr:col>6</xdr:col>
                    <xdr:colOff>0</xdr:colOff>
                    <xdr:row>1797</xdr:row>
                    <xdr:rowOff>0</xdr:rowOff>
                  </from>
                  <to>
                    <xdr:col>7</xdr:col>
                    <xdr:colOff>0</xdr:colOff>
                    <xdr:row>1797</xdr:row>
                    <xdr:rowOff>161925</xdr:rowOff>
                  </to>
                </anchor>
              </controlPr>
            </control>
          </mc:Choice>
        </mc:AlternateContent>
        <mc:AlternateContent xmlns:mc="http://schemas.openxmlformats.org/markup-compatibility/2006">
          <mc:Choice Requires="x14">
            <control shapeId="1776" r:id="rId1126" name="Button 752">
              <controlPr defaultSize="0" autoFill="0" autoLine="0" autoPict="0" macro="[0]!Sheet1.deleteProcedure">
                <anchor moveWithCells="1" sizeWithCells="1">
                  <from>
                    <xdr:col>6</xdr:col>
                    <xdr:colOff>0</xdr:colOff>
                    <xdr:row>1800</xdr:row>
                    <xdr:rowOff>0</xdr:rowOff>
                  </from>
                  <to>
                    <xdr:col>7</xdr:col>
                    <xdr:colOff>0</xdr:colOff>
                    <xdr:row>1801</xdr:row>
                    <xdr:rowOff>0</xdr:rowOff>
                  </to>
                </anchor>
              </controlPr>
            </control>
          </mc:Choice>
        </mc:AlternateContent>
        <mc:AlternateContent xmlns:mc="http://schemas.openxmlformats.org/markup-compatibility/2006">
          <mc:Choice Requires="x14">
            <control shapeId="1775" r:id="rId1127" name="Button 751">
              <controlPr defaultSize="0" autoFill="0" autoLine="0" autoPict="0" macro="[0]!Sheet1.InsertNewTableRow">
                <anchor moveWithCells="1" sizeWithCells="1">
                  <from>
                    <xdr:col>6</xdr:col>
                    <xdr:colOff>0</xdr:colOff>
                    <xdr:row>1807</xdr:row>
                    <xdr:rowOff>0</xdr:rowOff>
                  </from>
                  <to>
                    <xdr:col>7</xdr:col>
                    <xdr:colOff>0</xdr:colOff>
                    <xdr:row>1807</xdr:row>
                    <xdr:rowOff>38100</xdr:rowOff>
                  </to>
                </anchor>
              </controlPr>
            </control>
          </mc:Choice>
        </mc:AlternateContent>
        <mc:AlternateContent xmlns:mc="http://schemas.openxmlformats.org/markup-compatibility/2006">
          <mc:Choice Requires="x14">
            <control shapeId="1774" r:id="rId1128" name="Button 750">
              <controlPr defaultSize="0" autoFill="0" autoLine="0" autoPict="0" macro="[0]!Sheet1.deleteRow">
                <anchor moveWithCells="1" sizeWithCells="1">
                  <from>
                    <xdr:col>6</xdr:col>
                    <xdr:colOff>0</xdr:colOff>
                    <xdr:row>1808</xdr:row>
                    <xdr:rowOff>0</xdr:rowOff>
                  </from>
                  <to>
                    <xdr:col>7</xdr:col>
                    <xdr:colOff>0</xdr:colOff>
                    <xdr:row>1808</xdr:row>
                    <xdr:rowOff>161925</xdr:rowOff>
                  </to>
                </anchor>
              </controlPr>
            </control>
          </mc:Choice>
        </mc:AlternateContent>
        <mc:AlternateContent xmlns:mc="http://schemas.openxmlformats.org/markup-compatibility/2006">
          <mc:Choice Requires="x14">
            <control shapeId="1773" r:id="rId1129" name="Button 749">
              <controlPr defaultSize="0" autoFill="0" autoLine="0" autoPict="0" macro="[0]!Sheet1.deleteRow">
                <anchor moveWithCells="1" sizeWithCells="1">
                  <from>
                    <xdr:col>6</xdr:col>
                    <xdr:colOff>0</xdr:colOff>
                    <xdr:row>1809</xdr:row>
                    <xdr:rowOff>0</xdr:rowOff>
                  </from>
                  <to>
                    <xdr:col>7</xdr:col>
                    <xdr:colOff>0</xdr:colOff>
                    <xdr:row>1809</xdr:row>
                    <xdr:rowOff>161925</xdr:rowOff>
                  </to>
                </anchor>
              </controlPr>
            </control>
          </mc:Choice>
        </mc:AlternateContent>
        <mc:AlternateContent xmlns:mc="http://schemas.openxmlformats.org/markup-compatibility/2006">
          <mc:Choice Requires="x14">
            <control shapeId="1772" r:id="rId1130" name="Button 748">
              <controlPr defaultSize="0" autoFill="0" autoLine="0" autoPict="0" macro="[0]!Sheet1.deleteRow">
                <anchor moveWithCells="1" sizeWithCells="1">
                  <from>
                    <xdr:col>6</xdr:col>
                    <xdr:colOff>0</xdr:colOff>
                    <xdr:row>1810</xdr:row>
                    <xdr:rowOff>0</xdr:rowOff>
                  </from>
                  <to>
                    <xdr:col>7</xdr:col>
                    <xdr:colOff>0</xdr:colOff>
                    <xdr:row>1810</xdr:row>
                    <xdr:rowOff>161925</xdr:rowOff>
                  </to>
                </anchor>
              </controlPr>
            </control>
          </mc:Choice>
        </mc:AlternateContent>
        <mc:AlternateContent xmlns:mc="http://schemas.openxmlformats.org/markup-compatibility/2006">
          <mc:Choice Requires="x14">
            <control shapeId="1771" r:id="rId1131" name="Button 747">
              <controlPr defaultSize="0" autoFill="0" autoLine="0" autoPict="0" macro="[0]!Sheet1.deleteRow">
                <anchor moveWithCells="1" sizeWithCells="1">
                  <from>
                    <xdr:col>6</xdr:col>
                    <xdr:colOff>0</xdr:colOff>
                    <xdr:row>1811</xdr:row>
                    <xdr:rowOff>0</xdr:rowOff>
                  </from>
                  <to>
                    <xdr:col>7</xdr:col>
                    <xdr:colOff>0</xdr:colOff>
                    <xdr:row>1811</xdr:row>
                    <xdr:rowOff>161925</xdr:rowOff>
                  </to>
                </anchor>
              </controlPr>
            </control>
          </mc:Choice>
        </mc:AlternateContent>
        <mc:AlternateContent xmlns:mc="http://schemas.openxmlformats.org/markup-compatibility/2006">
          <mc:Choice Requires="x14">
            <control shapeId="1770" r:id="rId1132" name="Button 746">
              <controlPr defaultSize="0" autoFill="0" autoLine="0" autoPict="0" macro="[0]!Sheet1.deleteRow">
                <anchor moveWithCells="1" sizeWithCells="1">
                  <from>
                    <xdr:col>6</xdr:col>
                    <xdr:colOff>0</xdr:colOff>
                    <xdr:row>1812</xdr:row>
                    <xdr:rowOff>0</xdr:rowOff>
                  </from>
                  <to>
                    <xdr:col>7</xdr:col>
                    <xdr:colOff>0</xdr:colOff>
                    <xdr:row>1812</xdr:row>
                    <xdr:rowOff>161925</xdr:rowOff>
                  </to>
                </anchor>
              </controlPr>
            </control>
          </mc:Choice>
        </mc:AlternateContent>
        <mc:AlternateContent xmlns:mc="http://schemas.openxmlformats.org/markup-compatibility/2006">
          <mc:Choice Requires="x14">
            <control shapeId="1769" r:id="rId1133" name="Button 745">
              <controlPr defaultSize="0" autoFill="0" autoLine="0" autoPict="0" macro="[0]!Sheet1.deleteRow">
                <anchor moveWithCells="1" sizeWithCells="1">
                  <from>
                    <xdr:col>6</xdr:col>
                    <xdr:colOff>0</xdr:colOff>
                    <xdr:row>1813</xdr:row>
                    <xdr:rowOff>0</xdr:rowOff>
                  </from>
                  <to>
                    <xdr:col>7</xdr:col>
                    <xdr:colOff>0</xdr:colOff>
                    <xdr:row>1813</xdr:row>
                    <xdr:rowOff>161925</xdr:rowOff>
                  </to>
                </anchor>
              </controlPr>
            </control>
          </mc:Choice>
        </mc:AlternateContent>
        <mc:AlternateContent xmlns:mc="http://schemas.openxmlformats.org/markup-compatibility/2006">
          <mc:Choice Requires="x14">
            <control shapeId="1768" r:id="rId1134" name="Button 744">
              <controlPr defaultSize="0" autoFill="0" autoLine="0" autoPict="0" macro="[0]!Sheet1.deleteRow">
                <anchor moveWithCells="1" sizeWithCells="1">
                  <from>
                    <xdr:col>6</xdr:col>
                    <xdr:colOff>0</xdr:colOff>
                    <xdr:row>1814</xdr:row>
                    <xdr:rowOff>0</xdr:rowOff>
                  </from>
                  <to>
                    <xdr:col>7</xdr:col>
                    <xdr:colOff>0</xdr:colOff>
                    <xdr:row>1814</xdr:row>
                    <xdr:rowOff>161925</xdr:rowOff>
                  </to>
                </anchor>
              </controlPr>
            </control>
          </mc:Choice>
        </mc:AlternateContent>
        <mc:AlternateContent xmlns:mc="http://schemas.openxmlformats.org/markup-compatibility/2006">
          <mc:Choice Requires="x14">
            <control shapeId="1767" r:id="rId1135" name="Button 743">
              <controlPr defaultSize="0" autoFill="0" autoLine="0" autoPict="0" macro="[0]!Sheet1.deleteRow">
                <anchor moveWithCells="1" sizeWithCells="1">
                  <from>
                    <xdr:col>6</xdr:col>
                    <xdr:colOff>0</xdr:colOff>
                    <xdr:row>1815</xdr:row>
                    <xdr:rowOff>0</xdr:rowOff>
                  </from>
                  <to>
                    <xdr:col>7</xdr:col>
                    <xdr:colOff>0</xdr:colOff>
                    <xdr:row>1815</xdr:row>
                    <xdr:rowOff>161925</xdr:rowOff>
                  </to>
                </anchor>
              </controlPr>
            </control>
          </mc:Choice>
        </mc:AlternateContent>
        <mc:AlternateContent xmlns:mc="http://schemas.openxmlformats.org/markup-compatibility/2006">
          <mc:Choice Requires="x14">
            <control shapeId="1766" r:id="rId1136" name="Button 742">
              <controlPr defaultSize="0" autoFill="0" autoLine="0" autoPict="0" macro="[0]!Sheet1.deleteRow">
                <anchor moveWithCells="1" sizeWithCells="1">
                  <from>
                    <xdr:col>6</xdr:col>
                    <xdr:colOff>0</xdr:colOff>
                    <xdr:row>1816</xdr:row>
                    <xdr:rowOff>0</xdr:rowOff>
                  </from>
                  <to>
                    <xdr:col>7</xdr:col>
                    <xdr:colOff>0</xdr:colOff>
                    <xdr:row>1816</xdr:row>
                    <xdr:rowOff>161925</xdr:rowOff>
                  </to>
                </anchor>
              </controlPr>
            </control>
          </mc:Choice>
        </mc:AlternateContent>
        <mc:AlternateContent xmlns:mc="http://schemas.openxmlformats.org/markup-compatibility/2006">
          <mc:Choice Requires="x14">
            <control shapeId="1765" r:id="rId1137" name="Button 741">
              <controlPr defaultSize="0" autoFill="0" autoLine="0" autoPict="0" macro="[0]!Sheet1.deleteRow">
                <anchor moveWithCells="1" sizeWithCells="1">
                  <from>
                    <xdr:col>6</xdr:col>
                    <xdr:colOff>0</xdr:colOff>
                    <xdr:row>1817</xdr:row>
                    <xdr:rowOff>0</xdr:rowOff>
                  </from>
                  <to>
                    <xdr:col>7</xdr:col>
                    <xdr:colOff>0</xdr:colOff>
                    <xdr:row>1817</xdr:row>
                    <xdr:rowOff>161925</xdr:rowOff>
                  </to>
                </anchor>
              </controlPr>
            </control>
          </mc:Choice>
        </mc:AlternateContent>
        <mc:AlternateContent xmlns:mc="http://schemas.openxmlformats.org/markup-compatibility/2006">
          <mc:Choice Requires="x14">
            <control shapeId="1764" r:id="rId1138" name="Button 740">
              <controlPr defaultSize="0" autoFill="0" autoLine="0" autoPict="0" macro="[0]!Sheet1.deleteRow">
                <anchor moveWithCells="1" sizeWithCells="1">
                  <from>
                    <xdr:col>6</xdr:col>
                    <xdr:colOff>0</xdr:colOff>
                    <xdr:row>1818</xdr:row>
                    <xdr:rowOff>0</xdr:rowOff>
                  </from>
                  <to>
                    <xdr:col>7</xdr:col>
                    <xdr:colOff>0</xdr:colOff>
                    <xdr:row>1818</xdr:row>
                    <xdr:rowOff>161925</xdr:rowOff>
                  </to>
                </anchor>
              </controlPr>
            </control>
          </mc:Choice>
        </mc:AlternateContent>
        <mc:AlternateContent xmlns:mc="http://schemas.openxmlformats.org/markup-compatibility/2006">
          <mc:Choice Requires="x14">
            <control shapeId="1763" r:id="rId1139" name="Button 739">
              <controlPr defaultSize="0" autoFill="0" autoLine="0" autoPict="0" macro="[0]!Sheet1.deleteRow">
                <anchor moveWithCells="1" sizeWithCells="1">
                  <from>
                    <xdr:col>6</xdr:col>
                    <xdr:colOff>0</xdr:colOff>
                    <xdr:row>1819</xdr:row>
                    <xdr:rowOff>0</xdr:rowOff>
                  </from>
                  <to>
                    <xdr:col>7</xdr:col>
                    <xdr:colOff>0</xdr:colOff>
                    <xdr:row>1819</xdr:row>
                    <xdr:rowOff>161925</xdr:rowOff>
                  </to>
                </anchor>
              </controlPr>
            </control>
          </mc:Choice>
        </mc:AlternateContent>
        <mc:AlternateContent xmlns:mc="http://schemas.openxmlformats.org/markup-compatibility/2006">
          <mc:Choice Requires="x14">
            <control shapeId="1762" r:id="rId1140" name="Button 738">
              <controlPr defaultSize="0" autoFill="0" autoLine="0" autoPict="0" macro="[0]!Sheet1.deleteRow">
                <anchor moveWithCells="1" sizeWithCells="1">
                  <from>
                    <xdr:col>6</xdr:col>
                    <xdr:colOff>0</xdr:colOff>
                    <xdr:row>1820</xdr:row>
                    <xdr:rowOff>0</xdr:rowOff>
                  </from>
                  <to>
                    <xdr:col>7</xdr:col>
                    <xdr:colOff>0</xdr:colOff>
                    <xdr:row>1820</xdr:row>
                    <xdr:rowOff>161925</xdr:rowOff>
                  </to>
                </anchor>
              </controlPr>
            </control>
          </mc:Choice>
        </mc:AlternateContent>
        <mc:AlternateContent xmlns:mc="http://schemas.openxmlformats.org/markup-compatibility/2006">
          <mc:Choice Requires="x14">
            <control shapeId="1761" r:id="rId1141" name="Button 737">
              <controlPr defaultSize="0" autoFill="0" autoLine="0" autoPict="0" macro="[0]!Sheet1.deleteRow">
                <anchor moveWithCells="1" sizeWithCells="1">
                  <from>
                    <xdr:col>6</xdr:col>
                    <xdr:colOff>0</xdr:colOff>
                    <xdr:row>1821</xdr:row>
                    <xdr:rowOff>0</xdr:rowOff>
                  </from>
                  <to>
                    <xdr:col>7</xdr:col>
                    <xdr:colOff>0</xdr:colOff>
                    <xdr:row>1821</xdr:row>
                    <xdr:rowOff>161925</xdr:rowOff>
                  </to>
                </anchor>
              </controlPr>
            </control>
          </mc:Choice>
        </mc:AlternateContent>
        <mc:AlternateContent xmlns:mc="http://schemas.openxmlformats.org/markup-compatibility/2006">
          <mc:Choice Requires="x14">
            <control shapeId="1760" r:id="rId1142" name="Button 736">
              <controlPr defaultSize="0" autoFill="0" autoLine="0" autoPict="0" macro="[0]!Sheet1.deleteRow">
                <anchor moveWithCells="1" sizeWithCells="1">
                  <from>
                    <xdr:col>6</xdr:col>
                    <xdr:colOff>0</xdr:colOff>
                    <xdr:row>1822</xdr:row>
                    <xdr:rowOff>0</xdr:rowOff>
                  </from>
                  <to>
                    <xdr:col>7</xdr:col>
                    <xdr:colOff>0</xdr:colOff>
                    <xdr:row>1822</xdr:row>
                    <xdr:rowOff>161925</xdr:rowOff>
                  </to>
                </anchor>
              </controlPr>
            </control>
          </mc:Choice>
        </mc:AlternateContent>
        <mc:AlternateContent xmlns:mc="http://schemas.openxmlformats.org/markup-compatibility/2006">
          <mc:Choice Requires="x14">
            <control shapeId="1759" r:id="rId1143" name="Button 735">
              <controlPr defaultSize="0" autoFill="0" autoLine="0" autoPict="0" macro="[0]!Sheet1.deleteRow">
                <anchor moveWithCells="1" sizeWithCells="1">
                  <from>
                    <xdr:col>6</xdr:col>
                    <xdr:colOff>0</xdr:colOff>
                    <xdr:row>1823</xdr:row>
                    <xdr:rowOff>0</xdr:rowOff>
                  </from>
                  <to>
                    <xdr:col>7</xdr:col>
                    <xdr:colOff>0</xdr:colOff>
                    <xdr:row>1823</xdr:row>
                    <xdr:rowOff>161925</xdr:rowOff>
                  </to>
                </anchor>
              </controlPr>
            </control>
          </mc:Choice>
        </mc:AlternateContent>
        <mc:AlternateContent xmlns:mc="http://schemas.openxmlformats.org/markup-compatibility/2006">
          <mc:Choice Requires="x14">
            <control shapeId="1758" r:id="rId1144" name="Button 734">
              <controlPr defaultSize="0" autoFill="0" autoLine="0" autoPict="0" macro="[0]!Sheet1.deleteProcedure">
                <anchor moveWithCells="1" sizeWithCells="1">
                  <from>
                    <xdr:col>6</xdr:col>
                    <xdr:colOff>0</xdr:colOff>
                    <xdr:row>1826</xdr:row>
                    <xdr:rowOff>0</xdr:rowOff>
                  </from>
                  <to>
                    <xdr:col>7</xdr:col>
                    <xdr:colOff>0</xdr:colOff>
                    <xdr:row>1827</xdr:row>
                    <xdr:rowOff>0</xdr:rowOff>
                  </to>
                </anchor>
              </controlPr>
            </control>
          </mc:Choice>
        </mc:AlternateContent>
        <mc:AlternateContent xmlns:mc="http://schemas.openxmlformats.org/markup-compatibility/2006">
          <mc:Choice Requires="x14">
            <control shapeId="1757" r:id="rId1145" name="Button 733">
              <controlPr defaultSize="0" autoFill="0" autoLine="0" autoPict="0" macro="[0]!Sheet1.InsertNewTableRow">
                <anchor moveWithCells="1" sizeWithCells="1">
                  <from>
                    <xdr:col>6</xdr:col>
                    <xdr:colOff>0</xdr:colOff>
                    <xdr:row>1833</xdr:row>
                    <xdr:rowOff>0</xdr:rowOff>
                  </from>
                  <to>
                    <xdr:col>7</xdr:col>
                    <xdr:colOff>0</xdr:colOff>
                    <xdr:row>1833</xdr:row>
                    <xdr:rowOff>38100</xdr:rowOff>
                  </to>
                </anchor>
              </controlPr>
            </control>
          </mc:Choice>
        </mc:AlternateContent>
        <mc:AlternateContent xmlns:mc="http://schemas.openxmlformats.org/markup-compatibility/2006">
          <mc:Choice Requires="x14">
            <control shapeId="1756" r:id="rId1146" name="Button 732">
              <controlPr defaultSize="0" autoFill="0" autoLine="0" autoPict="0" macro="[0]!Sheet1.deleteRow">
                <anchor moveWithCells="1" sizeWithCells="1">
                  <from>
                    <xdr:col>6</xdr:col>
                    <xdr:colOff>0</xdr:colOff>
                    <xdr:row>1834</xdr:row>
                    <xdr:rowOff>0</xdr:rowOff>
                  </from>
                  <to>
                    <xdr:col>7</xdr:col>
                    <xdr:colOff>0</xdr:colOff>
                    <xdr:row>1834</xdr:row>
                    <xdr:rowOff>161925</xdr:rowOff>
                  </to>
                </anchor>
              </controlPr>
            </control>
          </mc:Choice>
        </mc:AlternateContent>
        <mc:AlternateContent xmlns:mc="http://schemas.openxmlformats.org/markup-compatibility/2006">
          <mc:Choice Requires="x14">
            <control shapeId="1755" r:id="rId1147" name="Button 731">
              <controlPr defaultSize="0" autoFill="0" autoLine="0" autoPict="0" macro="[0]!Sheet1.deleteRow">
                <anchor moveWithCells="1" sizeWithCells="1">
                  <from>
                    <xdr:col>6</xdr:col>
                    <xdr:colOff>0</xdr:colOff>
                    <xdr:row>1835</xdr:row>
                    <xdr:rowOff>0</xdr:rowOff>
                  </from>
                  <to>
                    <xdr:col>7</xdr:col>
                    <xdr:colOff>0</xdr:colOff>
                    <xdr:row>1835</xdr:row>
                    <xdr:rowOff>161925</xdr:rowOff>
                  </to>
                </anchor>
              </controlPr>
            </control>
          </mc:Choice>
        </mc:AlternateContent>
        <mc:AlternateContent xmlns:mc="http://schemas.openxmlformats.org/markup-compatibility/2006">
          <mc:Choice Requires="x14">
            <control shapeId="1754" r:id="rId1148" name="Button 730">
              <controlPr defaultSize="0" autoFill="0" autoLine="0" autoPict="0" macro="[0]!Sheet1.deleteRow">
                <anchor moveWithCells="1" sizeWithCells="1">
                  <from>
                    <xdr:col>6</xdr:col>
                    <xdr:colOff>0</xdr:colOff>
                    <xdr:row>1836</xdr:row>
                    <xdr:rowOff>0</xdr:rowOff>
                  </from>
                  <to>
                    <xdr:col>7</xdr:col>
                    <xdr:colOff>0</xdr:colOff>
                    <xdr:row>1836</xdr:row>
                    <xdr:rowOff>161925</xdr:rowOff>
                  </to>
                </anchor>
              </controlPr>
            </control>
          </mc:Choice>
        </mc:AlternateContent>
        <mc:AlternateContent xmlns:mc="http://schemas.openxmlformats.org/markup-compatibility/2006">
          <mc:Choice Requires="x14">
            <control shapeId="1753" r:id="rId1149" name="Button 729">
              <controlPr defaultSize="0" autoFill="0" autoLine="0" autoPict="0" macro="[0]!Sheet1.deleteRow">
                <anchor moveWithCells="1" sizeWithCells="1">
                  <from>
                    <xdr:col>6</xdr:col>
                    <xdr:colOff>0</xdr:colOff>
                    <xdr:row>1837</xdr:row>
                    <xdr:rowOff>0</xdr:rowOff>
                  </from>
                  <to>
                    <xdr:col>7</xdr:col>
                    <xdr:colOff>0</xdr:colOff>
                    <xdr:row>1837</xdr:row>
                    <xdr:rowOff>161925</xdr:rowOff>
                  </to>
                </anchor>
              </controlPr>
            </control>
          </mc:Choice>
        </mc:AlternateContent>
        <mc:AlternateContent xmlns:mc="http://schemas.openxmlformats.org/markup-compatibility/2006">
          <mc:Choice Requires="x14">
            <control shapeId="1752" r:id="rId1150" name="Button 728">
              <controlPr defaultSize="0" autoFill="0" autoLine="0" autoPict="0" macro="[0]!Sheet1.deleteRow">
                <anchor moveWithCells="1" sizeWithCells="1">
                  <from>
                    <xdr:col>6</xdr:col>
                    <xdr:colOff>0</xdr:colOff>
                    <xdr:row>1838</xdr:row>
                    <xdr:rowOff>0</xdr:rowOff>
                  </from>
                  <to>
                    <xdr:col>7</xdr:col>
                    <xdr:colOff>0</xdr:colOff>
                    <xdr:row>1838</xdr:row>
                    <xdr:rowOff>161925</xdr:rowOff>
                  </to>
                </anchor>
              </controlPr>
            </control>
          </mc:Choice>
        </mc:AlternateContent>
        <mc:AlternateContent xmlns:mc="http://schemas.openxmlformats.org/markup-compatibility/2006">
          <mc:Choice Requires="x14">
            <control shapeId="1751" r:id="rId1151" name="Button 727">
              <controlPr defaultSize="0" autoFill="0" autoLine="0" autoPict="0" macro="[0]!Sheet1.deleteRow">
                <anchor moveWithCells="1" sizeWithCells="1">
                  <from>
                    <xdr:col>6</xdr:col>
                    <xdr:colOff>0</xdr:colOff>
                    <xdr:row>1839</xdr:row>
                    <xdr:rowOff>0</xdr:rowOff>
                  </from>
                  <to>
                    <xdr:col>7</xdr:col>
                    <xdr:colOff>0</xdr:colOff>
                    <xdr:row>1839</xdr:row>
                    <xdr:rowOff>161925</xdr:rowOff>
                  </to>
                </anchor>
              </controlPr>
            </control>
          </mc:Choice>
        </mc:AlternateContent>
        <mc:AlternateContent xmlns:mc="http://schemas.openxmlformats.org/markup-compatibility/2006">
          <mc:Choice Requires="x14">
            <control shapeId="1750" r:id="rId1152" name="Button 726">
              <controlPr defaultSize="0" autoFill="0" autoLine="0" autoPict="0" macro="[0]!Sheet1.deleteRow">
                <anchor moveWithCells="1" sizeWithCells="1">
                  <from>
                    <xdr:col>6</xdr:col>
                    <xdr:colOff>0</xdr:colOff>
                    <xdr:row>1840</xdr:row>
                    <xdr:rowOff>0</xdr:rowOff>
                  </from>
                  <to>
                    <xdr:col>7</xdr:col>
                    <xdr:colOff>0</xdr:colOff>
                    <xdr:row>1840</xdr:row>
                    <xdr:rowOff>161925</xdr:rowOff>
                  </to>
                </anchor>
              </controlPr>
            </control>
          </mc:Choice>
        </mc:AlternateContent>
        <mc:AlternateContent xmlns:mc="http://schemas.openxmlformats.org/markup-compatibility/2006">
          <mc:Choice Requires="x14">
            <control shapeId="1749" r:id="rId1153" name="Button 725">
              <controlPr defaultSize="0" autoFill="0" autoLine="0" autoPict="0" macro="[0]!Sheet1.deleteProcedure">
                <anchor moveWithCells="1" sizeWithCells="1">
                  <from>
                    <xdr:col>6</xdr:col>
                    <xdr:colOff>0</xdr:colOff>
                    <xdr:row>1843</xdr:row>
                    <xdr:rowOff>0</xdr:rowOff>
                  </from>
                  <to>
                    <xdr:col>7</xdr:col>
                    <xdr:colOff>0</xdr:colOff>
                    <xdr:row>1844</xdr:row>
                    <xdr:rowOff>0</xdr:rowOff>
                  </to>
                </anchor>
              </controlPr>
            </control>
          </mc:Choice>
        </mc:AlternateContent>
        <mc:AlternateContent xmlns:mc="http://schemas.openxmlformats.org/markup-compatibility/2006">
          <mc:Choice Requires="x14">
            <control shapeId="1748" r:id="rId1154" name="Button 724">
              <controlPr defaultSize="0" autoFill="0" autoLine="0" autoPict="0" macro="[0]!Sheet1.InsertNewTableRow">
                <anchor moveWithCells="1" sizeWithCells="1">
                  <from>
                    <xdr:col>6</xdr:col>
                    <xdr:colOff>0</xdr:colOff>
                    <xdr:row>1850</xdr:row>
                    <xdr:rowOff>0</xdr:rowOff>
                  </from>
                  <to>
                    <xdr:col>7</xdr:col>
                    <xdr:colOff>0</xdr:colOff>
                    <xdr:row>1850</xdr:row>
                    <xdr:rowOff>38100</xdr:rowOff>
                  </to>
                </anchor>
              </controlPr>
            </control>
          </mc:Choice>
        </mc:AlternateContent>
        <mc:AlternateContent xmlns:mc="http://schemas.openxmlformats.org/markup-compatibility/2006">
          <mc:Choice Requires="x14">
            <control shapeId="1747" r:id="rId1155" name="Button 723">
              <controlPr defaultSize="0" autoFill="0" autoLine="0" autoPict="0" macro="[0]!Sheet1.deleteRow">
                <anchor moveWithCells="1" sizeWithCells="1">
                  <from>
                    <xdr:col>6</xdr:col>
                    <xdr:colOff>0</xdr:colOff>
                    <xdr:row>1851</xdr:row>
                    <xdr:rowOff>0</xdr:rowOff>
                  </from>
                  <to>
                    <xdr:col>7</xdr:col>
                    <xdr:colOff>0</xdr:colOff>
                    <xdr:row>1851</xdr:row>
                    <xdr:rowOff>161925</xdr:rowOff>
                  </to>
                </anchor>
              </controlPr>
            </control>
          </mc:Choice>
        </mc:AlternateContent>
        <mc:AlternateContent xmlns:mc="http://schemas.openxmlformats.org/markup-compatibility/2006">
          <mc:Choice Requires="x14">
            <control shapeId="1746" r:id="rId1156" name="Button 722">
              <controlPr defaultSize="0" autoFill="0" autoLine="0" autoPict="0" macro="[0]!Sheet1.deleteRow">
                <anchor moveWithCells="1" sizeWithCells="1">
                  <from>
                    <xdr:col>6</xdr:col>
                    <xdr:colOff>0</xdr:colOff>
                    <xdr:row>1852</xdr:row>
                    <xdr:rowOff>0</xdr:rowOff>
                  </from>
                  <to>
                    <xdr:col>7</xdr:col>
                    <xdr:colOff>0</xdr:colOff>
                    <xdr:row>1852</xdr:row>
                    <xdr:rowOff>161925</xdr:rowOff>
                  </to>
                </anchor>
              </controlPr>
            </control>
          </mc:Choice>
        </mc:AlternateContent>
        <mc:AlternateContent xmlns:mc="http://schemas.openxmlformats.org/markup-compatibility/2006">
          <mc:Choice Requires="x14">
            <control shapeId="1745" r:id="rId1157" name="Button 721">
              <controlPr defaultSize="0" autoFill="0" autoLine="0" autoPict="0" macro="[0]!Sheet1.deleteProcedure">
                <anchor moveWithCells="1" sizeWithCells="1">
                  <from>
                    <xdr:col>6</xdr:col>
                    <xdr:colOff>0</xdr:colOff>
                    <xdr:row>1855</xdr:row>
                    <xdr:rowOff>0</xdr:rowOff>
                  </from>
                  <to>
                    <xdr:col>7</xdr:col>
                    <xdr:colOff>0</xdr:colOff>
                    <xdr:row>1856</xdr:row>
                    <xdr:rowOff>0</xdr:rowOff>
                  </to>
                </anchor>
              </controlPr>
            </control>
          </mc:Choice>
        </mc:AlternateContent>
        <mc:AlternateContent xmlns:mc="http://schemas.openxmlformats.org/markup-compatibility/2006">
          <mc:Choice Requires="x14">
            <control shapeId="1744" r:id="rId1158" name="Button 720">
              <controlPr defaultSize="0" autoFill="0" autoLine="0" autoPict="0" macro="[0]!Sheet1.InsertNewTableRow">
                <anchor moveWithCells="1" sizeWithCells="1">
                  <from>
                    <xdr:col>6</xdr:col>
                    <xdr:colOff>0</xdr:colOff>
                    <xdr:row>1862</xdr:row>
                    <xdr:rowOff>0</xdr:rowOff>
                  </from>
                  <to>
                    <xdr:col>7</xdr:col>
                    <xdr:colOff>0</xdr:colOff>
                    <xdr:row>1862</xdr:row>
                    <xdr:rowOff>38100</xdr:rowOff>
                  </to>
                </anchor>
              </controlPr>
            </control>
          </mc:Choice>
        </mc:AlternateContent>
        <mc:AlternateContent xmlns:mc="http://schemas.openxmlformats.org/markup-compatibility/2006">
          <mc:Choice Requires="x14">
            <control shapeId="1743" r:id="rId1159" name="Button 719">
              <controlPr defaultSize="0" autoFill="0" autoLine="0" autoPict="0" macro="[0]!Sheet1.deleteRow">
                <anchor moveWithCells="1" sizeWithCells="1">
                  <from>
                    <xdr:col>6</xdr:col>
                    <xdr:colOff>0</xdr:colOff>
                    <xdr:row>1863</xdr:row>
                    <xdr:rowOff>0</xdr:rowOff>
                  </from>
                  <to>
                    <xdr:col>7</xdr:col>
                    <xdr:colOff>0</xdr:colOff>
                    <xdr:row>1863</xdr:row>
                    <xdr:rowOff>161925</xdr:rowOff>
                  </to>
                </anchor>
              </controlPr>
            </control>
          </mc:Choice>
        </mc:AlternateContent>
        <mc:AlternateContent xmlns:mc="http://schemas.openxmlformats.org/markup-compatibility/2006">
          <mc:Choice Requires="x14">
            <control shapeId="1742" r:id="rId1160" name="Button 718">
              <controlPr defaultSize="0" autoFill="0" autoLine="0" autoPict="0" macro="[0]!Sheet1.deleteRow">
                <anchor moveWithCells="1" sizeWithCells="1">
                  <from>
                    <xdr:col>6</xdr:col>
                    <xdr:colOff>0</xdr:colOff>
                    <xdr:row>1864</xdr:row>
                    <xdr:rowOff>0</xdr:rowOff>
                  </from>
                  <to>
                    <xdr:col>7</xdr:col>
                    <xdr:colOff>0</xdr:colOff>
                    <xdr:row>1864</xdr:row>
                    <xdr:rowOff>161925</xdr:rowOff>
                  </to>
                </anchor>
              </controlPr>
            </control>
          </mc:Choice>
        </mc:AlternateContent>
        <mc:AlternateContent xmlns:mc="http://schemas.openxmlformats.org/markup-compatibility/2006">
          <mc:Choice Requires="x14">
            <control shapeId="1741" r:id="rId1161" name="Button 717">
              <controlPr defaultSize="0" autoFill="0" autoLine="0" autoPict="0" macro="[0]!Sheet1.deleteRow">
                <anchor moveWithCells="1" sizeWithCells="1">
                  <from>
                    <xdr:col>6</xdr:col>
                    <xdr:colOff>0</xdr:colOff>
                    <xdr:row>1865</xdr:row>
                    <xdr:rowOff>0</xdr:rowOff>
                  </from>
                  <to>
                    <xdr:col>7</xdr:col>
                    <xdr:colOff>0</xdr:colOff>
                    <xdr:row>1865</xdr:row>
                    <xdr:rowOff>161925</xdr:rowOff>
                  </to>
                </anchor>
              </controlPr>
            </control>
          </mc:Choice>
        </mc:AlternateContent>
        <mc:AlternateContent xmlns:mc="http://schemas.openxmlformats.org/markup-compatibility/2006">
          <mc:Choice Requires="x14">
            <control shapeId="1740" r:id="rId1162" name="Button 716">
              <controlPr defaultSize="0" autoFill="0" autoLine="0" autoPict="0" macro="[0]!Sheet1.deleteRow">
                <anchor moveWithCells="1" sizeWithCells="1">
                  <from>
                    <xdr:col>6</xdr:col>
                    <xdr:colOff>0</xdr:colOff>
                    <xdr:row>1866</xdr:row>
                    <xdr:rowOff>0</xdr:rowOff>
                  </from>
                  <to>
                    <xdr:col>7</xdr:col>
                    <xdr:colOff>0</xdr:colOff>
                    <xdr:row>1866</xdr:row>
                    <xdr:rowOff>161925</xdr:rowOff>
                  </to>
                </anchor>
              </controlPr>
            </control>
          </mc:Choice>
        </mc:AlternateContent>
        <mc:AlternateContent xmlns:mc="http://schemas.openxmlformats.org/markup-compatibility/2006">
          <mc:Choice Requires="x14">
            <control shapeId="1739" r:id="rId1163" name="Button 715">
              <controlPr defaultSize="0" autoFill="0" autoLine="0" autoPict="0" macro="[0]!Sheet1.deleteRow">
                <anchor moveWithCells="1" sizeWithCells="1">
                  <from>
                    <xdr:col>6</xdr:col>
                    <xdr:colOff>0</xdr:colOff>
                    <xdr:row>1867</xdr:row>
                    <xdr:rowOff>0</xdr:rowOff>
                  </from>
                  <to>
                    <xdr:col>7</xdr:col>
                    <xdr:colOff>0</xdr:colOff>
                    <xdr:row>1867</xdr:row>
                    <xdr:rowOff>161925</xdr:rowOff>
                  </to>
                </anchor>
              </controlPr>
            </control>
          </mc:Choice>
        </mc:AlternateContent>
        <mc:AlternateContent xmlns:mc="http://schemas.openxmlformats.org/markup-compatibility/2006">
          <mc:Choice Requires="x14">
            <control shapeId="1738" r:id="rId1164" name="Button 714">
              <controlPr defaultSize="0" autoFill="0" autoLine="0" autoPict="0" macro="[0]!Sheet1.deleteProcedure">
                <anchor moveWithCells="1" sizeWithCells="1">
                  <from>
                    <xdr:col>6</xdr:col>
                    <xdr:colOff>0</xdr:colOff>
                    <xdr:row>1870</xdr:row>
                    <xdr:rowOff>0</xdr:rowOff>
                  </from>
                  <to>
                    <xdr:col>7</xdr:col>
                    <xdr:colOff>0</xdr:colOff>
                    <xdr:row>1871</xdr:row>
                    <xdr:rowOff>0</xdr:rowOff>
                  </to>
                </anchor>
              </controlPr>
            </control>
          </mc:Choice>
        </mc:AlternateContent>
        <mc:AlternateContent xmlns:mc="http://schemas.openxmlformats.org/markup-compatibility/2006">
          <mc:Choice Requires="x14">
            <control shapeId="1737" r:id="rId1165" name="Button 713">
              <controlPr defaultSize="0" autoFill="0" autoLine="0" autoPict="0" macro="[0]!Sheet1.InsertNewTableRow">
                <anchor moveWithCells="1" sizeWithCells="1">
                  <from>
                    <xdr:col>6</xdr:col>
                    <xdr:colOff>0</xdr:colOff>
                    <xdr:row>1877</xdr:row>
                    <xdr:rowOff>0</xdr:rowOff>
                  </from>
                  <to>
                    <xdr:col>7</xdr:col>
                    <xdr:colOff>0</xdr:colOff>
                    <xdr:row>1877</xdr:row>
                    <xdr:rowOff>38100</xdr:rowOff>
                  </to>
                </anchor>
              </controlPr>
            </control>
          </mc:Choice>
        </mc:AlternateContent>
        <mc:AlternateContent xmlns:mc="http://schemas.openxmlformats.org/markup-compatibility/2006">
          <mc:Choice Requires="x14">
            <control shapeId="1736" r:id="rId1166" name="Button 712">
              <controlPr defaultSize="0" autoFill="0" autoLine="0" autoPict="0" macro="[0]!Sheet1.deleteRow">
                <anchor moveWithCells="1" sizeWithCells="1">
                  <from>
                    <xdr:col>6</xdr:col>
                    <xdr:colOff>0</xdr:colOff>
                    <xdr:row>1878</xdr:row>
                    <xdr:rowOff>0</xdr:rowOff>
                  </from>
                  <to>
                    <xdr:col>7</xdr:col>
                    <xdr:colOff>0</xdr:colOff>
                    <xdr:row>1878</xdr:row>
                    <xdr:rowOff>161925</xdr:rowOff>
                  </to>
                </anchor>
              </controlPr>
            </control>
          </mc:Choice>
        </mc:AlternateContent>
        <mc:AlternateContent xmlns:mc="http://schemas.openxmlformats.org/markup-compatibility/2006">
          <mc:Choice Requires="x14">
            <control shapeId="1735" r:id="rId1167" name="Button 711">
              <controlPr defaultSize="0" autoFill="0" autoLine="0" autoPict="0" macro="[0]!Sheet1.deleteProcedure">
                <anchor moveWithCells="1" sizeWithCells="1">
                  <from>
                    <xdr:col>6</xdr:col>
                    <xdr:colOff>0</xdr:colOff>
                    <xdr:row>1881</xdr:row>
                    <xdr:rowOff>0</xdr:rowOff>
                  </from>
                  <to>
                    <xdr:col>7</xdr:col>
                    <xdr:colOff>0</xdr:colOff>
                    <xdr:row>1882</xdr:row>
                    <xdr:rowOff>0</xdr:rowOff>
                  </to>
                </anchor>
              </controlPr>
            </control>
          </mc:Choice>
        </mc:AlternateContent>
        <mc:AlternateContent xmlns:mc="http://schemas.openxmlformats.org/markup-compatibility/2006">
          <mc:Choice Requires="x14">
            <control shapeId="1734" r:id="rId1168" name="Button 710">
              <controlPr defaultSize="0" autoFill="0" autoLine="0" autoPict="0" macro="[0]!Sheet1.InsertNewTableRow">
                <anchor moveWithCells="1" sizeWithCells="1">
                  <from>
                    <xdr:col>6</xdr:col>
                    <xdr:colOff>0</xdr:colOff>
                    <xdr:row>1888</xdr:row>
                    <xdr:rowOff>0</xdr:rowOff>
                  </from>
                  <to>
                    <xdr:col>7</xdr:col>
                    <xdr:colOff>0</xdr:colOff>
                    <xdr:row>1888</xdr:row>
                    <xdr:rowOff>38100</xdr:rowOff>
                  </to>
                </anchor>
              </controlPr>
            </control>
          </mc:Choice>
        </mc:AlternateContent>
        <mc:AlternateContent xmlns:mc="http://schemas.openxmlformats.org/markup-compatibility/2006">
          <mc:Choice Requires="x14">
            <control shapeId="1733" r:id="rId1169" name="Button 709">
              <controlPr defaultSize="0" autoFill="0" autoLine="0" autoPict="0" macro="[0]!Sheet1.deleteRow">
                <anchor moveWithCells="1" sizeWithCells="1">
                  <from>
                    <xdr:col>6</xdr:col>
                    <xdr:colOff>0</xdr:colOff>
                    <xdr:row>1889</xdr:row>
                    <xdr:rowOff>0</xdr:rowOff>
                  </from>
                  <to>
                    <xdr:col>7</xdr:col>
                    <xdr:colOff>0</xdr:colOff>
                    <xdr:row>1889</xdr:row>
                    <xdr:rowOff>161925</xdr:rowOff>
                  </to>
                </anchor>
              </controlPr>
            </control>
          </mc:Choice>
        </mc:AlternateContent>
        <mc:AlternateContent xmlns:mc="http://schemas.openxmlformats.org/markup-compatibility/2006">
          <mc:Choice Requires="x14">
            <control shapeId="1732" r:id="rId1170" name="Button 708">
              <controlPr defaultSize="0" autoFill="0" autoLine="0" autoPict="0" macro="[0]!Sheet1.deleteRow">
                <anchor moveWithCells="1" sizeWithCells="1">
                  <from>
                    <xdr:col>6</xdr:col>
                    <xdr:colOff>0</xdr:colOff>
                    <xdr:row>1890</xdr:row>
                    <xdr:rowOff>0</xdr:rowOff>
                  </from>
                  <to>
                    <xdr:col>7</xdr:col>
                    <xdr:colOff>0</xdr:colOff>
                    <xdr:row>1890</xdr:row>
                    <xdr:rowOff>161925</xdr:rowOff>
                  </to>
                </anchor>
              </controlPr>
            </control>
          </mc:Choice>
        </mc:AlternateContent>
        <mc:AlternateContent xmlns:mc="http://schemas.openxmlformats.org/markup-compatibility/2006">
          <mc:Choice Requires="x14">
            <control shapeId="1731" r:id="rId1171" name="Button 707">
              <controlPr defaultSize="0" autoFill="0" autoLine="0" autoPict="0" macro="[0]!Sheet1.deleteRow">
                <anchor moveWithCells="1" sizeWithCells="1">
                  <from>
                    <xdr:col>6</xdr:col>
                    <xdr:colOff>0</xdr:colOff>
                    <xdr:row>1891</xdr:row>
                    <xdr:rowOff>0</xdr:rowOff>
                  </from>
                  <to>
                    <xdr:col>7</xdr:col>
                    <xdr:colOff>0</xdr:colOff>
                    <xdr:row>1891</xdr:row>
                    <xdr:rowOff>161925</xdr:rowOff>
                  </to>
                </anchor>
              </controlPr>
            </control>
          </mc:Choice>
        </mc:AlternateContent>
        <mc:AlternateContent xmlns:mc="http://schemas.openxmlformats.org/markup-compatibility/2006">
          <mc:Choice Requires="x14">
            <control shapeId="1730" r:id="rId1172" name="Button 706">
              <controlPr defaultSize="0" autoFill="0" autoLine="0" autoPict="0" macro="[0]!Sheet1.deleteProcedure">
                <anchor moveWithCells="1" sizeWithCells="1">
                  <from>
                    <xdr:col>6</xdr:col>
                    <xdr:colOff>0</xdr:colOff>
                    <xdr:row>1894</xdr:row>
                    <xdr:rowOff>0</xdr:rowOff>
                  </from>
                  <to>
                    <xdr:col>7</xdr:col>
                    <xdr:colOff>0</xdr:colOff>
                    <xdr:row>1895</xdr:row>
                    <xdr:rowOff>0</xdr:rowOff>
                  </to>
                </anchor>
              </controlPr>
            </control>
          </mc:Choice>
        </mc:AlternateContent>
        <mc:AlternateContent xmlns:mc="http://schemas.openxmlformats.org/markup-compatibility/2006">
          <mc:Choice Requires="x14">
            <control shapeId="1729" r:id="rId1173" name="Button 705">
              <controlPr defaultSize="0" autoFill="0" autoLine="0" autoPict="0" macro="[0]!Sheet1.InsertNewTableRow">
                <anchor moveWithCells="1" sizeWithCells="1">
                  <from>
                    <xdr:col>6</xdr:col>
                    <xdr:colOff>0</xdr:colOff>
                    <xdr:row>1901</xdr:row>
                    <xdr:rowOff>0</xdr:rowOff>
                  </from>
                  <to>
                    <xdr:col>7</xdr:col>
                    <xdr:colOff>0</xdr:colOff>
                    <xdr:row>1901</xdr:row>
                    <xdr:rowOff>38100</xdr:rowOff>
                  </to>
                </anchor>
              </controlPr>
            </control>
          </mc:Choice>
        </mc:AlternateContent>
        <mc:AlternateContent xmlns:mc="http://schemas.openxmlformats.org/markup-compatibility/2006">
          <mc:Choice Requires="x14">
            <control shapeId="1728" r:id="rId1174" name="Button 704">
              <controlPr defaultSize="0" autoFill="0" autoLine="0" autoPict="0" macro="[0]!Sheet1.deleteRow">
                <anchor moveWithCells="1" sizeWithCells="1">
                  <from>
                    <xdr:col>6</xdr:col>
                    <xdr:colOff>0</xdr:colOff>
                    <xdr:row>1902</xdr:row>
                    <xdr:rowOff>0</xdr:rowOff>
                  </from>
                  <to>
                    <xdr:col>7</xdr:col>
                    <xdr:colOff>0</xdr:colOff>
                    <xdr:row>1902</xdr:row>
                    <xdr:rowOff>161925</xdr:rowOff>
                  </to>
                </anchor>
              </controlPr>
            </control>
          </mc:Choice>
        </mc:AlternateContent>
        <mc:AlternateContent xmlns:mc="http://schemas.openxmlformats.org/markup-compatibility/2006">
          <mc:Choice Requires="x14">
            <control shapeId="1727" r:id="rId1175" name="Button 703">
              <controlPr defaultSize="0" autoFill="0" autoLine="0" autoPict="0" macro="[0]!Sheet1.deleteProcedure">
                <anchor moveWithCells="1" sizeWithCells="1">
                  <from>
                    <xdr:col>6</xdr:col>
                    <xdr:colOff>0</xdr:colOff>
                    <xdr:row>1905</xdr:row>
                    <xdr:rowOff>0</xdr:rowOff>
                  </from>
                  <to>
                    <xdr:col>7</xdr:col>
                    <xdr:colOff>0</xdr:colOff>
                    <xdr:row>1906</xdr:row>
                    <xdr:rowOff>0</xdr:rowOff>
                  </to>
                </anchor>
              </controlPr>
            </control>
          </mc:Choice>
        </mc:AlternateContent>
        <mc:AlternateContent xmlns:mc="http://schemas.openxmlformats.org/markup-compatibility/2006">
          <mc:Choice Requires="x14">
            <control shapeId="1726" r:id="rId1176" name="Button 702">
              <controlPr defaultSize="0" autoFill="0" autoLine="0" autoPict="0" macro="[0]!Sheet1.InsertNewTableRow">
                <anchor moveWithCells="1" sizeWithCells="1">
                  <from>
                    <xdr:col>6</xdr:col>
                    <xdr:colOff>0</xdr:colOff>
                    <xdr:row>1912</xdr:row>
                    <xdr:rowOff>0</xdr:rowOff>
                  </from>
                  <to>
                    <xdr:col>7</xdr:col>
                    <xdr:colOff>0</xdr:colOff>
                    <xdr:row>1912</xdr:row>
                    <xdr:rowOff>38100</xdr:rowOff>
                  </to>
                </anchor>
              </controlPr>
            </control>
          </mc:Choice>
        </mc:AlternateContent>
        <mc:AlternateContent xmlns:mc="http://schemas.openxmlformats.org/markup-compatibility/2006">
          <mc:Choice Requires="x14">
            <control shapeId="1725" r:id="rId1177" name="Button 701">
              <controlPr defaultSize="0" autoFill="0" autoLine="0" autoPict="0" macro="[0]!Sheet1.deleteRow">
                <anchor moveWithCells="1" sizeWithCells="1">
                  <from>
                    <xdr:col>6</xdr:col>
                    <xdr:colOff>0</xdr:colOff>
                    <xdr:row>1913</xdr:row>
                    <xdr:rowOff>0</xdr:rowOff>
                  </from>
                  <to>
                    <xdr:col>7</xdr:col>
                    <xdr:colOff>0</xdr:colOff>
                    <xdr:row>1913</xdr:row>
                    <xdr:rowOff>161925</xdr:rowOff>
                  </to>
                </anchor>
              </controlPr>
            </control>
          </mc:Choice>
        </mc:AlternateContent>
        <mc:AlternateContent xmlns:mc="http://schemas.openxmlformats.org/markup-compatibility/2006">
          <mc:Choice Requires="x14">
            <control shapeId="1724" r:id="rId1178" name="Button 700">
              <controlPr defaultSize="0" autoFill="0" autoLine="0" autoPict="0" macro="[0]!Sheet1.deleteProcedure">
                <anchor moveWithCells="1" sizeWithCells="1">
                  <from>
                    <xdr:col>6</xdr:col>
                    <xdr:colOff>0</xdr:colOff>
                    <xdr:row>1916</xdr:row>
                    <xdr:rowOff>0</xdr:rowOff>
                  </from>
                  <to>
                    <xdr:col>7</xdr:col>
                    <xdr:colOff>0</xdr:colOff>
                    <xdr:row>1917</xdr:row>
                    <xdr:rowOff>0</xdr:rowOff>
                  </to>
                </anchor>
              </controlPr>
            </control>
          </mc:Choice>
        </mc:AlternateContent>
        <mc:AlternateContent xmlns:mc="http://schemas.openxmlformats.org/markup-compatibility/2006">
          <mc:Choice Requires="x14">
            <control shapeId="1723" r:id="rId1179" name="Button 699">
              <controlPr defaultSize="0" autoFill="0" autoLine="0" autoPict="0" macro="[0]!Sheet1.InsertNewTableRow">
                <anchor moveWithCells="1" sizeWithCells="1">
                  <from>
                    <xdr:col>6</xdr:col>
                    <xdr:colOff>0</xdr:colOff>
                    <xdr:row>1923</xdr:row>
                    <xdr:rowOff>0</xdr:rowOff>
                  </from>
                  <to>
                    <xdr:col>7</xdr:col>
                    <xdr:colOff>0</xdr:colOff>
                    <xdr:row>1923</xdr:row>
                    <xdr:rowOff>38100</xdr:rowOff>
                  </to>
                </anchor>
              </controlPr>
            </control>
          </mc:Choice>
        </mc:AlternateContent>
        <mc:AlternateContent xmlns:mc="http://schemas.openxmlformats.org/markup-compatibility/2006">
          <mc:Choice Requires="x14">
            <control shapeId="1722" r:id="rId1180" name="Button 698">
              <controlPr defaultSize="0" autoFill="0" autoLine="0" autoPict="0" macro="[0]!Sheet1.deleteRow">
                <anchor moveWithCells="1" sizeWithCells="1">
                  <from>
                    <xdr:col>6</xdr:col>
                    <xdr:colOff>0</xdr:colOff>
                    <xdr:row>1924</xdr:row>
                    <xdr:rowOff>0</xdr:rowOff>
                  </from>
                  <to>
                    <xdr:col>7</xdr:col>
                    <xdr:colOff>0</xdr:colOff>
                    <xdr:row>1924</xdr:row>
                    <xdr:rowOff>161925</xdr:rowOff>
                  </to>
                </anchor>
              </controlPr>
            </control>
          </mc:Choice>
        </mc:AlternateContent>
        <mc:AlternateContent xmlns:mc="http://schemas.openxmlformats.org/markup-compatibility/2006">
          <mc:Choice Requires="x14">
            <control shapeId="1721" r:id="rId1181" name="Button 697">
              <controlPr defaultSize="0" autoFill="0" autoLine="0" autoPict="0" macro="[0]!Sheet1.deleteRow">
                <anchor moveWithCells="1" sizeWithCells="1">
                  <from>
                    <xdr:col>6</xdr:col>
                    <xdr:colOff>0</xdr:colOff>
                    <xdr:row>1925</xdr:row>
                    <xdr:rowOff>0</xdr:rowOff>
                  </from>
                  <to>
                    <xdr:col>7</xdr:col>
                    <xdr:colOff>0</xdr:colOff>
                    <xdr:row>1925</xdr:row>
                    <xdr:rowOff>161925</xdr:rowOff>
                  </to>
                </anchor>
              </controlPr>
            </control>
          </mc:Choice>
        </mc:AlternateContent>
        <mc:AlternateContent xmlns:mc="http://schemas.openxmlformats.org/markup-compatibility/2006">
          <mc:Choice Requires="x14">
            <control shapeId="1720" r:id="rId1182" name="Button 696">
              <controlPr defaultSize="0" autoFill="0" autoLine="0" autoPict="0" macro="[0]!Sheet1.deleteRow">
                <anchor moveWithCells="1" sizeWithCells="1">
                  <from>
                    <xdr:col>6</xdr:col>
                    <xdr:colOff>0</xdr:colOff>
                    <xdr:row>1926</xdr:row>
                    <xdr:rowOff>0</xdr:rowOff>
                  </from>
                  <to>
                    <xdr:col>7</xdr:col>
                    <xdr:colOff>0</xdr:colOff>
                    <xdr:row>1926</xdr:row>
                    <xdr:rowOff>161925</xdr:rowOff>
                  </to>
                </anchor>
              </controlPr>
            </control>
          </mc:Choice>
        </mc:AlternateContent>
        <mc:AlternateContent xmlns:mc="http://schemas.openxmlformats.org/markup-compatibility/2006">
          <mc:Choice Requires="x14">
            <control shapeId="1719" r:id="rId1183" name="Button 695">
              <controlPr defaultSize="0" autoFill="0" autoLine="0" autoPict="0" macro="[0]!Sheet1.deleteRow">
                <anchor moveWithCells="1" sizeWithCells="1">
                  <from>
                    <xdr:col>6</xdr:col>
                    <xdr:colOff>0</xdr:colOff>
                    <xdr:row>1927</xdr:row>
                    <xdr:rowOff>0</xdr:rowOff>
                  </from>
                  <to>
                    <xdr:col>7</xdr:col>
                    <xdr:colOff>0</xdr:colOff>
                    <xdr:row>1927</xdr:row>
                    <xdr:rowOff>161925</xdr:rowOff>
                  </to>
                </anchor>
              </controlPr>
            </control>
          </mc:Choice>
        </mc:AlternateContent>
        <mc:AlternateContent xmlns:mc="http://schemas.openxmlformats.org/markup-compatibility/2006">
          <mc:Choice Requires="x14">
            <control shapeId="1718" r:id="rId1184" name="Button 694">
              <controlPr defaultSize="0" autoFill="0" autoLine="0" autoPict="0" macro="[0]!Sheet1.deleteRow">
                <anchor moveWithCells="1" sizeWithCells="1">
                  <from>
                    <xdr:col>6</xdr:col>
                    <xdr:colOff>0</xdr:colOff>
                    <xdr:row>1928</xdr:row>
                    <xdr:rowOff>0</xdr:rowOff>
                  </from>
                  <to>
                    <xdr:col>7</xdr:col>
                    <xdr:colOff>0</xdr:colOff>
                    <xdr:row>1928</xdr:row>
                    <xdr:rowOff>161925</xdr:rowOff>
                  </to>
                </anchor>
              </controlPr>
            </control>
          </mc:Choice>
        </mc:AlternateContent>
        <mc:AlternateContent xmlns:mc="http://schemas.openxmlformats.org/markup-compatibility/2006">
          <mc:Choice Requires="x14">
            <control shapeId="1717" r:id="rId1185" name="Button 693">
              <controlPr defaultSize="0" autoFill="0" autoLine="0" autoPict="0" macro="[0]!Sheet1.deleteRow">
                <anchor moveWithCells="1" sizeWithCells="1">
                  <from>
                    <xdr:col>6</xdr:col>
                    <xdr:colOff>0</xdr:colOff>
                    <xdr:row>1929</xdr:row>
                    <xdr:rowOff>0</xdr:rowOff>
                  </from>
                  <to>
                    <xdr:col>7</xdr:col>
                    <xdr:colOff>0</xdr:colOff>
                    <xdr:row>1929</xdr:row>
                    <xdr:rowOff>161925</xdr:rowOff>
                  </to>
                </anchor>
              </controlPr>
            </control>
          </mc:Choice>
        </mc:AlternateContent>
        <mc:AlternateContent xmlns:mc="http://schemas.openxmlformats.org/markup-compatibility/2006">
          <mc:Choice Requires="x14">
            <control shapeId="1716" r:id="rId1186" name="Button 692">
              <controlPr defaultSize="0" autoFill="0" autoLine="0" autoPict="0" macro="[0]!Sheet1.deleteRow">
                <anchor moveWithCells="1" sizeWithCells="1">
                  <from>
                    <xdr:col>6</xdr:col>
                    <xdr:colOff>0</xdr:colOff>
                    <xdr:row>1930</xdr:row>
                    <xdr:rowOff>0</xdr:rowOff>
                  </from>
                  <to>
                    <xdr:col>7</xdr:col>
                    <xdr:colOff>0</xdr:colOff>
                    <xdr:row>1930</xdr:row>
                    <xdr:rowOff>161925</xdr:rowOff>
                  </to>
                </anchor>
              </controlPr>
            </control>
          </mc:Choice>
        </mc:AlternateContent>
        <mc:AlternateContent xmlns:mc="http://schemas.openxmlformats.org/markup-compatibility/2006">
          <mc:Choice Requires="x14">
            <control shapeId="1715" r:id="rId1187" name="Button 691">
              <controlPr defaultSize="0" autoFill="0" autoLine="0" autoPict="0" macro="[0]!Sheet1.deleteRow">
                <anchor moveWithCells="1" sizeWithCells="1">
                  <from>
                    <xdr:col>6</xdr:col>
                    <xdr:colOff>0</xdr:colOff>
                    <xdr:row>1931</xdr:row>
                    <xdr:rowOff>0</xdr:rowOff>
                  </from>
                  <to>
                    <xdr:col>7</xdr:col>
                    <xdr:colOff>0</xdr:colOff>
                    <xdr:row>1931</xdr:row>
                    <xdr:rowOff>161925</xdr:rowOff>
                  </to>
                </anchor>
              </controlPr>
            </control>
          </mc:Choice>
        </mc:AlternateContent>
        <mc:AlternateContent xmlns:mc="http://schemas.openxmlformats.org/markup-compatibility/2006">
          <mc:Choice Requires="x14">
            <control shapeId="1714" r:id="rId1188" name="Button 690">
              <controlPr defaultSize="0" autoFill="0" autoLine="0" autoPict="0" macro="[0]!Sheet1.deleteRow">
                <anchor moveWithCells="1" sizeWithCells="1">
                  <from>
                    <xdr:col>6</xdr:col>
                    <xdr:colOff>0</xdr:colOff>
                    <xdr:row>1932</xdr:row>
                    <xdr:rowOff>0</xdr:rowOff>
                  </from>
                  <to>
                    <xdr:col>7</xdr:col>
                    <xdr:colOff>0</xdr:colOff>
                    <xdr:row>1932</xdr:row>
                    <xdr:rowOff>161925</xdr:rowOff>
                  </to>
                </anchor>
              </controlPr>
            </control>
          </mc:Choice>
        </mc:AlternateContent>
        <mc:AlternateContent xmlns:mc="http://schemas.openxmlformats.org/markup-compatibility/2006">
          <mc:Choice Requires="x14">
            <control shapeId="1713" r:id="rId1189" name="Button 689">
              <controlPr defaultSize="0" autoFill="0" autoLine="0" autoPict="0" macro="[0]!Sheet1.deleteRow">
                <anchor moveWithCells="1" sizeWithCells="1">
                  <from>
                    <xdr:col>6</xdr:col>
                    <xdr:colOff>0</xdr:colOff>
                    <xdr:row>1933</xdr:row>
                    <xdr:rowOff>0</xdr:rowOff>
                  </from>
                  <to>
                    <xdr:col>7</xdr:col>
                    <xdr:colOff>0</xdr:colOff>
                    <xdr:row>1933</xdr:row>
                    <xdr:rowOff>161925</xdr:rowOff>
                  </to>
                </anchor>
              </controlPr>
            </control>
          </mc:Choice>
        </mc:AlternateContent>
        <mc:AlternateContent xmlns:mc="http://schemas.openxmlformats.org/markup-compatibility/2006">
          <mc:Choice Requires="x14">
            <control shapeId="1712" r:id="rId1190" name="Button 688">
              <controlPr defaultSize="0" autoFill="0" autoLine="0" autoPict="0" macro="[0]!Sheet1.deleteRow">
                <anchor moveWithCells="1" sizeWithCells="1">
                  <from>
                    <xdr:col>6</xdr:col>
                    <xdr:colOff>0</xdr:colOff>
                    <xdr:row>1934</xdr:row>
                    <xdr:rowOff>0</xdr:rowOff>
                  </from>
                  <to>
                    <xdr:col>7</xdr:col>
                    <xdr:colOff>0</xdr:colOff>
                    <xdr:row>1934</xdr:row>
                    <xdr:rowOff>161925</xdr:rowOff>
                  </to>
                </anchor>
              </controlPr>
            </control>
          </mc:Choice>
        </mc:AlternateContent>
        <mc:AlternateContent xmlns:mc="http://schemas.openxmlformats.org/markup-compatibility/2006">
          <mc:Choice Requires="x14">
            <control shapeId="1711" r:id="rId1191" name="Button 687">
              <controlPr defaultSize="0" autoFill="0" autoLine="0" autoPict="0" macro="[0]!Sheet1.deleteProcedure">
                <anchor moveWithCells="1" sizeWithCells="1">
                  <from>
                    <xdr:col>6</xdr:col>
                    <xdr:colOff>0</xdr:colOff>
                    <xdr:row>1937</xdr:row>
                    <xdr:rowOff>0</xdr:rowOff>
                  </from>
                  <to>
                    <xdr:col>7</xdr:col>
                    <xdr:colOff>0</xdr:colOff>
                    <xdr:row>1938</xdr:row>
                    <xdr:rowOff>0</xdr:rowOff>
                  </to>
                </anchor>
              </controlPr>
            </control>
          </mc:Choice>
        </mc:AlternateContent>
        <mc:AlternateContent xmlns:mc="http://schemas.openxmlformats.org/markup-compatibility/2006">
          <mc:Choice Requires="x14">
            <control shapeId="1710" r:id="rId1192" name="Button 686">
              <controlPr defaultSize="0" autoFill="0" autoLine="0" autoPict="0" macro="[0]!Sheet1.InsertNewTableRow">
                <anchor moveWithCells="1" sizeWithCells="1">
                  <from>
                    <xdr:col>6</xdr:col>
                    <xdr:colOff>0</xdr:colOff>
                    <xdr:row>1944</xdr:row>
                    <xdr:rowOff>0</xdr:rowOff>
                  </from>
                  <to>
                    <xdr:col>7</xdr:col>
                    <xdr:colOff>0</xdr:colOff>
                    <xdr:row>1944</xdr:row>
                    <xdr:rowOff>38100</xdr:rowOff>
                  </to>
                </anchor>
              </controlPr>
            </control>
          </mc:Choice>
        </mc:AlternateContent>
        <mc:AlternateContent xmlns:mc="http://schemas.openxmlformats.org/markup-compatibility/2006">
          <mc:Choice Requires="x14">
            <control shapeId="1709" r:id="rId1193" name="Button 685">
              <controlPr defaultSize="0" autoFill="0" autoLine="0" autoPict="0" macro="[0]!Sheet1.deleteRow">
                <anchor moveWithCells="1" sizeWithCells="1">
                  <from>
                    <xdr:col>6</xdr:col>
                    <xdr:colOff>0</xdr:colOff>
                    <xdr:row>1945</xdr:row>
                    <xdr:rowOff>0</xdr:rowOff>
                  </from>
                  <to>
                    <xdr:col>7</xdr:col>
                    <xdr:colOff>0</xdr:colOff>
                    <xdr:row>1945</xdr:row>
                    <xdr:rowOff>161925</xdr:rowOff>
                  </to>
                </anchor>
              </controlPr>
            </control>
          </mc:Choice>
        </mc:AlternateContent>
        <mc:AlternateContent xmlns:mc="http://schemas.openxmlformats.org/markup-compatibility/2006">
          <mc:Choice Requires="x14">
            <control shapeId="1708" r:id="rId1194" name="Button 684">
              <controlPr defaultSize="0" autoFill="0" autoLine="0" autoPict="0" macro="[0]!Sheet1.deleteRow">
                <anchor moveWithCells="1" sizeWithCells="1">
                  <from>
                    <xdr:col>6</xdr:col>
                    <xdr:colOff>0</xdr:colOff>
                    <xdr:row>1946</xdr:row>
                    <xdr:rowOff>0</xdr:rowOff>
                  </from>
                  <to>
                    <xdr:col>7</xdr:col>
                    <xdr:colOff>0</xdr:colOff>
                    <xdr:row>1946</xdr:row>
                    <xdr:rowOff>161925</xdr:rowOff>
                  </to>
                </anchor>
              </controlPr>
            </control>
          </mc:Choice>
        </mc:AlternateContent>
        <mc:AlternateContent xmlns:mc="http://schemas.openxmlformats.org/markup-compatibility/2006">
          <mc:Choice Requires="x14">
            <control shapeId="1707" r:id="rId1195" name="Button 683">
              <controlPr defaultSize="0" autoFill="0" autoLine="0" autoPict="0" macro="[0]!Sheet1.deleteRow">
                <anchor moveWithCells="1" sizeWithCells="1">
                  <from>
                    <xdr:col>6</xdr:col>
                    <xdr:colOff>0</xdr:colOff>
                    <xdr:row>1947</xdr:row>
                    <xdr:rowOff>0</xdr:rowOff>
                  </from>
                  <to>
                    <xdr:col>7</xdr:col>
                    <xdr:colOff>0</xdr:colOff>
                    <xdr:row>1947</xdr:row>
                    <xdr:rowOff>161925</xdr:rowOff>
                  </to>
                </anchor>
              </controlPr>
            </control>
          </mc:Choice>
        </mc:AlternateContent>
        <mc:AlternateContent xmlns:mc="http://schemas.openxmlformats.org/markup-compatibility/2006">
          <mc:Choice Requires="x14">
            <control shapeId="1706" r:id="rId1196" name="Button 682">
              <controlPr defaultSize="0" autoFill="0" autoLine="0" autoPict="0" macro="[0]!Sheet1.deleteRow">
                <anchor moveWithCells="1" sizeWithCells="1">
                  <from>
                    <xdr:col>6</xdr:col>
                    <xdr:colOff>0</xdr:colOff>
                    <xdr:row>1948</xdr:row>
                    <xdr:rowOff>0</xdr:rowOff>
                  </from>
                  <to>
                    <xdr:col>7</xdr:col>
                    <xdr:colOff>0</xdr:colOff>
                    <xdr:row>1948</xdr:row>
                    <xdr:rowOff>161925</xdr:rowOff>
                  </to>
                </anchor>
              </controlPr>
            </control>
          </mc:Choice>
        </mc:AlternateContent>
        <mc:AlternateContent xmlns:mc="http://schemas.openxmlformats.org/markup-compatibility/2006">
          <mc:Choice Requires="x14">
            <control shapeId="1705" r:id="rId1197" name="Button 681">
              <controlPr defaultSize="0" autoFill="0" autoLine="0" autoPict="0" macro="[0]!Sheet1.deleteRow">
                <anchor moveWithCells="1" sizeWithCells="1">
                  <from>
                    <xdr:col>6</xdr:col>
                    <xdr:colOff>0</xdr:colOff>
                    <xdr:row>1949</xdr:row>
                    <xdr:rowOff>0</xdr:rowOff>
                  </from>
                  <to>
                    <xdr:col>7</xdr:col>
                    <xdr:colOff>0</xdr:colOff>
                    <xdr:row>1949</xdr:row>
                    <xdr:rowOff>161925</xdr:rowOff>
                  </to>
                </anchor>
              </controlPr>
            </control>
          </mc:Choice>
        </mc:AlternateContent>
        <mc:AlternateContent xmlns:mc="http://schemas.openxmlformats.org/markup-compatibility/2006">
          <mc:Choice Requires="x14">
            <control shapeId="1704" r:id="rId1198" name="Button 680">
              <controlPr defaultSize="0" autoFill="0" autoLine="0" autoPict="0" macro="[0]!Sheet1.deleteRow">
                <anchor moveWithCells="1" sizeWithCells="1">
                  <from>
                    <xdr:col>6</xdr:col>
                    <xdr:colOff>0</xdr:colOff>
                    <xdr:row>1950</xdr:row>
                    <xdr:rowOff>0</xdr:rowOff>
                  </from>
                  <to>
                    <xdr:col>7</xdr:col>
                    <xdr:colOff>0</xdr:colOff>
                    <xdr:row>1950</xdr:row>
                    <xdr:rowOff>161925</xdr:rowOff>
                  </to>
                </anchor>
              </controlPr>
            </control>
          </mc:Choice>
        </mc:AlternateContent>
        <mc:AlternateContent xmlns:mc="http://schemas.openxmlformats.org/markup-compatibility/2006">
          <mc:Choice Requires="x14">
            <control shapeId="1703" r:id="rId1199" name="Button 679">
              <controlPr defaultSize="0" autoFill="0" autoLine="0" autoPict="0" macro="[0]!Sheet1.deleteRow">
                <anchor moveWithCells="1" sizeWithCells="1">
                  <from>
                    <xdr:col>6</xdr:col>
                    <xdr:colOff>0</xdr:colOff>
                    <xdr:row>1951</xdr:row>
                    <xdr:rowOff>0</xdr:rowOff>
                  </from>
                  <to>
                    <xdr:col>7</xdr:col>
                    <xdr:colOff>0</xdr:colOff>
                    <xdr:row>1951</xdr:row>
                    <xdr:rowOff>161925</xdr:rowOff>
                  </to>
                </anchor>
              </controlPr>
            </control>
          </mc:Choice>
        </mc:AlternateContent>
        <mc:AlternateContent xmlns:mc="http://schemas.openxmlformats.org/markup-compatibility/2006">
          <mc:Choice Requires="x14">
            <control shapeId="1702" r:id="rId1200" name="Button 678">
              <controlPr defaultSize="0" autoFill="0" autoLine="0" autoPict="0" macro="[0]!Sheet1.deleteRow">
                <anchor moveWithCells="1" sizeWithCells="1">
                  <from>
                    <xdr:col>6</xdr:col>
                    <xdr:colOff>0</xdr:colOff>
                    <xdr:row>1952</xdr:row>
                    <xdr:rowOff>0</xdr:rowOff>
                  </from>
                  <to>
                    <xdr:col>7</xdr:col>
                    <xdr:colOff>0</xdr:colOff>
                    <xdr:row>1952</xdr:row>
                    <xdr:rowOff>161925</xdr:rowOff>
                  </to>
                </anchor>
              </controlPr>
            </control>
          </mc:Choice>
        </mc:AlternateContent>
        <mc:AlternateContent xmlns:mc="http://schemas.openxmlformats.org/markup-compatibility/2006">
          <mc:Choice Requires="x14">
            <control shapeId="1701" r:id="rId1201" name="Button 677">
              <controlPr defaultSize="0" autoFill="0" autoLine="0" autoPict="0" macro="[0]!Sheet1.deleteRow">
                <anchor moveWithCells="1" sizeWithCells="1">
                  <from>
                    <xdr:col>6</xdr:col>
                    <xdr:colOff>0</xdr:colOff>
                    <xdr:row>1953</xdr:row>
                    <xdr:rowOff>0</xdr:rowOff>
                  </from>
                  <to>
                    <xdr:col>7</xdr:col>
                    <xdr:colOff>0</xdr:colOff>
                    <xdr:row>1953</xdr:row>
                    <xdr:rowOff>161925</xdr:rowOff>
                  </to>
                </anchor>
              </controlPr>
            </control>
          </mc:Choice>
        </mc:AlternateContent>
        <mc:AlternateContent xmlns:mc="http://schemas.openxmlformats.org/markup-compatibility/2006">
          <mc:Choice Requires="x14">
            <control shapeId="1700" r:id="rId1202" name="Button 676">
              <controlPr defaultSize="0" autoFill="0" autoLine="0" autoPict="0" macro="[0]!Sheet1.deleteRow">
                <anchor moveWithCells="1" sizeWithCells="1">
                  <from>
                    <xdr:col>6</xdr:col>
                    <xdr:colOff>0</xdr:colOff>
                    <xdr:row>1954</xdr:row>
                    <xdr:rowOff>0</xdr:rowOff>
                  </from>
                  <to>
                    <xdr:col>7</xdr:col>
                    <xdr:colOff>0</xdr:colOff>
                    <xdr:row>1954</xdr:row>
                    <xdr:rowOff>161925</xdr:rowOff>
                  </to>
                </anchor>
              </controlPr>
            </control>
          </mc:Choice>
        </mc:AlternateContent>
        <mc:AlternateContent xmlns:mc="http://schemas.openxmlformats.org/markup-compatibility/2006">
          <mc:Choice Requires="x14">
            <control shapeId="1699" r:id="rId1203" name="Button 675">
              <controlPr defaultSize="0" autoFill="0" autoLine="0" autoPict="0" macro="[0]!Sheet1.deleteRow">
                <anchor moveWithCells="1" sizeWithCells="1">
                  <from>
                    <xdr:col>6</xdr:col>
                    <xdr:colOff>0</xdr:colOff>
                    <xdr:row>1955</xdr:row>
                    <xdr:rowOff>0</xdr:rowOff>
                  </from>
                  <to>
                    <xdr:col>7</xdr:col>
                    <xdr:colOff>0</xdr:colOff>
                    <xdr:row>1955</xdr:row>
                    <xdr:rowOff>161925</xdr:rowOff>
                  </to>
                </anchor>
              </controlPr>
            </control>
          </mc:Choice>
        </mc:AlternateContent>
        <mc:AlternateContent xmlns:mc="http://schemas.openxmlformats.org/markup-compatibility/2006">
          <mc:Choice Requires="x14">
            <control shapeId="1698" r:id="rId1204" name="Button 674">
              <controlPr defaultSize="0" autoFill="0" autoLine="0" autoPict="0" macro="[0]!Sheet1.deleteRow">
                <anchor moveWithCells="1" sizeWithCells="1">
                  <from>
                    <xdr:col>6</xdr:col>
                    <xdr:colOff>0</xdr:colOff>
                    <xdr:row>1956</xdr:row>
                    <xdr:rowOff>0</xdr:rowOff>
                  </from>
                  <to>
                    <xdr:col>7</xdr:col>
                    <xdr:colOff>0</xdr:colOff>
                    <xdr:row>1956</xdr:row>
                    <xdr:rowOff>161925</xdr:rowOff>
                  </to>
                </anchor>
              </controlPr>
            </control>
          </mc:Choice>
        </mc:AlternateContent>
        <mc:AlternateContent xmlns:mc="http://schemas.openxmlformats.org/markup-compatibility/2006">
          <mc:Choice Requires="x14">
            <control shapeId="1697" r:id="rId1205" name="Button 673">
              <controlPr defaultSize="0" autoFill="0" autoLine="0" autoPict="0" macro="[0]!Sheet1.deleteProcedure">
                <anchor moveWithCells="1" sizeWithCells="1">
                  <from>
                    <xdr:col>6</xdr:col>
                    <xdr:colOff>0</xdr:colOff>
                    <xdr:row>1959</xdr:row>
                    <xdr:rowOff>0</xdr:rowOff>
                  </from>
                  <to>
                    <xdr:col>7</xdr:col>
                    <xdr:colOff>0</xdr:colOff>
                    <xdr:row>1960</xdr:row>
                    <xdr:rowOff>0</xdr:rowOff>
                  </to>
                </anchor>
              </controlPr>
            </control>
          </mc:Choice>
        </mc:AlternateContent>
        <mc:AlternateContent xmlns:mc="http://schemas.openxmlformats.org/markup-compatibility/2006">
          <mc:Choice Requires="x14">
            <control shapeId="1696" r:id="rId1206" name="Button 672">
              <controlPr defaultSize="0" autoFill="0" autoLine="0" autoPict="0" macro="[0]!Sheet1.InsertNewTableRow">
                <anchor moveWithCells="1" sizeWithCells="1">
                  <from>
                    <xdr:col>6</xdr:col>
                    <xdr:colOff>0</xdr:colOff>
                    <xdr:row>1966</xdr:row>
                    <xdr:rowOff>0</xdr:rowOff>
                  </from>
                  <to>
                    <xdr:col>7</xdr:col>
                    <xdr:colOff>0</xdr:colOff>
                    <xdr:row>1966</xdr:row>
                    <xdr:rowOff>38100</xdr:rowOff>
                  </to>
                </anchor>
              </controlPr>
            </control>
          </mc:Choice>
        </mc:AlternateContent>
        <mc:AlternateContent xmlns:mc="http://schemas.openxmlformats.org/markup-compatibility/2006">
          <mc:Choice Requires="x14">
            <control shapeId="1695" r:id="rId1207" name="Button 671">
              <controlPr defaultSize="0" autoFill="0" autoLine="0" autoPict="0" macro="[0]!Sheet1.deleteRow">
                <anchor moveWithCells="1" sizeWithCells="1">
                  <from>
                    <xdr:col>6</xdr:col>
                    <xdr:colOff>0</xdr:colOff>
                    <xdr:row>1967</xdr:row>
                    <xdr:rowOff>0</xdr:rowOff>
                  </from>
                  <to>
                    <xdr:col>7</xdr:col>
                    <xdr:colOff>0</xdr:colOff>
                    <xdr:row>1967</xdr:row>
                    <xdr:rowOff>161925</xdr:rowOff>
                  </to>
                </anchor>
              </controlPr>
            </control>
          </mc:Choice>
        </mc:AlternateContent>
        <mc:AlternateContent xmlns:mc="http://schemas.openxmlformats.org/markup-compatibility/2006">
          <mc:Choice Requires="x14">
            <control shapeId="1694" r:id="rId1208" name="Button 670">
              <controlPr defaultSize="0" autoFill="0" autoLine="0" autoPict="0" macro="[0]!Sheet1.deleteRow">
                <anchor moveWithCells="1" sizeWithCells="1">
                  <from>
                    <xdr:col>6</xdr:col>
                    <xdr:colOff>0</xdr:colOff>
                    <xdr:row>1968</xdr:row>
                    <xdr:rowOff>0</xdr:rowOff>
                  </from>
                  <to>
                    <xdr:col>7</xdr:col>
                    <xdr:colOff>0</xdr:colOff>
                    <xdr:row>1968</xdr:row>
                    <xdr:rowOff>161925</xdr:rowOff>
                  </to>
                </anchor>
              </controlPr>
            </control>
          </mc:Choice>
        </mc:AlternateContent>
        <mc:AlternateContent xmlns:mc="http://schemas.openxmlformats.org/markup-compatibility/2006">
          <mc:Choice Requires="x14">
            <control shapeId="1693" r:id="rId1209" name="Button 669">
              <controlPr defaultSize="0" autoFill="0" autoLine="0" autoPict="0" macro="[0]!Sheet1.deleteRow">
                <anchor moveWithCells="1" sizeWithCells="1">
                  <from>
                    <xdr:col>6</xdr:col>
                    <xdr:colOff>0</xdr:colOff>
                    <xdr:row>1969</xdr:row>
                    <xdr:rowOff>0</xdr:rowOff>
                  </from>
                  <to>
                    <xdr:col>7</xdr:col>
                    <xdr:colOff>0</xdr:colOff>
                    <xdr:row>1969</xdr:row>
                    <xdr:rowOff>161925</xdr:rowOff>
                  </to>
                </anchor>
              </controlPr>
            </control>
          </mc:Choice>
        </mc:AlternateContent>
        <mc:AlternateContent xmlns:mc="http://schemas.openxmlformats.org/markup-compatibility/2006">
          <mc:Choice Requires="x14">
            <control shapeId="1692" r:id="rId1210" name="Button 668">
              <controlPr defaultSize="0" autoFill="0" autoLine="0" autoPict="0" macro="[0]!Sheet1.deleteRow">
                <anchor moveWithCells="1" sizeWithCells="1">
                  <from>
                    <xdr:col>6</xdr:col>
                    <xdr:colOff>0</xdr:colOff>
                    <xdr:row>1970</xdr:row>
                    <xdr:rowOff>0</xdr:rowOff>
                  </from>
                  <to>
                    <xdr:col>7</xdr:col>
                    <xdr:colOff>0</xdr:colOff>
                    <xdr:row>1970</xdr:row>
                    <xdr:rowOff>161925</xdr:rowOff>
                  </to>
                </anchor>
              </controlPr>
            </control>
          </mc:Choice>
        </mc:AlternateContent>
        <mc:AlternateContent xmlns:mc="http://schemas.openxmlformats.org/markup-compatibility/2006">
          <mc:Choice Requires="x14">
            <control shapeId="1691" r:id="rId1211" name="Button 667">
              <controlPr defaultSize="0" autoFill="0" autoLine="0" autoPict="0" macro="[0]!Sheet1.deleteRow">
                <anchor moveWithCells="1" sizeWithCells="1">
                  <from>
                    <xdr:col>6</xdr:col>
                    <xdr:colOff>0</xdr:colOff>
                    <xdr:row>1971</xdr:row>
                    <xdr:rowOff>0</xdr:rowOff>
                  </from>
                  <to>
                    <xdr:col>7</xdr:col>
                    <xdr:colOff>0</xdr:colOff>
                    <xdr:row>1971</xdr:row>
                    <xdr:rowOff>161925</xdr:rowOff>
                  </to>
                </anchor>
              </controlPr>
            </control>
          </mc:Choice>
        </mc:AlternateContent>
        <mc:AlternateContent xmlns:mc="http://schemas.openxmlformats.org/markup-compatibility/2006">
          <mc:Choice Requires="x14">
            <control shapeId="1690" r:id="rId1212" name="Button 666">
              <controlPr defaultSize="0" autoFill="0" autoLine="0" autoPict="0" macro="[0]!Sheet1.deleteRow">
                <anchor moveWithCells="1" sizeWithCells="1">
                  <from>
                    <xdr:col>6</xdr:col>
                    <xdr:colOff>0</xdr:colOff>
                    <xdr:row>1972</xdr:row>
                    <xdr:rowOff>0</xdr:rowOff>
                  </from>
                  <to>
                    <xdr:col>7</xdr:col>
                    <xdr:colOff>0</xdr:colOff>
                    <xdr:row>1972</xdr:row>
                    <xdr:rowOff>161925</xdr:rowOff>
                  </to>
                </anchor>
              </controlPr>
            </control>
          </mc:Choice>
        </mc:AlternateContent>
        <mc:AlternateContent xmlns:mc="http://schemas.openxmlformats.org/markup-compatibility/2006">
          <mc:Choice Requires="x14">
            <control shapeId="1689" r:id="rId1213" name="Button 665">
              <controlPr defaultSize="0" autoFill="0" autoLine="0" autoPict="0" macro="[0]!Sheet1.deleteProcedure">
                <anchor moveWithCells="1" sizeWithCells="1">
                  <from>
                    <xdr:col>6</xdr:col>
                    <xdr:colOff>0</xdr:colOff>
                    <xdr:row>1975</xdr:row>
                    <xdr:rowOff>0</xdr:rowOff>
                  </from>
                  <to>
                    <xdr:col>7</xdr:col>
                    <xdr:colOff>0</xdr:colOff>
                    <xdr:row>1976</xdr:row>
                    <xdr:rowOff>0</xdr:rowOff>
                  </to>
                </anchor>
              </controlPr>
            </control>
          </mc:Choice>
        </mc:AlternateContent>
        <mc:AlternateContent xmlns:mc="http://schemas.openxmlformats.org/markup-compatibility/2006">
          <mc:Choice Requires="x14">
            <control shapeId="1688" r:id="rId1214" name="Button 664">
              <controlPr defaultSize="0" autoFill="0" autoLine="0" autoPict="0" macro="[0]!Sheet1.InsertNewTableRow">
                <anchor moveWithCells="1" sizeWithCells="1">
                  <from>
                    <xdr:col>6</xdr:col>
                    <xdr:colOff>0</xdr:colOff>
                    <xdr:row>1982</xdr:row>
                    <xdr:rowOff>0</xdr:rowOff>
                  </from>
                  <to>
                    <xdr:col>7</xdr:col>
                    <xdr:colOff>0</xdr:colOff>
                    <xdr:row>1982</xdr:row>
                    <xdr:rowOff>38100</xdr:rowOff>
                  </to>
                </anchor>
              </controlPr>
            </control>
          </mc:Choice>
        </mc:AlternateContent>
        <mc:AlternateContent xmlns:mc="http://schemas.openxmlformats.org/markup-compatibility/2006">
          <mc:Choice Requires="x14">
            <control shapeId="1687" r:id="rId1215" name="Button 663">
              <controlPr defaultSize="0" autoFill="0" autoLine="0" autoPict="0" macro="[0]!Sheet1.deleteRow">
                <anchor moveWithCells="1" sizeWithCells="1">
                  <from>
                    <xdr:col>6</xdr:col>
                    <xdr:colOff>0</xdr:colOff>
                    <xdr:row>1983</xdr:row>
                    <xdr:rowOff>0</xdr:rowOff>
                  </from>
                  <to>
                    <xdr:col>7</xdr:col>
                    <xdr:colOff>0</xdr:colOff>
                    <xdr:row>1983</xdr:row>
                    <xdr:rowOff>161925</xdr:rowOff>
                  </to>
                </anchor>
              </controlPr>
            </control>
          </mc:Choice>
        </mc:AlternateContent>
        <mc:AlternateContent xmlns:mc="http://schemas.openxmlformats.org/markup-compatibility/2006">
          <mc:Choice Requires="x14">
            <control shapeId="1686" r:id="rId1216" name="Button 662">
              <controlPr defaultSize="0" autoFill="0" autoLine="0" autoPict="0" macro="[0]!Sheet1.deleteProcedure">
                <anchor moveWithCells="1" sizeWithCells="1">
                  <from>
                    <xdr:col>6</xdr:col>
                    <xdr:colOff>0</xdr:colOff>
                    <xdr:row>1986</xdr:row>
                    <xdr:rowOff>0</xdr:rowOff>
                  </from>
                  <to>
                    <xdr:col>7</xdr:col>
                    <xdr:colOff>0</xdr:colOff>
                    <xdr:row>1987</xdr:row>
                    <xdr:rowOff>0</xdr:rowOff>
                  </to>
                </anchor>
              </controlPr>
            </control>
          </mc:Choice>
        </mc:AlternateContent>
        <mc:AlternateContent xmlns:mc="http://schemas.openxmlformats.org/markup-compatibility/2006">
          <mc:Choice Requires="x14">
            <control shapeId="1685" r:id="rId1217" name="Button 661">
              <controlPr defaultSize="0" autoFill="0" autoLine="0" autoPict="0" macro="[0]!Sheet1.InsertNewTableRow">
                <anchor moveWithCells="1" sizeWithCells="1">
                  <from>
                    <xdr:col>6</xdr:col>
                    <xdr:colOff>0</xdr:colOff>
                    <xdr:row>1993</xdr:row>
                    <xdr:rowOff>0</xdr:rowOff>
                  </from>
                  <to>
                    <xdr:col>7</xdr:col>
                    <xdr:colOff>0</xdr:colOff>
                    <xdr:row>1993</xdr:row>
                    <xdr:rowOff>38100</xdr:rowOff>
                  </to>
                </anchor>
              </controlPr>
            </control>
          </mc:Choice>
        </mc:AlternateContent>
        <mc:AlternateContent xmlns:mc="http://schemas.openxmlformats.org/markup-compatibility/2006">
          <mc:Choice Requires="x14">
            <control shapeId="1684" r:id="rId1218" name="Button 660">
              <controlPr defaultSize="0" autoFill="0" autoLine="0" autoPict="0" macro="[0]!Sheet1.deleteRow">
                <anchor moveWithCells="1" sizeWithCells="1">
                  <from>
                    <xdr:col>6</xdr:col>
                    <xdr:colOff>0</xdr:colOff>
                    <xdr:row>1994</xdr:row>
                    <xdr:rowOff>0</xdr:rowOff>
                  </from>
                  <to>
                    <xdr:col>7</xdr:col>
                    <xdr:colOff>0</xdr:colOff>
                    <xdr:row>1994</xdr:row>
                    <xdr:rowOff>161925</xdr:rowOff>
                  </to>
                </anchor>
              </controlPr>
            </control>
          </mc:Choice>
        </mc:AlternateContent>
        <mc:AlternateContent xmlns:mc="http://schemas.openxmlformats.org/markup-compatibility/2006">
          <mc:Choice Requires="x14">
            <control shapeId="1683" r:id="rId1219" name="Button 659">
              <controlPr defaultSize="0" autoFill="0" autoLine="0" autoPict="0" macro="[0]!Sheet1.deleteProcedure">
                <anchor moveWithCells="1" sizeWithCells="1">
                  <from>
                    <xdr:col>6</xdr:col>
                    <xdr:colOff>0</xdr:colOff>
                    <xdr:row>1997</xdr:row>
                    <xdr:rowOff>0</xdr:rowOff>
                  </from>
                  <to>
                    <xdr:col>7</xdr:col>
                    <xdr:colOff>0</xdr:colOff>
                    <xdr:row>1998</xdr:row>
                    <xdr:rowOff>0</xdr:rowOff>
                  </to>
                </anchor>
              </controlPr>
            </control>
          </mc:Choice>
        </mc:AlternateContent>
        <mc:AlternateContent xmlns:mc="http://schemas.openxmlformats.org/markup-compatibility/2006">
          <mc:Choice Requires="x14">
            <control shapeId="1682" r:id="rId1220" name="Button 658">
              <controlPr defaultSize="0" autoFill="0" autoLine="0" autoPict="0" macro="[0]!Sheet1.InsertNewTableRow">
                <anchor moveWithCells="1" sizeWithCells="1">
                  <from>
                    <xdr:col>6</xdr:col>
                    <xdr:colOff>0</xdr:colOff>
                    <xdr:row>2004</xdr:row>
                    <xdr:rowOff>0</xdr:rowOff>
                  </from>
                  <to>
                    <xdr:col>7</xdr:col>
                    <xdr:colOff>0</xdr:colOff>
                    <xdr:row>2004</xdr:row>
                    <xdr:rowOff>38100</xdr:rowOff>
                  </to>
                </anchor>
              </controlPr>
            </control>
          </mc:Choice>
        </mc:AlternateContent>
        <mc:AlternateContent xmlns:mc="http://schemas.openxmlformats.org/markup-compatibility/2006">
          <mc:Choice Requires="x14">
            <control shapeId="1681" r:id="rId1221" name="Button 657">
              <controlPr defaultSize="0" autoFill="0" autoLine="0" autoPict="0" macro="[0]!Sheet1.deleteRow">
                <anchor moveWithCells="1" sizeWithCells="1">
                  <from>
                    <xdr:col>6</xdr:col>
                    <xdr:colOff>0</xdr:colOff>
                    <xdr:row>2005</xdr:row>
                    <xdr:rowOff>0</xdr:rowOff>
                  </from>
                  <to>
                    <xdr:col>7</xdr:col>
                    <xdr:colOff>0</xdr:colOff>
                    <xdr:row>2005</xdr:row>
                    <xdr:rowOff>161925</xdr:rowOff>
                  </to>
                </anchor>
              </controlPr>
            </control>
          </mc:Choice>
        </mc:AlternateContent>
        <mc:AlternateContent xmlns:mc="http://schemas.openxmlformats.org/markup-compatibility/2006">
          <mc:Choice Requires="x14">
            <control shapeId="1680" r:id="rId1222" name="Button 656">
              <controlPr defaultSize="0" autoFill="0" autoLine="0" autoPict="0" macro="[0]!Sheet1.deleteRow">
                <anchor moveWithCells="1" sizeWithCells="1">
                  <from>
                    <xdr:col>6</xdr:col>
                    <xdr:colOff>0</xdr:colOff>
                    <xdr:row>2006</xdr:row>
                    <xdr:rowOff>0</xdr:rowOff>
                  </from>
                  <to>
                    <xdr:col>7</xdr:col>
                    <xdr:colOff>0</xdr:colOff>
                    <xdr:row>2006</xdr:row>
                    <xdr:rowOff>161925</xdr:rowOff>
                  </to>
                </anchor>
              </controlPr>
            </control>
          </mc:Choice>
        </mc:AlternateContent>
        <mc:AlternateContent xmlns:mc="http://schemas.openxmlformats.org/markup-compatibility/2006">
          <mc:Choice Requires="x14">
            <control shapeId="1679" r:id="rId1223" name="Button 655">
              <controlPr defaultSize="0" autoFill="0" autoLine="0" autoPict="0" macro="[0]!Sheet1.deleteRow">
                <anchor moveWithCells="1" sizeWithCells="1">
                  <from>
                    <xdr:col>6</xdr:col>
                    <xdr:colOff>0</xdr:colOff>
                    <xdr:row>2007</xdr:row>
                    <xdr:rowOff>0</xdr:rowOff>
                  </from>
                  <to>
                    <xdr:col>7</xdr:col>
                    <xdr:colOff>0</xdr:colOff>
                    <xdr:row>2007</xdr:row>
                    <xdr:rowOff>161925</xdr:rowOff>
                  </to>
                </anchor>
              </controlPr>
            </control>
          </mc:Choice>
        </mc:AlternateContent>
        <mc:AlternateContent xmlns:mc="http://schemas.openxmlformats.org/markup-compatibility/2006">
          <mc:Choice Requires="x14">
            <control shapeId="1678" r:id="rId1224" name="Button 654">
              <controlPr defaultSize="0" autoFill="0" autoLine="0" autoPict="0" macro="[0]!Sheet1.deleteProcedure">
                <anchor moveWithCells="1" sizeWithCells="1">
                  <from>
                    <xdr:col>6</xdr:col>
                    <xdr:colOff>0</xdr:colOff>
                    <xdr:row>2010</xdr:row>
                    <xdr:rowOff>0</xdr:rowOff>
                  </from>
                  <to>
                    <xdr:col>7</xdr:col>
                    <xdr:colOff>0</xdr:colOff>
                    <xdr:row>2011</xdr:row>
                    <xdr:rowOff>0</xdr:rowOff>
                  </to>
                </anchor>
              </controlPr>
            </control>
          </mc:Choice>
        </mc:AlternateContent>
        <mc:AlternateContent xmlns:mc="http://schemas.openxmlformats.org/markup-compatibility/2006">
          <mc:Choice Requires="x14">
            <control shapeId="1677" r:id="rId1225" name="Button 653">
              <controlPr defaultSize="0" autoFill="0" autoLine="0" autoPict="0" macro="[0]!Sheet1.InsertNewTableRow">
                <anchor moveWithCells="1" sizeWithCells="1">
                  <from>
                    <xdr:col>6</xdr:col>
                    <xdr:colOff>0</xdr:colOff>
                    <xdr:row>2017</xdr:row>
                    <xdr:rowOff>0</xdr:rowOff>
                  </from>
                  <to>
                    <xdr:col>7</xdr:col>
                    <xdr:colOff>0</xdr:colOff>
                    <xdr:row>2017</xdr:row>
                    <xdr:rowOff>38100</xdr:rowOff>
                  </to>
                </anchor>
              </controlPr>
            </control>
          </mc:Choice>
        </mc:AlternateContent>
        <mc:AlternateContent xmlns:mc="http://schemas.openxmlformats.org/markup-compatibility/2006">
          <mc:Choice Requires="x14">
            <control shapeId="1676" r:id="rId1226" name="Button 652">
              <controlPr defaultSize="0" autoFill="0" autoLine="0" autoPict="0" macro="[0]!Sheet1.deleteRow">
                <anchor moveWithCells="1" sizeWithCells="1">
                  <from>
                    <xdr:col>6</xdr:col>
                    <xdr:colOff>0</xdr:colOff>
                    <xdr:row>2018</xdr:row>
                    <xdr:rowOff>0</xdr:rowOff>
                  </from>
                  <to>
                    <xdr:col>7</xdr:col>
                    <xdr:colOff>0</xdr:colOff>
                    <xdr:row>2018</xdr:row>
                    <xdr:rowOff>161925</xdr:rowOff>
                  </to>
                </anchor>
              </controlPr>
            </control>
          </mc:Choice>
        </mc:AlternateContent>
        <mc:AlternateContent xmlns:mc="http://schemas.openxmlformats.org/markup-compatibility/2006">
          <mc:Choice Requires="x14">
            <control shapeId="1675" r:id="rId1227" name="Button 651">
              <controlPr defaultSize="0" autoFill="0" autoLine="0" autoPict="0" macro="[0]!Sheet1.deleteProcedure">
                <anchor moveWithCells="1" sizeWithCells="1">
                  <from>
                    <xdr:col>6</xdr:col>
                    <xdr:colOff>0</xdr:colOff>
                    <xdr:row>2021</xdr:row>
                    <xdr:rowOff>0</xdr:rowOff>
                  </from>
                  <to>
                    <xdr:col>7</xdr:col>
                    <xdr:colOff>0</xdr:colOff>
                    <xdr:row>2022</xdr:row>
                    <xdr:rowOff>0</xdr:rowOff>
                  </to>
                </anchor>
              </controlPr>
            </control>
          </mc:Choice>
        </mc:AlternateContent>
        <mc:AlternateContent xmlns:mc="http://schemas.openxmlformats.org/markup-compatibility/2006">
          <mc:Choice Requires="x14">
            <control shapeId="1674" r:id="rId1228" name="Button 650">
              <controlPr defaultSize="0" autoFill="0" autoLine="0" autoPict="0" macro="[0]!Sheet1.InsertNewTableRow">
                <anchor moveWithCells="1" sizeWithCells="1">
                  <from>
                    <xdr:col>6</xdr:col>
                    <xdr:colOff>0</xdr:colOff>
                    <xdr:row>2028</xdr:row>
                    <xdr:rowOff>0</xdr:rowOff>
                  </from>
                  <to>
                    <xdr:col>7</xdr:col>
                    <xdr:colOff>0</xdr:colOff>
                    <xdr:row>2028</xdr:row>
                    <xdr:rowOff>38100</xdr:rowOff>
                  </to>
                </anchor>
              </controlPr>
            </control>
          </mc:Choice>
        </mc:AlternateContent>
        <mc:AlternateContent xmlns:mc="http://schemas.openxmlformats.org/markup-compatibility/2006">
          <mc:Choice Requires="x14">
            <control shapeId="1673" r:id="rId1229" name="Button 649">
              <controlPr defaultSize="0" autoFill="0" autoLine="0" autoPict="0" macro="[0]!Sheet1.deleteRow">
                <anchor moveWithCells="1" sizeWithCells="1">
                  <from>
                    <xdr:col>6</xdr:col>
                    <xdr:colOff>0</xdr:colOff>
                    <xdr:row>2029</xdr:row>
                    <xdr:rowOff>0</xdr:rowOff>
                  </from>
                  <to>
                    <xdr:col>7</xdr:col>
                    <xdr:colOff>0</xdr:colOff>
                    <xdr:row>2029</xdr:row>
                    <xdr:rowOff>161925</xdr:rowOff>
                  </to>
                </anchor>
              </controlPr>
            </control>
          </mc:Choice>
        </mc:AlternateContent>
        <mc:AlternateContent xmlns:mc="http://schemas.openxmlformats.org/markup-compatibility/2006">
          <mc:Choice Requires="x14">
            <control shapeId="1672" r:id="rId1230" name="Button 648">
              <controlPr defaultSize="0" autoFill="0" autoLine="0" autoPict="0" macro="[0]!Sheet1.deleteProcedure">
                <anchor moveWithCells="1" sizeWithCells="1">
                  <from>
                    <xdr:col>6</xdr:col>
                    <xdr:colOff>0</xdr:colOff>
                    <xdr:row>2032</xdr:row>
                    <xdr:rowOff>0</xdr:rowOff>
                  </from>
                  <to>
                    <xdr:col>7</xdr:col>
                    <xdr:colOff>0</xdr:colOff>
                    <xdr:row>2033</xdr:row>
                    <xdr:rowOff>0</xdr:rowOff>
                  </to>
                </anchor>
              </controlPr>
            </control>
          </mc:Choice>
        </mc:AlternateContent>
        <mc:AlternateContent xmlns:mc="http://schemas.openxmlformats.org/markup-compatibility/2006">
          <mc:Choice Requires="x14">
            <control shapeId="1671" r:id="rId1231" name="Button 647">
              <controlPr defaultSize="0" autoFill="0" autoLine="0" autoPict="0" macro="[0]!Sheet1.InsertNewTableRow">
                <anchor moveWithCells="1" sizeWithCells="1">
                  <from>
                    <xdr:col>6</xdr:col>
                    <xdr:colOff>0</xdr:colOff>
                    <xdr:row>2039</xdr:row>
                    <xdr:rowOff>0</xdr:rowOff>
                  </from>
                  <to>
                    <xdr:col>7</xdr:col>
                    <xdr:colOff>0</xdr:colOff>
                    <xdr:row>2039</xdr:row>
                    <xdr:rowOff>38100</xdr:rowOff>
                  </to>
                </anchor>
              </controlPr>
            </control>
          </mc:Choice>
        </mc:AlternateContent>
        <mc:AlternateContent xmlns:mc="http://schemas.openxmlformats.org/markup-compatibility/2006">
          <mc:Choice Requires="x14">
            <control shapeId="1670" r:id="rId1232" name="Button 646">
              <controlPr defaultSize="0" autoFill="0" autoLine="0" autoPict="0" macro="[0]!Sheet1.deleteRow">
                <anchor moveWithCells="1" sizeWithCells="1">
                  <from>
                    <xdr:col>6</xdr:col>
                    <xdr:colOff>0</xdr:colOff>
                    <xdr:row>2040</xdr:row>
                    <xdr:rowOff>0</xdr:rowOff>
                  </from>
                  <to>
                    <xdr:col>7</xdr:col>
                    <xdr:colOff>0</xdr:colOff>
                    <xdr:row>2040</xdr:row>
                    <xdr:rowOff>161925</xdr:rowOff>
                  </to>
                </anchor>
              </controlPr>
            </control>
          </mc:Choice>
        </mc:AlternateContent>
        <mc:AlternateContent xmlns:mc="http://schemas.openxmlformats.org/markup-compatibility/2006">
          <mc:Choice Requires="x14">
            <control shapeId="1669" r:id="rId1233" name="Button 645">
              <controlPr defaultSize="0" autoFill="0" autoLine="0" autoPict="0" macro="[0]!Sheet1.deleteProcedure">
                <anchor moveWithCells="1" sizeWithCells="1">
                  <from>
                    <xdr:col>6</xdr:col>
                    <xdr:colOff>0</xdr:colOff>
                    <xdr:row>2043</xdr:row>
                    <xdr:rowOff>0</xdr:rowOff>
                  </from>
                  <to>
                    <xdr:col>7</xdr:col>
                    <xdr:colOff>0</xdr:colOff>
                    <xdr:row>2044</xdr:row>
                    <xdr:rowOff>0</xdr:rowOff>
                  </to>
                </anchor>
              </controlPr>
            </control>
          </mc:Choice>
        </mc:AlternateContent>
        <mc:AlternateContent xmlns:mc="http://schemas.openxmlformats.org/markup-compatibility/2006">
          <mc:Choice Requires="x14">
            <control shapeId="1668" r:id="rId1234" name="Button 644">
              <controlPr defaultSize="0" autoFill="0" autoLine="0" autoPict="0" macro="[0]!Sheet1.InsertNewTableRow">
                <anchor moveWithCells="1" sizeWithCells="1">
                  <from>
                    <xdr:col>6</xdr:col>
                    <xdr:colOff>0</xdr:colOff>
                    <xdr:row>2050</xdr:row>
                    <xdr:rowOff>0</xdr:rowOff>
                  </from>
                  <to>
                    <xdr:col>7</xdr:col>
                    <xdr:colOff>0</xdr:colOff>
                    <xdr:row>2050</xdr:row>
                    <xdr:rowOff>38100</xdr:rowOff>
                  </to>
                </anchor>
              </controlPr>
            </control>
          </mc:Choice>
        </mc:AlternateContent>
        <mc:AlternateContent xmlns:mc="http://schemas.openxmlformats.org/markup-compatibility/2006">
          <mc:Choice Requires="x14">
            <control shapeId="1667" r:id="rId1235" name="Button 643">
              <controlPr defaultSize="0" autoFill="0" autoLine="0" autoPict="0" macro="[0]!Sheet1.deleteRow">
                <anchor moveWithCells="1" sizeWithCells="1">
                  <from>
                    <xdr:col>6</xdr:col>
                    <xdr:colOff>0</xdr:colOff>
                    <xdr:row>2051</xdr:row>
                    <xdr:rowOff>0</xdr:rowOff>
                  </from>
                  <to>
                    <xdr:col>7</xdr:col>
                    <xdr:colOff>0</xdr:colOff>
                    <xdr:row>2051</xdr:row>
                    <xdr:rowOff>161925</xdr:rowOff>
                  </to>
                </anchor>
              </controlPr>
            </control>
          </mc:Choice>
        </mc:AlternateContent>
        <mc:AlternateContent xmlns:mc="http://schemas.openxmlformats.org/markup-compatibility/2006">
          <mc:Choice Requires="x14">
            <control shapeId="1666" r:id="rId1236" name="Button 642">
              <controlPr defaultSize="0" autoFill="0" autoLine="0" autoPict="0" macro="[0]!Sheet1.deleteProcedure">
                <anchor moveWithCells="1" sizeWithCells="1">
                  <from>
                    <xdr:col>6</xdr:col>
                    <xdr:colOff>0</xdr:colOff>
                    <xdr:row>2054</xdr:row>
                    <xdr:rowOff>0</xdr:rowOff>
                  </from>
                  <to>
                    <xdr:col>7</xdr:col>
                    <xdr:colOff>0</xdr:colOff>
                    <xdr:row>2055</xdr:row>
                    <xdr:rowOff>0</xdr:rowOff>
                  </to>
                </anchor>
              </controlPr>
            </control>
          </mc:Choice>
        </mc:AlternateContent>
        <mc:AlternateContent xmlns:mc="http://schemas.openxmlformats.org/markup-compatibility/2006">
          <mc:Choice Requires="x14">
            <control shapeId="1665" r:id="rId1237" name="Button 641">
              <controlPr defaultSize="0" autoFill="0" autoLine="0" autoPict="0" macro="[0]!Sheet1.InsertNewTableRow">
                <anchor moveWithCells="1" sizeWithCells="1">
                  <from>
                    <xdr:col>6</xdr:col>
                    <xdr:colOff>0</xdr:colOff>
                    <xdr:row>2061</xdr:row>
                    <xdr:rowOff>0</xdr:rowOff>
                  </from>
                  <to>
                    <xdr:col>7</xdr:col>
                    <xdr:colOff>0</xdr:colOff>
                    <xdr:row>2061</xdr:row>
                    <xdr:rowOff>38100</xdr:rowOff>
                  </to>
                </anchor>
              </controlPr>
            </control>
          </mc:Choice>
        </mc:AlternateContent>
        <mc:AlternateContent xmlns:mc="http://schemas.openxmlformats.org/markup-compatibility/2006">
          <mc:Choice Requires="x14">
            <control shapeId="1664" r:id="rId1238" name="Button 640">
              <controlPr defaultSize="0" autoFill="0" autoLine="0" autoPict="0" macro="[0]!Sheet1.deleteRow">
                <anchor moveWithCells="1" sizeWithCells="1">
                  <from>
                    <xdr:col>6</xdr:col>
                    <xdr:colOff>0</xdr:colOff>
                    <xdr:row>2062</xdr:row>
                    <xdr:rowOff>0</xdr:rowOff>
                  </from>
                  <to>
                    <xdr:col>7</xdr:col>
                    <xdr:colOff>0</xdr:colOff>
                    <xdr:row>2062</xdr:row>
                    <xdr:rowOff>161925</xdr:rowOff>
                  </to>
                </anchor>
              </controlPr>
            </control>
          </mc:Choice>
        </mc:AlternateContent>
        <mc:AlternateContent xmlns:mc="http://schemas.openxmlformats.org/markup-compatibility/2006">
          <mc:Choice Requires="x14">
            <control shapeId="1663" r:id="rId1239" name="Button 639">
              <controlPr defaultSize="0" autoFill="0" autoLine="0" autoPict="0" macro="[0]!Sheet1.deleteProcedure">
                <anchor moveWithCells="1" sizeWithCells="1">
                  <from>
                    <xdr:col>6</xdr:col>
                    <xdr:colOff>0</xdr:colOff>
                    <xdr:row>2065</xdr:row>
                    <xdr:rowOff>0</xdr:rowOff>
                  </from>
                  <to>
                    <xdr:col>7</xdr:col>
                    <xdr:colOff>0</xdr:colOff>
                    <xdr:row>2066</xdr:row>
                    <xdr:rowOff>0</xdr:rowOff>
                  </to>
                </anchor>
              </controlPr>
            </control>
          </mc:Choice>
        </mc:AlternateContent>
        <mc:AlternateContent xmlns:mc="http://schemas.openxmlformats.org/markup-compatibility/2006">
          <mc:Choice Requires="x14">
            <control shapeId="1662" r:id="rId1240" name="Button 638">
              <controlPr defaultSize="0" autoFill="0" autoLine="0" autoPict="0" macro="[0]!Sheet1.InsertNewTableRow">
                <anchor moveWithCells="1" sizeWithCells="1">
                  <from>
                    <xdr:col>6</xdr:col>
                    <xdr:colOff>0</xdr:colOff>
                    <xdr:row>2072</xdr:row>
                    <xdr:rowOff>0</xdr:rowOff>
                  </from>
                  <to>
                    <xdr:col>7</xdr:col>
                    <xdr:colOff>0</xdr:colOff>
                    <xdr:row>2072</xdr:row>
                    <xdr:rowOff>38100</xdr:rowOff>
                  </to>
                </anchor>
              </controlPr>
            </control>
          </mc:Choice>
        </mc:AlternateContent>
        <mc:AlternateContent xmlns:mc="http://schemas.openxmlformats.org/markup-compatibility/2006">
          <mc:Choice Requires="x14">
            <control shapeId="1661" r:id="rId1241" name="Button 637">
              <controlPr defaultSize="0" autoFill="0" autoLine="0" autoPict="0" macro="[0]!Sheet1.deleteRow">
                <anchor moveWithCells="1" sizeWithCells="1">
                  <from>
                    <xdr:col>6</xdr:col>
                    <xdr:colOff>0</xdr:colOff>
                    <xdr:row>2073</xdr:row>
                    <xdr:rowOff>0</xdr:rowOff>
                  </from>
                  <to>
                    <xdr:col>7</xdr:col>
                    <xdr:colOff>0</xdr:colOff>
                    <xdr:row>2073</xdr:row>
                    <xdr:rowOff>161925</xdr:rowOff>
                  </to>
                </anchor>
              </controlPr>
            </control>
          </mc:Choice>
        </mc:AlternateContent>
        <mc:AlternateContent xmlns:mc="http://schemas.openxmlformats.org/markup-compatibility/2006">
          <mc:Choice Requires="x14">
            <control shapeId="1660" r:id="rId1242" name="Button 636">
              <controlPr defaultSize="0" autoFill="0" autoLine="0" autoPict="0" macro="[0]!Sheet1.deleteProcedure">
                <anchor moveWithCells="1" sizeWithCells="1">
                  <from>
                    <xdr:col>6</xdr:col>
                    <xdr:colOff>0</xdr:colOff>
                    <xdr:row>2076</xdr:row>
                    <xdr:rowOff>0</xdr:rowOff>
                  </from>
                  <to>
                    <xdr:col>7</xdr:col>
                    <xdr:colOff>0</xdr:colOff>
                    <xdr:row>2077</xdr:row>
                    <xdr:rowOff>0</xdr:rowOff>
                  </to>
                </anchor>
              </controlPr>
            </control>
          </mc:Choice>
        </mc:AlternateContent>
        <mc:AlternateContent xmlns:mc="http://schemas.openxmlformats.org/markup-compatibility/2006">
          <mc:Choice Requires="x14">
            <control shapeId="1659" r:id="rId1243" name="Button 635">
              <controlPr defaultSize="0" autoFill="0" autoLine="0" autoPict="0" macro="[0]!Sheet1.InsertNewTableRow">
                <anchor moveWithCells="1" sizeWithCells="1">
                  <from>
                    <xdr:col>6</xdr:col>
                    <xdr:colOff>0</xdr:colOff>
                    <xdr:row>2083</xdr:row>
                    <xdr:rowOff>0</xdr:rowOff>
                  </from>
                  <to>
                    <xdr:col>7</xdr:col>
                    <xdr:colOff>0</xdr:colOff>
                    <xdr:row>2083</xdr:row>
                    <xdr:rowOff>38100</xdr:rowOff>
                  </to>
                </anchor>
              </controlPr>
            </control>
          </mc:Choice>
        </mc:AlternateContent>
        <mc:AlternateContent xmlns:mc="http://schemas.openxmlformats.org/markup-compatibility/2006">
          <mc:Choice Requires="x14">
            <control shapeId="1658" r:id="rId1244" name="Button 634">
              <controlPr defaultSize="0" autoFill="0" autoLine="0" autoPict="0" macro="[0]!Sheet1.deleteRow">
                <anchor moveWithCells="1" sizeWithCells="1">
                  <from>
                    <xdr:col>6</xdr:col>
                    <xdr:colOff>0</xdr:colOff>
                    <xdr:row>2084</xdr:row>
                    <xdr:rowOff>0</xdr:rowOff>
                  </from>
                  <to>
                    <xdr:col>7</xdr:col>
                    <xdr:colOff>0</xdr:colOff>
                    <xdr:row>2084</xdr:row>
                    <xdr:rowOff>161925</xdr:rowOff>
                  </to>
                </anchor>
              </controlPr>
            </control>
          </mc:Choice>
        </mc:AlternateContent>
        <mc:AlternateContent xmlns:mc="http://schemas.openxmlformats.org/markup-compatibility/2006">
          <mc:Choice Requires="x14">
            <control shapeId="1657" r:id="rId1245" name="Button 633">
              <controlPr defaultSize="0" autoFill="0" autoLine="0" autoPict="0" macro="[0]!Sheet1.deleteProcedure">
                <anchor moveWithCells="1" sizeWithCells="1">
                  <from>
                    <xdr:col>6</xdr:col>
                    <xdr:colOff>0</xdr:colOff>
                    <xdr:row>2087</xdr:row>
                    <xdr:rowOff>0</xdr:rowOff>
                  </from>
                  <to>
                    <xdr:col>7</xdr:col>
                    <xdr:colOff>0</xdr:colOff>
                    <xdr:row>2088</xdr:row>
                    <xdr:rowOff>0</xdr:rowOff>
                  </to>
                </anchor>
              </controlPr>
            </control>
          </mc:Choice>
        </mc:AlternateContent>
        <mc:AlternateContent xmlns:mc="http://schemas.openxmlformats.org/markup-compatibility/2006">
          <mc:Choice Requires="x14">
            <control shapeId="1656" r:id="rId1246" name="Button 632">
              <controlPr defaultSize="0" autoFill="0" autoLine="0" autoPict="0" macro="[0]!Sheet1.InsertNewTableRow">
                <anchor moveWithCells="1" sizeWithCells="1">
                  <from>
                    <xdr:col>6</xdr:col>
                    <xdr:colOff>0</xdr:colOff>
                    <xdr:row>2094</xdr:row>
                    <xdr:rowOff>0</xdr:rowOff>
                  </from>
                  <to>
                    <xdr:col>7</xdr:col>
                    <xdr:colOff>0</xdr:colOff>
                    <xdr:row>2094</xdr:row>
                    <xdr:rowOff>38100</xdr:rowOff>
                  </to>
                </anchor>
              </controlPr>
            </control>
          </mc:Choice>
        </mc:AlternateContent>
        <mc:AlternateContent xmlns:mc="http://schemas.openxmlformats.org/markup-compatibility/2006">
          <mc:Choice Requires="x14">
            <control shapeId="1655" r:id="rId1247" name="Button 631">
              <controlPr defaultSize="0" autoFill="0" autoLine="0" autoPict="0" macro="[0]!Sheet1.deleteRow">
                <anchor moveWithCells="1" sizeWithCells="1">
                  <from>
                    <xdr:col>6</xdr:col>
                    <xdr:colOff>0</xdr:colOff>
                    <xdr:row>2095</xdr:row>
                    <xdr:rowOff>0</xdr:rowOff>
                  </from>
                  <to>
                    <xdr:col>7</xdr:col>
                    <xdr:colOff>0</xdr:colOff>
                    <xdr:row>2095</xdr:row>
                    <xdr:rowOff>161925</xdr:rowOff>
                  </to>
                </anchor>
              </controlPr>
            </control>
          </mc:Choice>
        </mc:AlternateContent>
        <mc:AlternateContent xmlns:mc="http://schemas.openxmlformats.org/markup-compatibility/2006">
          <mc:Choice Requires="x14">
            <control shapeId="1654" r:id="rId1248" name="Button 630">
              <controlPr defaultSize="0" autoFill="0" autoLine="0" autoPict="0" macro="[0]!Sheet1.deleteProcedure">
                <anchor moveWithCells="1" sizeWithCells="1">
                  <from>
                    <xdr:col>6</xdr:col>
                    <xdr:colOff>0</xdr:colOff>
                    <xdr:row>2098</xdr:row>
                    <xdr:rowOff>0</xdr:rowOff>
                  </from>
                  <to>
                    <xdr:col>7</xdr:col>
                    <xdr:colOff>0</xdr:colOff>
                    <xdr:row>2099</xdr:row>
                    <xdr:rowOff>0</xdr:rowOff>
                  </to>
                </anchor>
              </controlPr>
            </control>
          </mc:Choice>
        </mc:AlternateContent>
        <mc:AlternateContent xmlns:mc="http://schemas.openxmlformats.org/markup-compatibility/2006">
          <mc:Choice Requires="x14">
            <control shapeId="1653" r:id="rId1249" name="Button 629">
              <controlPr defaultSize="0" autoFill="0" autoLine="0" autoPict="0" macro="[0]!Sheet1.InsertNewTableRow">
                <anchor moveWithCells="1" sizeWithCells="1">
                  <from>
                    <xdr:col>6</xdr:col>
                    <xdr:colOff>0</xdr:colOff>
                    <xdr:row>2105</xdr:row>
                    <xdr:rowOff>0</xdr:rowOff>
                  </from>
                  <to>
                    <xdr:col>7</xdr:col>
                    <xdr:colOff>0</xdr:colOff>
                    <xdr:row>2105</xdr:row>
                    <xdr:rowOff>38100</xdr:rowOff>
                  </to>
                </anchor>
              </controlPr>
            </control>
          </mc:Choice>
        </mc:AlternateContent>
        <mc:AlternateContent xmlns:mc="http://schemas.openxmlformats.org/markup-compatibility/2006">
          <mc:Choice Requires="x14">
            <control shapeId="1652" r:id="rId1250" name="Button 628">
              <controlPr defaultSize="0" autoFill="0" autoLine="0" autoPict="0" macro="[0]!Sheet1.deleteRow">
                <anchor moveWithCells="1" sizeWithCells="1">
                  <from>
                    <xdr:col>6</xdr:col>
                    <xdr:colOff>0</xdr:colOff>
                    <xdr:row>2106</xdr:row>
                    <xdr:rowOff>0</xdr:rowOff>
                  </from>
                  <to>
                    <xdr:col>7</xdr:col>
                    <xdr:colOff>0</xdr:colOff>
                    <xdr:row>2106</xdr:row>
                    <xdr:rowOff>161925</xdr:rowOff>
                  </to>
                </anchor>
              </controlPr>
            </control>
          </mc:Choice>
        </mc:AlternateContent>
        <mc:AlternateContent xmlns:mc="http://schemas.openxmlformats.org/markup-compatibility/2006">
          <mc:Choice Requires="x14">
            <control shapeId="1651" r:id="rId1251" name="Button 627">
              <controlPr defaultSize="0" autoFill="0" autoLine="0" autoPict="0" macro="[0]!Sheet1.deleteProcedure">
                <anchor moveWithCells="1" sizeWithCells="1">
                  <from>
                    <xdr:col>6</xdr:col>
                    <xdr:colOff>0</xdr:colOff>
                    <xdr:row>2109</xdr:row>
                    <xdr:rowOff>0</xdr:rowOff>
                  </from>
                  <to>
                    <xdr:col>7</xdr:col>
                    <xdr:colOff>0</xdr:colOff>
                    <xdr:row>2110</xdr:row>
                    <xdr:rowOff>0</xdr:rowOff>
                  </to>
                </anchor>
              </controlPr>
            </control>
          </mc:Choice>
        </mc:AlternateContent>
        <mc:AlternateContent xmlns:mc="http://schemas.openxmlformats.org/markup-compatibility/2006">
          <mc:Choice Requires="x14">
            <control shapeId="1650" r:id="rId1252" name="Button 626">
              <controlPr defaultSize="0" autoFill="0" autoLine="0" autoPict="0" macro="[0]!Sheet1.InsertNewTableRow">
                <anchor moveWithCells="1" sizeWithCells="1">
                  <from>
                    <xdr:col>6</xdr:col>
                    <xdr:colOff>0</xdr:colOff>
                    <xdr:row>2116</xdr:row>
                    <xdr:rowOff>0</xdr:rowOff>
                  </from>
                  <to>
                    <xdr:col>7</xdr:col>
                    <xdr:colOff>0</xdr:colOff>
                    <xdr:row>2116</xdr:row>
                    <xdr:rowOff>38100</xdr:rowOff>
                  </to>
                </anchor>
              </controlPr>
            </control>
          </mc:Choice>
        </mc:AlternateContent>
        <mc:AlternateContent xmlns:mc="http://schemas.openxmlformats.org/markup-compatibility/2006">
          <mc:Choice Requires="x14">
            <control shapeId="1649" r:id="rId1253" name="Button 625">
              <controlPr defaultSize="0" autoFill="0" autoLine="0" autoPict="0" macro="[0]!Sheet1.deleteRow">
                <anchor moveWithCells="1" sizeWithCells="1">
                  <from>
                    <xdr:col>6</xdr:col>
                    <xdr:colOff>0</xdr:colOff>
                    <xdr:row>2117</xdr:row>
                    <xdr:rowOff>0</xdr:rowOff>
                  </from>
                  <to>
                    <xdr:col>7</xdr:col>
                    <xdr:colOff>0</xdr:colOff>
                    <xdr:row>2117</xdr:row>
                    <xdr:rowOff>161925</xdr:rowOff>
                  </to>
                </anchor>
              </controlPr>
            </control>
          </mc:Choice>
        </mc:AlternateContent>
        <mc:AlternateContent xmlns:mc="http://schemas.openxmlformats.org/markup-compatibility/2006">
          <mc:Choice Requires="x14">
            <control shapeId="1648" r:id="rId1254" name="Button 624">
              <controlPr defaultSize="0" autoFill="0" autoLine="0" autoPict="0" macro="[0]!Sheet1.deleteProcedure">
                <anchor moveWithCells="1" sizeWithCells="1">
                  <from>
                    <xdr:col>6</xdr:col>
                    <xdr:colOff>0</xdr:colOff>
                    <xdr:row>2120</xdr:row>
                    <xdr:rowOff>0</xdr:rowOff>
                  </from>
                  <to>
                    <xdr:col>7</xdr:col>
                    <xdr:colOff>0</xdr:colOff>
                    <xdr:row>2121</xdr:row>
                    <xdr:rowOff>0</xdr:rowOff>
                  </to>
                </anchor>
              </controlPr>
            </control>
          </mc:Choice>
        </mc:AlternateContent>
        <mc:AlternateContent xmlns:mc="http://schemas.openxmlformats.org/markup-compatibility/2006">
          <mc:Choice Requires="x14">
            <control shapeId="1647" r:id="rId1255" name="Button 623">
              <controlPr defaultSize="0" autoFill="0" autoLine="0" autoPict="0" macro="[0]!Sheet1.InsertNewTableRow">
                <anchor moveWithCells="1" sizeWithCells="1">
                  <from>
                    <xdr:col>6</xdr:col>
                    <xdr:colOff>0</xdr:colOff>
                    <xdr:row>2127</xdr:row>
                    <xdr:rowOff>0</xdr:rowOff>
                  </from>
                  <to>
                    <xdr:col>7</xdr:col>
                    <xdr:colOff>0</xdr:colOff>
                    <xdr:row>2127</xdr:row>
                    <xdr:rowOff>38100</xdr:rowOff>
                  </to>
                </anchor>
              </controlPr>
            </control>
          </mc:Choice>
        </mc:AlternateContent>
        <mc:AlternateContent xmlns:mc="http://schemas.openxmlformats.org/markup-compatibility/2006">
          <mc:Choice Requires="x14">
            <control shapeId="1646" r:id="rId1256" name="Button 622">
              <controlPr defaultSize="0" autoFill="0" autoLine="0" autoPict="0" macro="[0]!Sheet1.deleteRow">
                <anchor moveWithCells="1" sizeWithCells="1">
                  <from>
                    <xdr:col>6</xdr:col>
                    <xdr:colOff>0</xdr:colOff>
                    <xdr:row>2128</xdr:row>
                    <xdr:rowOff>0</xdr:rowOff>
                  </from>
                  <to>
                    <xdr:col>7</xdr:col>
                    <xdr:colOff>0</xdr:colOff>
                    <xdr:row>2128</xdr:row>
                    <xdr:rowOff>161925</xdr:rowOff>
                  </to>
                </anchor>
              </controlPr>
            </control>
          </mc:Choice>
        </mc:AlternateContent>
        <mc:AlternateContent xmlns:mc="http://schemas.openxmlformats.org/markup-compatibility/2006">
          <mc:Choice Requires="x14">
            <control shapeId="1645" r:id="rId1257" name="Button 621">
              <controlPr defaultSize="0" autoFill="0" autoLine="0" autoPict="0" macro="[0]!Sheet1.deleteProcedure">
                <anchor moveWithCells="1" sizeWithCells="1">
                  <from>
                    <xdr:col>6</xdr:col>
                    <xdr:colOff>0</xdr:colOff>
                    <xdr:row>2131</xdr:row>
                    <xdr:rowOff>0</xdr:rowOff>
                  </from>
                  <to>
                    <xdr:col>7</xdr:col>
                    <xdr:colOff>0</xdr:colOff>
                    <xdr:row>2132</xdr:row>
                    <xdr:rowOff>0</xdr:rowOff>
                  </to>
                </anchor>
              </controlPr>
            </control>
          </mc:Choice>
        </mc:AlternateContent>
        <mc:AlternateContent xmlns:mc="http://schemas.openxmlformats.org/markup-compatibility/2006">
          <mc:Choice Requires="x14">
            <control shapeId="1644" r:id="rId1258" name="Button 620">
              <controlPr defaultSize="0" autoFill="0" autoLine="0" autoPict="0" macro="[0]!Sheet1.InsertNewTableRow">
                <anchor moveWithCells="1" sizeWithCells="1">
                  <from>
                    <xdr:col>6</xdr:col>
                    <xdr:colOff>0</xdr:colOff>
                    <xdr:row>2138</xdr:row>
                    <xdr:rowOff>0</xdr:rowOff>
                  </from>
                  <to>
                    <xdr:col>7</xdr:col>
                    <xdr:colOff>0</xdr:colOff>
                    <xdr:row>2138</xdr:row>
                    <xdr:rowOff>38100</xdr:rowOff>
                  </to>
                </anchor>
              </controlPr>
            </control>
          </mc:Choice>
        </mc:AlternateContent>
        <mc:AlternateContent xmlns:mc="http://schemas.openxmlformats.org/markup-compatibility/2006">
          <mc:Choice Requires="x14">
            <control shapeId="1643" r:id="rId1259" name="Button 619">
              <controlPr defaultSize="0" autoFill="0" autoLine="0" autoPict="0" macro="[0]!Sheet1.deleteRow">
                <anchor moveWithCells="1" sizeWithCells="1">
                  <from>
                    <xdr:col>6</xdr:col>
                    <xdr:colOff>0</xdr:colOff>
                    <xdr:row>2139</xdr:row>
                    <xdr:rowOff>0</xdr:rowOff>
                  </from>
                  <to>
                    <xdr:col>7</xdr:col>
                    <xdr:colOff>0</xdr:colOff>
                    <xdr:row>2139</xdr:row>
                    <xdr:rowOff>161925</xdr:rowOff>
                  </to>
                </anchor>
              </controlPr>
            </control>
          </mc:Choice>
        </mc:AlternateContent>
        <mc:AlternateContent xmlns:mc="http://schemas.openxmlformats.org/markup-compatibility/2006">
          <mc:Choice Requires="x14">
            <control shapeId="1642" r:id="rId1260" name="Button 618">
              <controlPr defaultSize="0" autoFill="0" autoLine="0" autoPict="0" macro="[0]!Sheet1.deleteProcedure">
                <anchor moveWithCells="1" sizeWithCells="1">
                  <from>
                    <xdr:col>6</xdr:col>
                    <xdr:colOff>0</xdr:colOff>
                    <xdr:row>2142</xdr:row>
                    <xdr:rowOff>0</xdr:rowOff>
                  </from>
                  <to>
                    <xdr:col>7</xdr:col>
                    <xdr:colOff>0</xdr:colOff>
                    <xdr:row>2143</xdr:row>
                    <xdr:rowOff>0</xdr:rowOff>
                  </to>
                </anchor>
              </controlPr>
            </control>
          </mc:Choice>
        </mc:AlternateContent>
        <mc:AlternateContent xmlns:mc="http://schemas.openxmlformats.org/markup-compatibility/2006">
          <mc:Choice Requires="x14">
            <control shapeId="1641" r:id="rId1261" name="Button 617">
              <controlPr defaultSize="0" autoFill="0" autoLine="0" autoPict="0" macro="[0]!Sheet1.InsertNewTableRow">
                <anchor moveWithCells="1" sizeWithCells="1">
                  <from>
                    <xdr:col>6</xdr:col>
                    <xdr:colOff>0</xdr:colOff>
                    <xdr:row>2149</xdr:row>
                    <xdr:rowOff>0</xdr:rowOff>
                  </from>
                  <to>
                    <xdr:col>7</xdr:col>
                    <xdr:colOff>0</xdr:colOff>
                    <xdr:row>2149</xdr:row>
                    <xdr:rowOff>38100</xdr:rowOff>
                  </to>
                </anchor>
              </controlPr>
            </control>
          </mc:Choice>
        </mc:AlternateContent>
        <mc:AlternateContent xmlns:mc="http://schemas.openxmlformats.org/markup-compatibility/2006">
          <mc:Choice Requires="x14">
            <control shapeId="1640" r:id="rId1262" name="Button 616">
              <controlPr defaultSize="0" autoFill="0" autoLine="0" autoPict="0" macro="[0]!Sheet1.deleteRow">
                <anchor moveWithCells="1" sizeWithCells="1">
                  <from>
                    <xdr:col>6</xdr:col>
                    <xdr:colOff>0</xdr:colOff>
                    <xdr:row>2150</xdr:row>
                    <xdr:rowOff>0</xdr:rowOff>
                  </from>
                  <to>
                    <xdr:col>7</xdr:col>
                    <xdr:colOff>0</xdr:colOff>
                    <xdr:row>2150</xdr:row>
                    <xdr:rowOff>161925</xdr:rowOff>
                  </to>
                </anchor>
              </controlPr>
            </control>
          </mc:Choice>
        </mc:AlternateContent>
        <mc:AlternateContent xmlns:mc="http://schemas.openxmlformats.org/markup-compatibility/2006">
          <mc:Choice Requires="x14">
            <control shapeId="1639" r:id="rId1263" name="Button 615">
              <controlPr defaultSize="0" autoFill="0" autoLine="0" autoPict="0" macro="[0]!Sheet1.deleteRow">
                <anchor moveWithCells="1" sizeWithCells="1">
                  <from>
                    <xdr:col>6</xdr:col>
                    <xdr:colOff>0</xdr:colOff>
                    <xdr:row>2151</xdr:row>
                    <xdr:rowOff>0</xdr:rowOff>
                  </from>
                  <to>
                    <xdr:col>7</xdr:col>
                    <xdr:colOff>0</xdr:colOff>
                    <xdr:row>2151</xdr:row>
                    <xdr:rowOff>161925</xdr:rowOff>
                  </to>
                </anchor>
              </controlPr>
            </control>
          </mc:Choice>
        </mc:AlternateContent>
        <mc:AlternateContent xmlns:mc="http://schemas.openxmlformats.org/markup-compatibility/2006">
          <mc:Choice Requires="x14">
            <control shapeId="1638" r:id="rId1264" name="Button 614">
              <controlPr defaultSize="0" autoFill="0" autoLine="0" autoPict="0" macro="[0]!Sheet1.deleteRow">
                <anchor moveWithCells="1" sizeWithCells="1">
                  <from>
                    <xdr:col>6</xdr:col>
                    <xdr:colOff>0</xdr:colOff>
                    <xdr:row>2152</xdr:row>
                    <xdr:rowOff>0</xdr:rowOff>
                  </from>
                  <to>
                    <xdr:col>7</xdr:col>
                    <xdr:colOff>0</xdr:colOff>
                    <xdr:row>2152</xdr:row>
                    <xdr:rowOff>161925</xdr:rowOff>
                  </to>
                </anchor>
              </controlPr>
            </control>
          </mc:Choice>
        </mc:AlternateContent>
        <mc:AlternateContent xmlns:mc="http://schemas.openxmlformats.org/markup-compatibility/2006">
          <mc:Choice Requires="x14">
            <control shapeId="1637" r:id="rId1265" name="Button 613">
              <controlPr defaultSize="0" autoFill="0" autoLine="0" autoPict="0" macro="[0]!Sheet1.deleteRow">
                <anchor moveWithCells="1" sizeWithCells="1">
                  <from>
                    <xdr:col>6</xdr:col>
                    <xdr:colOff>0</xdr:colOff>
                    <xdr:row>2153</xdr:row>
                    <xdr:rowOff>0</xdr:rowOff>
                  </from>
                  <to>
                    <xdr:col>7</xdr:col>
                    <xdr:colOff>0</xdr:colOff>
                    <xdr:row>2153</xdr:row>
                    <xdr:rowOff>161925</xdr:rowOff>
                  </to>
                </anchor>
              </controlPr>
            </control>
          </mc:Choice>
        </mc:AlternateContent>
        <mc:AlternateContent xmlns:mc="http://schemas.openxmlformats.org/markup-compatibility/2006">
          <mc:Choice Requires="x14">
            <control shapeId="1636" r:id="rId1266" name="Button 612">
              <controlPr defaultSize="0" autoFill="0" autoLine="0" autoPict="0" macro="[0]!Sheet1.deleteRow">
                <anchor moveWithCells="1" sizeWithCells="1">
                  <from>
                    <xdr:col>6</xdr:col>
                    <xdr:colOff>0</xdr:colOff>
                    <xdr:row>2154</xdr:row>
                    <xdr:rowOff>0</xdr:rowOff>
                  </from>
                  <to>
                    <xdr:col>7</xdr:col>
                    <xdr:colOff>0</xdr:colOff>
                    <xdr:row>2154</xdr:row>
                    <xdr:rowOff>161925</xdr:rowOff>
                  </to>
                </anchor>
              </controlPr>
            </control>
          </mc:Choice>
        </mc:AlternateContent>
        <mc:AlternateContent xmlns:mc="http://schemas.openxmlformats.org/markup-compatibility/2006">
          <mc:Choice Requires="x14">
            <control shapeId="1635" r:id="rId1267" name="Button 611">
              <controlPr defaultSize="0" autoFill="0" autoLine="0" autoPict="0" macro="[0]!Sheet1.deleteRow">
                <anchor moveWithCells="1" sizeWithCells="1">
                  <from>
                    <xdr:col>6</xdr:col>
                    <xdr:colOff>0</xdr:colOff>
                    <xdr:row>2155</xdr:row>
                    <xdr:rowOff>0</xdr:rowOff>
                  </from>
                  <to>
                    <xdr:col>7</xdr:col>
                    <xdr:colOff>0</xdr:colOff>
                    <xdr:row>2155</xdr:row>
                    <xdr:rowOff>161925</xdr:rowOff>
                  </to>
                </anchor>
              </controlPr>
            </control>
          </mc:Choice>
        </mc:AlternateContent>
        <mc:AlternateContent xmlns:mc="http://schemas.openxmlformats.org/markup-compatibility/2006">
          <mc:Choice Requires="x14">
            <control shapeId="1634" r:id="rId1268" name="Button 610">
              <controlPr defaultSize="0" autoFill="0" autoLine="0" autoPict="0" macro="[0]!Sheet1.deleteRow">
                <anchor moveWithCells="1" sizeWithCells="1">
                  <from>
                    <xdr:col>6</xdr:col>
                    <xdr:colOff>0</xdr:colOff>
                    <xdr:row>2156</xdr:row>
                    <xdr:rowOff>0</xdr:rowOff>
                  </from>
                  <to>
                    <xdr:col>7</xdr:col>
                    <xdr:colOff>0</xdr:colOff>
                    <xdr:row>2156</xdr:row>
                    <xdr:rowOff>161925</xdr:rowOff>
                  </to>
                </anchor>
              </controlPr>
            </control>
          </mc:Choice>
        </mc:AlternateContent>
        <mc:AlternateContent xmlns:mc="http://schemas.openxmlformats.org/markup-compatibility/2006">
          <mc:Choice Requires="x14">
            <control shapeId="1633" r:id="rId1269" name="Button 609">
              <controlPr defaultSize="0" autoFill="0" autoLine="0" autoPict="0" macro="[0]!Sheet1.deleteRow">
                <anchor moveWithCells="1" sizeWithCells="1">
                  <from>
                    <xdr:col>6</xdr:col>
                    <xdr:colOff>0</xdr:colOff>
                    <xdr:row>2157</xdr:row>
                    <xdr:rowOff>0</xdr:rowOff>
                  </from>
                  <to>
                    <xdr:col>7</xdr:col>
                    <xdr:colOff>0</xdr:colOff>
                    <xdr:row>2157</xdr:row>
                    <xdr:rowOff>161925</xdr:rowOff>
                  </to>
                </anchor>
              </controlPr>
            </control>
          </mc:Choice>
        </mc:AlternateContent>
        <mc:AlternateContent xmlns:mc="http://schemas.openxmlformats.org/markup-compatibility/2006">
          <mc:Choice Requires="x14">
            <control shapeId="1632" r:id="rId1270" name="Button 608">
              <controlPr defaultSize="0" autoFill="0" autoLine="0" autoPict="0" macro="[0]!Sheet1.deleteRow">
                <anchor moveWithCells="1" sizeWithCells="1">
                  <from>
                    <xdr:col>6</xdr:col>
                    <xdr:colOff>0</xdr:colOff>
                    <xdr:row>2158</xdr:row>
                    <xdr:rowOff>0</xdr:rowOff>
                  </from>
                  <to>
                    <xdr:col>7</xdr:col>
                    <xdr:colOff>0</xdr:colOff>
                    <xdr:row>2158</xdr:row>
                    <xdr:rowOff>161925</xdr:rowOff>
                  </to>
                </anchor>
              </controlPr>
            </control>
          </mc:Choice>
        </mc:AlternateContent>
        <mc:AlternateContent xmlns:mc="http://schemas.openxmlformats.org/markup-compatibility/2006">
          <mc:Choice Requires="x14">
            <control shapeId="1631" r:id="rId1271" name="Button 607">
              <controlPr defaultSize="0" autoFill="0" autoLine="0" autoPict="0" macro="[0]!Sheet1.deleteRow">
                <anchor moveWithCells="1" sizeWithCells="1">
                  <from>
                    <xdr:col>6</xdr:col>
                    <xdr:colOff>0</xdr:colOff>
                    <xdr:row>2159</xdr:row>
                    <xdr:rowOff>0</xdr:rowOff>
                  </from>
                  <to>
                    <xdr:col>7</xdr:col>
                    <xdr:colOff>0</xdr:colOff>
                    <xdr:row>2159</xdr:row>
                    <xdr:rowOff>161925</xdr:rowOff>
                  </to>
                </anchor>
              </controlPr>
            </control>
          </mc:Choice>
        </mc:AlternateContent>
        <mc:AlternateContent xmlns:mc="http://schemas.openxmlformats.org/markup-compatibility/2006">
          <mc:Choice Requires="x14">
            <control shapeId="1630" r:id="rId1272" name="Button 606">
              <controlPr defaultSize="0" autoFill="0" autoLine="0" autoPict="0" macro="[0]!Sheet1.deleteRow">
                <anchor moveWithCells="1" sizeWithCells="1">
                  <from>
                    <xdr:col>6</xdr:col>
                    <xdr:colOff>0</xdr:colOff>
                    <xdr:row>2160</xdr:row>
                    <xdr:rowOff>0</xdr:rowOff>
                  </from>
                  <to>
                    <xdr:col>7</xdr:col>
                    <xdr:colOff>0</xdr:colOff>
                    <xdr:row>2160</xdr:row>
                    <xdr:rowOff>161925</xdr:rowOff>
                  </to>
                </anchor>
              </controlPr>
            </control>
          </mc:Choice>
        </mc:AlternateContent>
        <mc:AlternateContent xmlns:mc="http://schemas.openxmlformats.org/markup-compatibility/2006">
          <mc:Choice Requires="x14">
            <control shapeId="1629" r:id="rId1273" name="Button 605">
              <controlPr defaultSize="0" autoFill="0" autoLine="0" autoPict="0" macro="[0]!Sheet1.deleteRow">
                <anchor moveWithCells="1" sizeWithCells="1">
                  <from>
                    <xdr:col>6</xdr:col>
                    <xdr:colOff>0</xdr:colOff>
                    <xdr:row>2161</xdr:row>
                    <xdr:rowOff>0</xdr:rowOff>
                  </from>
                  <to>
                    <xdr:col>7</xdr:col>
                    <xdr:colOff>0</xdr:colOff>
                    <xdr:row>2161</xdr:row>
                    <xdr:rowOff>161925</xdr:rowOff>
                  </to>
                </anchor>
              </controlPr>
            </control>
          </mc:Choice>
        </mc:AlternateContent>
        <mc:AlternateContent xmlns:mc="http://schemas.openxmlformats.org/markup-compatibility/2006">
          <mc:Choice Requires="x14">
            <control shapeId="1628" r:id="rId1274" name="Button 604">
              <controlPr defaultSize="0" autoFill="0" autoLine="0" autoPict="0" macro="[0]!Sheet1.deleteRow">
                <anchor moveWithCells="1" sizeWithCells="1">
                  <from>
                    <xdr:col>6</xdr:col>
                    <xdr:colOff>0</xdr:colOff>
                    <xdr:row>2162</xdr:row>
                    <xdr:rowOff>0</xdr:rowOff>
                  </from>
                  <to>
                    <xdr:col>7</xdr:col>
                    <xdr:colOff>0</xdr:colOff>
                    <xdr:row>2162</xdr:row>
                    <xdr:rowOff>161925</xdr:rowOff>
                  </to>
                </anchor>
              </controlPr>
            </control>
          </mc:Choice>
        </mc:AlternateContent>
        <mc:AlternateContent xmlns:mc="http://schemas.openxmlformats.org/markup-compatibility/2006">
          <mc:Choice Requires="x14">
            <control shapeId="1627" r:id="rId1275" name="Button 603">
              <controlPr defaultSize="0" autoFill="0" autoLine="0" autoPict="0" macro="[0]!Sheet1.deleteRow">
                <anchor moveWithCells="1" sizeWithCells="1">
                  <from>
                    <xdr:col>6</xdr:col>
                    <xdr:colOff>0</xdr:colOff>
                    <xdr:row>2163</xdr:row>
                    <xdr:rowOff>0</xdr:rowOff>
                  </from>
                  <to>
                    <xdr:col>7</xdr:col>
                    <xdr:colOff>0</xdr:colOff>
                    <xdr:row>2163</xdr:row>
                    <xdr:rowOff>161925</xdr:rowOff>
                  </to>
                </anchor>
              </controlPr>
            </control>
          </mc:Choice>
        </mc:AlternateContent>
        <mc:AlternateContent xmlns:mc="http://schemas.openxmlformats.org/markup-compatibility/2006">
          <mc:Choice Requires="x14">
            <control shapeId="1626" r:id="rId1276" name="Button 602">
              <controlPr defaultSize="0" autoFill="0" autoLine="0" autoPict="0" macro="[0]!Sheet1.deleteRow">
                <anchor moveWithCells="1" sizeWithCells="1">
                  <from>
                    <xdr:col>6</xdr:col>
                    <xdr:colOff>0</xdr:colOff>
                    <xdr:row>2164</xdr:row>
                    <xdr:rowOff>0</xdr:rowOff>
                  </from>
                  <to>
                    <xdr:col>7</xdr:col>
                    <xdr:colOff>0</xdr:colOff>
                    <xdr:row>2164</xdr:row>
                    <xdr:rowOff>161925</xdr:rowOff>
                  </to>
                </anchor>
              </controlPr>
            </control>
          </mc:Choice>
        </mc:AlternateContent>
        <mc:AlternateContent xmlns:mc="http://schemas.openxmlformats.org/markup-compatibility/2006">
          <mc:Choice Requires="x14">
            <control shapeId="1625" r:id="rId1277" name="Button 601">
              <controlPr defaultSize="0" autoFill="0" autoLine="0" autoPict="0" macro="[0]!Sheet1.deleteRow">
                <anchor moveWithCells="1" sizeWithCells="1">
                  <from>
                    <xdr:col>6</xdr:col>
                    <xdr:colOff>0</xdr:colOff>
                    <xdr:row>2165</xdr:row>
                    <xdr:rowOff>0</xdr:rowOff>
                  </from>
                  <to>
                    <xdr:col>7</xdr:col>
                    <xdr:colOff>0</xdr:colOff>
                    <xdr:row>2165</xdr:row>
                    <xdr:rowOff>161925</xdr:rowOff>
                  </to>
                </anchor>
              </controlPr>
            </control>
          </mc:Choice>
        </mc:AlternateContent>
        <mc:AlternateContent xmlns:mc="http://schemas.openxmlformats.org/markup-compatibility/2006">
          <mc:Choice Requires="x14">
            <control shapeId="1624" r:id="rId1278" name="Button 600">
              <controlPr defaultSize="0" autoFill="0" autoLine="0" autoPict="0" macro="[0]!Sheet1.deleteRow">
                <anchor moveWithCells="1" sizeWithCells="1">
                  <from>
                    <xdr:col>6</xdr:col>
                    <xdr:colOff>0</xdr:colOff>
                    <xdr:row>2166</xdr:row>
                    <xdr:rowOff>0</xdr:rowOff>
                  </from>
                  <to>
                    <xdr:col>7</xdr:col>
                    <xdr:colOff>0</xdr:colOff>
                    <xdr:row>2166</xdr:row>
                    <xdr:rowOff>161925</xdr:rowOff>
                  </to>
                </anchor>
              </controlPr>
            </control>
          </mc:Choice>
        </mc:AlternateContent>
        <mc:AlternateContent xmlns:mc="http://schemas.openxmlformats.org/markup-compatibility/2006">
          <mc:Choice Requires="x14">
            <control shapeId="1623" r:id="rId1279" name="Button 599">
              <controlPr defaultSize="0" autoFill="0" autoLine="0" autoPict="0" macro="[0]!Sheet1.deleteRow">
                <anchor moveWithCells="1" sizeWithCells="1">
                  <from>
                    <xdr:col>6</xdr:col>
                    <xdr:colOff>0</xdr:colOff>
                    <xdr:row>2167</xdr:row>
                    <xdr:rowOff>0</xdr:rowOff>
                  </from>
                  <to>
                    <xdr:col>7</xdr:col>
                    <xdr:colOff>0</xdr:colOff>
                    <xdr:row>2167</xdr:row>
                    <xdr:rowOff>161925</xdr:rowOff>
                  </to>
                </anchor>
              </controlPr>
            </control>
          </mc:Choice>
        </mc:AlternateContent>
        <mc:AlternateContent xmlns:mc="http://schemas.openxmlformats.org/markup-compatibility/2006">
          <mc:Choice Requires="x14">
            <control shapeId="1622" r:id="rId1280" name="Button 598">
              <controlPr defaultSize="0" autoFill="0" autoLine="0" autoPict="0" macro="[0]!Sheet1.deleteRow">
                <anchor moveWithCells="1" sizeWithCells="1">
                  <from>
                    <xdr:col>6</xdr:col>
                    <xdr:colOff>0</xdr:colOff>
                    <xdr:row>2168</xdr:row>
                    <xdr:rowOff>0</xdr:rowOff>
                  </from>
                  <to>
                    <xdr:col>7</xdr:col>
                    <xdr:colOff>0</xdr:colOff>
                    <xdr:row>2168</xdr:row>
                    <xdr:rowOff>161925</xdr:rowOff>
                  </to>
                </anchor>
              </controlPr>
            </control>
          </mc:Choice>
        </mc:AlternateContent>
        <mc:AlternateContent xmlns:mc="http://schemas.openxmlformats.org/markup-compatibility/2006">
          <mc:Choice Requires="x14">
            <control shapeId="1621" r:id="rId1281" name="Button 597">
              <controlPr defaultSize="0" autoFill="0" autoLine="0" autoPict="0" macro="[0]!Sheet1.deleteRow">
                <anchor moveWithCells="1" sizeWithCells="1">
                  <from>
                    <xdr:col>6</xdr:col>
                    <xdr:colOff>0</xdr:colOff>
                    <xdr:row>2169</xdr:row>
                    <xdr:rowOff>0</xdr:rowOff>
                  </from>
                  <to>
                    <xdr:col>7</xdr:col>
                    <xdr:colOff>0</xdr:colOff>
                    <xdr:row>2169</xdr:row>
                    <xdr:rowOff>161925</xdr:rowOff>
                  </to>
                </anchor>
              </controlPr>
            </control>
          </mc:Choice>
        </mc:AlternateContent>
        <mc:AlternateContent xmlns:mc="http://schemas.openxmlformats.org/markup-compatibility/2006">
          <mc:Choice Requires="x14">
            <control shapeId="1620" r:id="rId1282" name="Button 596">
              <controlPr defaultSize="0" autoFill="0" autoLine="0" autoPict="0" macro="[0]!Sheet1.deleteRow">
                <anchor moveWithCells="1" sizeWithCells="1">
                  <from>
                    <xdr:col>6</xdr:col>
                    <xdr:colOff>0</xdr:colOff>
                    <xdr:row>2170</xdr:row>
                    <xdr:rowOff>0</xdr:rowOff>
                  </from>
                  <to>
                    <xdr:col>7</xdr:col>
                    <xdr:colOff>0</xdr:colOff>
                    <xdr:row>2170</xdr:row>
                    <xdr:rowOff>161925</xdr:rowOff>
                  </to>
                </anchor>
              </controlPr>
            </control>
          </mc:Choice>
        </mc:AlternateContent>
        <mc:AlternateContent xmlns:mc="http://schemas.openxmlformats.org/markup-compatibility/2006">
          <mc:Choice Requires="x14">
            <control shapeId="1619" r:id="rId1283" name="Button 595">
              <controlPr defaultSize="0" autoFill="0" autoLine="0" autoPict="0" macro="[0]!Sheet1.deleteRow">
                <anchor moveWithCells="1" sizeWithCells="1">
                  <from>
                    <xdr:col>6</xdr:col>
                    <xdr:colOff>0</xdr:colOff>
                    <xdr:row>2171</xdr:row>
                    <xdr:rowOff>0</xdr:rowOff>
                  </from>
                  <to>
                    <xdr:col>7</xdr:col>
                    <xdr:colOff>0</xdr:colOff>
                    <xdr:row>2171</xdr:row>
                    <xdr:rowOff>161925</xdr:rowOff>
                  </to>
                </anchor>
              </controlPr>
            </control>
          </mc:Choice>
        </mc:AlternateContent>
        <mc:AlternateContent xmlns:mc="http://schemas.openxmlformats.org/markup-compatibility/2006">
          <mc:Choice Requires="x14">
            <control shapeId="1618" r:id="rId1284" name="Button 594">
              <controlPr defaultSize="0" autoFill="0" autoLine="0" autoPict="0" macro="[0]!Sheet1.deleteRow">
                <anchor moveWithCells="1" sizeWithCells="1">
                  <from>
                    <xdr:col>6</xdr:col>
                    <xdr:colOff>0</xdr:colOff>
                    <xdr:row>2172</xdr:row>
                    <xdr:rowOff>0</xdr:rowOff>
                  </from>
                  <to>
                    <xdr:col>7</xdr:col>
                    <xdr:colOff>0</xdr:colOff>
                    <xdr:row>2172</xdr:row>
                    <xdr:rowOff>161925</xdr:rowOff>
                  </to>
                </anchor>
              </controlPr>
            </control>
          </mc:Choice>
        </mc:AlternateContent>
        <mc:AlternateContent xmlns:mc="http://schemas.openxmlformats.org/markup-compatibility/2006">
          <mc:Choice Requires="x14">
            <control shapeId="1617" r:id="rId1285" name="Button 593">
              <controlPr defaultSize="0" autoFill="0" autoLine="0" autoPict="0" macro="[0]!Sheet1.deleteRow">
                <anchor moveWithCells="1" sizeWithCells="1">
                  <from>
                    <xdr:col>6</xdr:col>
                    <xdr:colOff>0</xdr:colOff>
                    <xdr:row>2173</xdr:row>
                    <xdr:rowOff>0</xdr:rowOff>
                  </from>
                  <to>
                    <xdr:col>7</xdr:col>
                    <xdr:colOff>0</xdr:colOff>
                    <xdr:row>2173</xdr:row>
                    <xdr:rowOff>161925</xdr:rowOff>
                  </to>
                </anchor>
              </controlPr>
            </control>
          </mc:Choice>
        </mc:AlternateContent>
        <mc:AlternateContent xmlns:mc="http://schemas.openxmlformats.org/markup-compatibility/2006">
          <mc:Choice Requires="x14">
            <control shapeId="1616" r:id="rId1286" name="Button 592">
              <controlPr defaultSize="0" autoFill="0" autoLine="0" autoPict="0" macro="[0]!Sheet1.deleteRow">
                <anchor moveWithCells="1" sizeWithCells="1">
                  <from>
                    <xdr:col>6</xdr:col>
                    <xdr:colOff>0</xdr:colOff>
                    <xdr:row>2174</xdr:row>
                    <xdr:rowOff>0</xdr:rowOff>
                  </from>
                  <to>
                    <xdr:col>7</xdr:col>
                    <xdr:colOff>0</xdr:colOff>
                    <xdr:row>2174</xdr:row>
                    <xdr:rowOff>161925</xdr:rowOff>
                  </to>
                </anchor>
              </controlPr>
            </control>
          </mc:Choice>
        </mc:AlternateContent>
        <mc:AlternateContent xmlns:mc="http://schemas.openxmlformats.org/markup-compatibility/2006">
          <mc:Choice Requires="x14">
            <control shapeId="1615" r:id="rId1287" name="Button 591">
              <controlPr defaultSize="0" autoFill="0" autoLine="0" autoPict="0" macro="[0]!Sheet1.deleteRow">
                <anchor moveWithCells="1" sizeWithCells="1">
                  <from>
                    <xdr:col>6</xdr:col>
                    <xdr:colOff>0</xdr:colOff>
                    <xdr:row>2175</xdr:row>
                    <xdr:rowOff>0</xdr:rowOff>
                  </from>
                  <to>
                    <xdr:col>7</xdr:col>
                    <xdr:colOff>0</xdr:colOff>
                    <xdr:row>2175</xdr:row>
                    <xdr:rowOff>161925</xdr:rowOff>
                  </to>
                </anchor>
              </controlPr>
            </control>
          </mc:Choice>
        </mc:AlternateContent>
        <mc:AlternateContent xmlns:mc="http://schemas.openxmlformats.org/markup-compatibility/2006">
          <mc:Choice Requires="x14">
            <control shapeId="1614" r:id="rId1288" name="Button 590">
              <controlPr defaultSize="0" autoFill="0" autoLine="0" autoPict="0" macro="[0]!Sheet1.deleteRow">
                <anchor moveWithCells="1" sizeWithCells="1">
                  <from>
                    <xdr:col>6</xdr:col>
                    <xdr:colOff>0</xdr:colOff>
                    <xdr:row>2176</xdr:row>
                    <xdr:rowOff>0</xdr:rowOff>
                  </from>
                  <to>
                    <xdr:col>7</xdr:col>
                    <xdr:colOff>0</xdr:colOff>
                    <xdr:row>2176</xdr:row>
                    <xdr:rowOff>161925</xdr:rowOff>
                  </to>
                </anchor>
              </controlPr>
            </control>
          </mc:Choice>
        </mc:AlternateContent>
        <mc:AlternateContent xmlns:mc="http://schemas.openxmlformats.org/markup-compatibility/2006">
          <mc:Choice Requires="x14">
            <control shapeId="1613" r:id="rId1289" name="Button 589">
              <controlPr defaultSize="0" autoFill="0" autoLine="0" autoPict="0" macro="[0]!Sheet1.deleteRow">
                <anchor moveWithCells="1" sizeWithCells="1">
                  <from>
                    <xdr:col>6</xdr:col>
                    <xdr:colOff>0</xdr:colOff>
                    <xdr:row>2177</xdr:row>
                    <xdr:rowOff>0</xdr:rowOff>
                  </from>
                  <to>
                    <xdr:col>7</xdr:col>
                    <xdr:colOff>0</xdr:colOff>
                    <xdr:row>2177</xdr:row>
                    <xdr:rowOff>161925</xdr:rowOff>
                  </to>
                </anchor>
              </controlPr>
            </control>
          </mc:Choice>
        </mc:AlternateContent>
        <mc:AlternateContent xmlns:mc="http://schemas.openxmlformats.org/markup-compatibility/2006">
          <mc:Choice Requires="x14">
            <control shapeId="1612" r:id="rId1290" name="Button 588">
              <controlPr defaultSize="0" autoFill="0" autoLine="0" autoPict="0" macro="[0]!Sheet1.deleteRow">
                <anchor moveWithCells="1" sizeWithCells="1">
                  <from>
                    <xdr:col>6</xdr:col>
                    <xdr:colOff>0</xdr:colOff>
                    <xdr:row>2178</xdr:row>
                    <xdr:rowOff>0</xdr:rowOff>
                  </from>
                  <to>
                    <xdr:col>7</xdr:col>
                    <xdr:colOff>0</xdr:colOff>
                    <xdr:row>2178</xdr:row>
                    <xdr:rowOff>161925</xdr:rowOff>
                  </to>
                </anchor>
              </controlPr>
            </control>
          </mc:Choice>
        </mc:AlternateContent>
        <mc:AlternateContent xmlns:mc="http://schemas.openxmlformats.org/markup-compatibility/2006">
          <mc:Choice Requires="x14">
            <control shapeId="1611" r:id="rId1291" name="Button 587">
              <controlPr defaultSize="0" autoFill="0" autoLine="0" autoPict="0" macro="[0]!Sheet1.deleteRow">
                <anchor moveWithCells="1" sizeWithCells="1">
                  <from>
                    <xdr:col>6</xdr:col>
                    <xdr:colOff>0</xdr:colOff>
                    <xdr:row>2179</xdr:row>
                    <xdr:rowOff>0</xdr:rowOff>
                  </from>
                  <to>
                    <xdr:col>7</xdr:col>
                    <xdr:colOff>0</xdr:colOff>
                    <xdr:row>2179</xdr:row>
                    <xdr:rowOff>161925</xdr:rowOff>
                  </to>
                </anchor>
              </controlPr>
            </control>
          </mc:Choice>
        </mc:AlternateContent>
        <mc:AlternateContent xmlns:mc="http://schemas.openxmlformats.org/markup-compatibility/2006">
          <mc:Choice Requires="x14">
            <control shapeId="1610" r:id="rId1292" name="Button 586">
              <controlPr defaultSize="0" autoFill="0" autoLine="0" autoPict="0" macro="[0]!Sheet1.deleteRow">
                <anchor moveWithCells="1" sizeWithCells="1">
                  <from>
                    <xdr:col>6</xdr:col>
                    <xdr:colOff>0</xdr:colOff>
                    <xdr:row>2180</xdr:row>
                    <xdr:rowOff>0</xdr:rowOff>
                  </from>
                  <to>
                    <xdr:col>7</xdr:col>
                    <xdr:colOff>0</xdr:colOff>
                    <xdr:row>2180</xdr:row>
                    <xdr:rowOff>161925</xdr:rowOff>
                  </to>
                </anchor>
              </controlPr>
            </control>
          </mc:Choice>
        </mc:AlternateContent>
        <mc:AlternateContent xmlns:mc="http://schemas.openxmlformats.org/markup-compatibility/2006">
          <mc:Choice Requires="x14">
            <control shapeId="1609" r:id="rId1293" name="Button 585">
              <controlPr defaultSize="0" autoFill="0" autoLine="0" autoPict="0" macro="[0]!Sheet1.deleteRow">
                <anchor moveWithCells="1" sizeWithCells="1">
                  <from>
                    <xdr:col>6</xdr:col>
                    <xdr:colOff>0</xdr:colOff>
                    <xdr:row>2181</xdr:row>
                    <xdr:rowOff>0</xdr:rowOff>
                  </from>
                  <to>
                    <xdr:col>7</xdr:col>
                    <xdr:colOff>0</xdr:colOff>
                    <xdr:row>2181</xdr:row>
                    <xdr:rowOff>161925</xdr:rowOff>
                  </to>
                </anchor>
              </controlPr>
            </control>
          </mc:Choice>
        </mc:AlternateContent>
        <mc:AlternateContent xmlns:mc="http://schemas.openxmlformats.org/markup-compatibility/2006">
          <mc:Choice Requires="x14">
            <control shapeId="1608" r:id="rId1294" name="Button 584">
              <controlPr defaultSize="0" autoFill="0" autoLine="0" autoPict="0" macro="[0]!Sheet1.deleteRow">
                <anchor moveWithCells="1" sizeWithCells="1">
                  <from>
                    <xdr:col>6</xdr:col>
                    <xdr:colOff>0</xdr:colOff>
                    <xdr:row>2182</xdr:row>
                    <xdr:rowOff>0</xdr:rowOff>
                  </from>
                  <to>
                    <xdr:col>7</xdr:col>
                    <xdr:colOff>0</xdr:colOff>
                    <xdr:row>2182</xdr:row>
                    <xdr:rowOff>161925</xdr:rowOff>
                  </to>
                </anchor>
              </controlPr>
            </control>
          </mc:Choice>
        </mc:AlternateContent>
        <mc:AlternateContent xmlns:mc="http://schemas.openxmlformats.org/markup-compatibility/2006">
          <mc:Choice Requires="x14">
            <control shapeId="1607" r:id="rId1295" name="Button 583">
              <controlPr defaultSize="0" autoFill="0" autoLine="0" autoPict="0" macro="[0]!Sheet1.deleteRow">
                <anchor moveWithCells="1" sizeWithCells="1">
                  <from>
                    <xdr:col>6</xdr:col>
                    <xdr:colOff>0</xdr:colOff>
                    <xdr:row>2183</xdr:row>
                    <xdr:rowOff>0</xdr:rowOff>
                  </from>
                  <to>
                    <xdr:col>7</xdr:col>
                    <xdr:colOff>0</xdr:colOff>
                    <xdr:row>2183</xdr:row>
                    <xdr:rowOff>161925</xdr:rowOff>
                  </to>
                </anchor>
              </controlPr>
            </control>
          </mc:Choice>
        </mc:AlternateContent>
        <mc:AlternateContent xmlns:mc="http://schemas.openxmlformats.org/markup-compatibility/2006">
          <mc:Choice Requires="x14">
            <control shapeId="1606" r:id="rId1296" name="Button 582">
              <controlPr defaultSize="0" autoFill="0" autoLine="0" autoPict="0" macro="[0]!Sheet1.deleteRow">
                <anchor moveWithCells="1" sizeWithCells="1">
                  <from>
                    <xdr:col>6</xdr:col>
                    <xdr:colOff>0</xdr:colOff>
                    <xdr:row>2184</xdr:row>
                    <xdr:rowOff>0</xdr:rowOff>
                  </from>
                  <to>
                    <xdr:col>7</xdr:col>
                    <xdr:colOff>0</xdr:colOff>
                    <xdr:row>2184</xdr:row>
                    <xdr:rowOff>161925</xdr:rowOff>
                  </to>
                </anchor>
              </controlPr>
            </control>
          </mc:Choice>
        </mc:AlternateContent>
        <mc:AlternateContent xmlns:mc="http://schemas.openxmlformats.org/markup-compatibility/2006">
          <mc:Choice Requires="x14">
            <control shapeId="1605" r:id="rId1297" name="Button 581">
              <controlPr defaultSize="0" autoFill="0" autoLine="0" autoPict="0" macro="[0]!Sheet1.deleteRow">
                <anchor moveWithCells="1" sizeWithCells="1">
                  <from>
                    <xdr:col>6</xdr:col>
                    <xdr:colOff>0</xdr:colOff>
                    <xdr:row>2185</xdr:row>
                    <xdr:rowOff>0</xdr:rowOff>
                  </from>
                  <to>
                    <xdr:col>7</xdr:col>
                    <xdr:colOff>0</xdr:colOff>
                    <xdr:row>2185</xdr:row>
                    <xdr:rowOff>161925</xdr:rowOff>
                  </to>
                </anchor>
              </controlPr>
            </control>
          </mc:Choice>
        </mc:AlternateContent>
        <mc:AlternateContent xmlns:mc="http://schemas.openxmlformats.org/markup-compatibility/2006">
          <mc:Choice Requires="x14">
            <control shapeId="1604" r:id="rId1298" name="Button 580">
              <controlPr defaultSize="0" autoFill="0" autoLine="0" autoPict="0" macro="[0]!Sheet1.deleteRow">
                <anchor moveWithCells="1" sizeWithCells="1">
                  <from>
                    <xdr:col>6</xdr:col>
                    <xdr:colOff>0</xdr:colOff>
                    <xdr:row>2186</xdr:row>
                    <xdr:rowOff>0</xdr:rowOff>
                  </from>
                  <to>
                    <xdr:col>7</xdr:col>
                    <xdr:colOff>0</xdr:colOff>
                    <xdr:row>2186</xdr:row>
                    <xdr:rowOff>161925</xdr:rowOff>
                  </to>
                </anchor>
              </controlPr>
            </control>
          </mc:Choice>
        </mc:AlternateContent>
        <mc:AlternateContent xmlns:mc="http://schemas.openxmlformats.org/markup-compatibility/2006">
          <mc:Choice Requires="x14">
            <control shapeId="1603" r:id="rId1299" name="Button 579">
              <controlPr defaultSize="0" autoFill="0" autoLine="0" autoPict="0" macro="[0]!Sheet1.deleteRow">
                <anchor moveWithCells="1" sizeWithCells="1">
                  <from>
                    <xdr:col>6</xdr:col>
                    <xdr:colOff>0</xdr:colOff>
                    <xdr:row>2187</xdr:row>
                    <xdr:rowOff>0</xdr:rowOff>
                  </from>
                  <to>
                    <xdr:col>7</xdr:col>
                    <xdr:colOff>0</xdr:colOff>
                    <xdr:row>2187</xdr:row>
                    <xdr:rowOff>161925</xdr:rowOff>
                  </to>
                </anchor>
              </controlPr>
            </control>
          </mc:Choice>
        </mc:AlternateContent>
        <mc:AlternateContent xmlns:mc="http://schemas.openxmlformats.org/markup-compatibility/2006">
          <mc:Choice Requires="x14">
            <control shapeId="1602" r:id="rId1300" name="Button 578">
              <controlPr defaultSize="0" autoFill="0" autoLine="0" autoPict="0" macro="[0]!Sheet1.deleteRow">
                <anchor moveWithCells="1" sizeWithCells="1">
                  <from>
                    <xdr:col>6</xdr:col>
                    <xdr:colOff>0</xdr:colOff>
                    <xdr:row>2188</xdr:row>
                    <xdr:rowOff>0</xdr:rowOff>
                  </from>
                  <to>
                    <xdr:col>7</xdr:col>
                    <xdr:colOff>0</xdr:colOff>
                    <xdr:row>2188</xdr:row>
                    <xdr:rowOff>161925</xdr:rowOff>
                  </to>
                </anchor>
              </controlPr>
            </control>
          </mc:Choice>
        </mc:AlternateContent>
        <mc:AlternateContent xmlns:mc="http://schemas.openxmlformats.org/markup-compatibility/2006">
          <mc:Choice Requires="x14">
            <control shapeId="1601" r:id="rId1301" name="Button 577">
              <controlPr defaultSize="0" autoFill="0" autoLine="0" autoPict="0" macro="[0]!Sheet1.deleteRow">
                <anchor moveWithCells="1" sizeWithCells="1">
                  <from>
                    <xdr:col>6</xdr:col>
                    <xdr:colOff>0</xdr:colOff>
                    <xdr:row>2189</xdr:row>
                    <xdr:rowOff>0</xdr:rowOff>
                  </from>
                  <to>
                    <xdr:col>7</xdr:col>
                    <xdr:colOff>0</xdr:colOff>
                    <xdr:row>2189</xdr:row>
                    <xdr:rowOff>161925</xdr:rowOff>
                  </to>
                </anchor>
              </controlPr>
            </control>
          </mc:Choice>
        </mc:AlternateContent>
        <mc:AlternateContent xmlns:mc="http://schemas.openxmlformats.org/markup-compatibility/2006">
          <mc:Choice Requires="x14">
            <control shapeId="1600" r:id="rId1302" name="Button 576">
              <controlPr defaultSize="0" autoFill="0" autoLine="0" autoPict="0" macro="[0]!Sheet1.deleteRow">
                <anchor moveWithCells="1" sizeWithCells="1">
                  <from>
                    <xdr:col>6</xdr:col>
                    <xdr:colOff>0</xdr:colOff>
                    <xdr:row>2190</xdr:row>
                    <xdr:rowOff>0</xdr:rowOff>
                  </from>
                  <to>
                    <xdr:col>7</xdr:col>
                    <xdr:colOff>0</xdr:colOff>
                    <xdr:row>2190</xdr:row>
                    <xdr:rowOff>161925</xdr:rowOff>
                  </to>
                </anchor>
              </controlPr>
            </control>
          </mc:Choice>
        </mc:AlternateContent>
        <mc:AlternateContent xmlns:mc="http://schemas.openxmlformats.org/markup-compatibility/2006">
          <mc:Choice Requires="x14">
            <control shapeId="1599" r:id="rId1303" name="Button 575">
              <controlPr defaultSize="0" autoFill="0" autoLine="0" autoPict="0" macro="[0]!Sheet1.deleteProcedure">
                <anchor moveWithCells="1" sizeWithCells="1">
                  <from>
                    <xdr:col>6</xdr:col>
                    <xdr:colOff>0</xdr:colOff>
                    <xdr:row>2193</xdr:row>
                    <xdr:rowOff>0</xdr:rowOff>
                  </from>
                  <to>
                    <xdr:col>7</xdr:col>
                    <xdr:colOff>0</xdr:colOff>
                    <xdr:row>2194</xdr:row>
                    <xdr:rowOff>0</xdr:rowOff>
                  </to>
                </anchor>
              </controlPr>
            </control>
          </mc:Choice>
        </mc:AlternateContent>
        <mc:AlternateContent xmlns:mc="http://schemas.openxmlformats.org/markup-compatibility/2006">
          <mc:Choice Requires="x14">
            <control shapeId="1598" r:id="rId1304" name="Button 574">
              <controlPr defaultSize="0" autoFill="0" autoLine="0" autoPict="0" macro="[0]!Sheet1.InsertNewTableRow">
                <anchor moveWithCells="1" sizeWithCells="1">
                  <from>
                    <xdr:col>6</xdr:col>
                    <xdr:colOff>0</xdr:colOff>
                    <xdr:row>2200</xdr:row>
                    <xdr:rowOff>0</xdr:rowOff>
                  </from>
                  <to>
                    <xdr:col>7</xdr:col>
                    <xdr:colOff>0</xdr:colOff>
                    <xdr:row>2200</xdr:row>
                    <xdr:rowOff>38100</xdr:rowOff>
                  </to>
                </anchor>
              </controlPr>
            </control>
          </mc:Choice>
        </mc:AlternateContent>
        <mc:AlternateContent xmlns:mc="http://schemas.openxmlformats.org/markup-compatibility/2006">
          <mc:Choice Requires="x14">
            <control shapeId="1597" r:id="rId1305" name="Button 573">
              <controlPr defaultSize="0" autoFill="0" autoLine="0" autoPict="0" macro="[0]!Sheet1.deleteRow">
                <anchor moveWithCells="1" sizeWithCells="1">
                  <from>
                    <xdr:col>6</xdr:col>
                    <xdr:colOff>0</xdr:colOff>
                    <xdr:row>2201</xdr:row>
                    <xdr:rowOff>0</xdr:rowOff>
                  </from>
                  <to>
                    <xdr:col>7</xdr:col>
                    <xdr:colOff>0</xdr:colOff>
                    <xdr:row>2201</xdr:row>
                    <xdr:rowOff>161925</xdr:rowOff>
                  </to>
                </anchor>
              </controlPr>
            </control>
          </mc:Choice>
        </mc:AlternateContent>
        <mc:AlternateContent xmlns:mc="http://schemas.openxmlformats.org/markup-compatibility/2006">
          <mc:Choice Requires="x14">
            <control shapeId="1596" r:id="rId1306" name="Button 572">
              <controlPr defaultSize="0" autoFill="0" autoLine="0" autoPict="0" macro="[0]!Sheet1.deleteProcedure">
                <anchor moveWithCells="1" sizeWithCells="1">
                  <from>
                    <xdr:col>6</xdr:col>
                    <xdr:colOff>0</xdr:colOff>
                    <xdr:row>2204</xdr:row>
                    <xdr:rowOff>0</xdr:rowOff>
                  </from>
                  <to>
                    <xdr:col>7</xdr:col>
                    <xdr:colOff>0</xdr:colOff>
                    <xdr:row>2205</xdr:row>
                    <xdr:rowOff>0</xdr:rowOff>
                  </to>
                </anchor>
              </controlPr>
            </control>
          </mc:Choice>
        </mc:AlternateContent>
        <mc:AlternateContent xmlns:mc="http://schemas.openxmlformats.org/markup-compatibility/2006">
          <mc:Choice Requires="x14">
            <control shapeId="1595" r:id="rId1307" name="Button 571">
              <controlPr defaultSize="0" autoFill="0" autoLine="0" autoPict="0" macro="[0]!Sheet1.InsertNewTableRow">
                <anchor moveWithCells="1" sizeWithCells="1">
                  <from>
                    <xdr:col>6</xdr:col>
                    <xdr:colOff>0</xdr:colOff>
                    <xdr:row>2211</xdr:row>
                    <xdr:rowOff>0</xdr:rowOff>
                  </from>
                  <to>
                    <xdr:col>7</xdr:col>
                    <xdr:colOff>0</xdr:colOff>
                    <xdr:row>2211</xdr:row>
                    <xdr:rowOff>38100</xdr:rowOff>
                  </to>
                </anchor>
              </controlPr>
            </control>
          </mc:Choice>
        </mc:AlternateContent>
        <mc:AlternateContent xmlns:mc="http://schemas.openxmlformats.org/markup-compatibility/2006">
          <mc:Choice Requires="x14">
            <control shapeId="1594" r:id="rId1308" name="Button 570">
              <controlPr defaultSize="0" autoFill="0" autoLine="0" autoPict="0" macro="[0]!Sheet1.deleteRow">
                <anchor moveWithCells="1" sizeWithCells="1">
                  <from>
                    <xdr:col>6</xdr:col>
                    <xdr:colOff>0</xdr:colOff>
                    <xdr:row>2212</xdr:row>
                    <xdr:rowOff>0</xdr:rowOff>
                  </from>
                  <to>
                    <xdr:col>7</xdr:col>
                    <xdr:colOff>0</xdr:colOff>
                    <xdr:row>2212</xdr:row>
                    <xdr:rowOff>161925</xdr:rowOff>
                  </to>
                </anchor>
              </controlPr>
            </control>
          </mc:Choice>
        </mc:AlternateContent>
        <mc:AlternateContent xmlns:mc="http://schemas.openxmlformats.org/markup-compatibility/2006">
          <mc:Choice Requires="x14">
            <control shapeId="1593" r:id="rId1309" name="Button 569">
              <controlPr defaultSize="0" autoFill="0" autoLine="0" autoPict="0" macro="[0]!Sheet1.deleteProcedure">
                <anchor moveWithCells="1" sizeWithCells="1">
                  <from>
                    <xdr:col>6</xdr:col>
                    <xdr:colOff>0</xdr:colOff>
                    <xdr:row>2215</xdr:row>
                    <xdr:rowOff>0</xdr:rowOff>
                  </from>
                  <to>
                    <xdr:col>7</xdr:col>
                    <xdr:colOff>0</xdr:colOff>
                    <xdr:row>2216</xdr:row>
                    <xdr:rowOff>0</xdr:rowOff>
                  </to>
                </anchor>
              </controlPr>
            </control>
          </mc:Choice>
        </mc:AlternateContent>
        <mc:AlternateContent xmlns:mc="http://schemas.openxmlformats.org/markup-compatibility/2006">
          <mc:Choice Requires="x14">
            <control shapeId="1592" r:id="rId1310" name="Button 568">
              <controlPr defaultSize="0" autoFill="0" autoLine="0" autoPict="0" macro="[0]!Sheet1.InsertNewTableRow">
                <anchor moveWithCells="1" sizeWithCells="1">
                  <from>
                    <xdr:col>6</xdr:col>
                    <xdr:colOff>0</xdr:colOff>
                    <xdr:row>2222</xdr:row>
                    <xdr:rowOff>0</xdr:rowOff>
                  </from>
                  <to>
                    <xdr:col>7</xdr:col>
                    <xdr:colOff>0</xdr:colOff>
                    <xdr:row>2222</xdr:row>
                    <xdr:rowOff>38100</xdr:rowOff>
                  </to>
                </anchor>
              </controlPr>
            </control>
          </mc:Choice>
        </mc:AlternateContent>
        <mc:AlternateContent xmlns:mc="http://schemas.openxmlformats.org/markup-compatibility/2006">
          <mc:Choice Requires="x14">
            <control shapeId="1591" r:id="rId1311" name="Button 567">
              <controlPr defaultSize="0" autoFill="0" autoLine="0" autoPict="0" macro="[0]!Sheet1.deleteRow">
                <anchor moveWithCells="1" sizeWithCells="1">
                  <from>
                    <xdr:col>6</xdr:col>
                    <xdr:colOff>0</xdr:colOff>
                    <xdr:row>2223</xdr:row>
                    <xdr:rowOff>0</xdr:rowOff>
                  </from>
                  <to>
                    <xdr:col>7</xdr:col>
                    <xdr:colOff>0</xdr:colOff>
                    <xdr:row>2223</xdr:row>
                    <xdr:rowOff>161925</xdr:rowOff>
                  </to>
                </anchor>
              </controlPr>
            </control>
          </mc:Choice>
        </mc:AlternateContent>
        <mc:AlternateContent xmlns:mc="http://schemas.openxmlformats.org/markup-compatibility/2006">
          <mc:Choice Requires="x14">
            <control shapeId="1590" r:id="rId1312" name="Button 566">
              <controlPr defaultSize="0" autoFill="0" autoLine="0" autoPict="0" macro="[0]!Sheet1.deleteProcedure">
                <anchor moveWithCells="1" sizeWithCells="1">
                  <from>
                    <xdr:col>6</xdr:col>
                    <xdr:colOff>0</xdr:colOff>
                    <xdr:row>2226</xdr:row>
                    <xdr:rowOff>0</xdr:rowOff>
                  </from>
                  <to>
                    <xdr:col>7</xdr:col>
                    <xdr:colOff>0</xdr:colOff>
                    <xdr:row>2227</xdr:row>
                    <xdr:rowOff>0</xdr:rowOff>
                  </to>
                </anchor>
              </controlPr>
            </control>
          </mc:Choice>
        </mc:AlternateContent>
        <mc:AlternateContent xmlns:mc="http://schemas.openxmlformats.org/markup-compatibility/2006">
          <mc:Choice Requires="x14">
            <control shapeId="1589" r:id="rId1313" name="Button 565">
              <controlPr defaultSize="0" autoFill="0" autoLine="0" autoPict="0" macro="[0]!Sheet1.InsertNewTableRow">
                <anchor moveWithCells="1" sizeWithCells="1">
                  <from>
                    <xdr:col>6</xdr:col>
                    <xdr:colOff>0</xdr:colOff>
                    <xdr:row>2233</xdr:row>
                    <xdr:rowOff>0</xdr:rowOff>
                  </from>
                  <to>
                    <xdr:col>7</xdr:col>
                    <xdr:colOff>0</xdr:colOff>
                    <xdr:row>2233</xdr:row>
                    <xdr:rowOff>38100</xdr:rowOff>
                  </to>
                </anchor>
              </controlPr>
            </control>
          </mc:Choice>
        </mc:AlternateContent>
        <mc:AlternateContent xmlns:mc="http://schemas.openxmlformats.org/markup-compatibility/2006">
          <mc:Choice Requires="x14">
            <control shapeId="1588" r:id="rId1314" name="Button 564">
              <controlPr defaultSize="0" autoFill="0" autoLine="0" autoPict="0" macro="[0]!Sheet1.deleteRow">
                <anchor moveWithCells="1" sizeWithCells="1">
                  <from>
                    <xdr:col>6</xdr:col>
                    <xdr:colOff>0</xdr:colOff>
                    <xdr:row>2234</xdr:row>
                    <xdr:rowOff>0</xdr:rowOff>
                  </from>
                  <to>
                    <xdr:col>7</xdr:col>
                    <xdr:colOff>0</xdr:colOff>
                    <xdr:row>2234</xdr:row>
                    <xdr:rowOff>161925</xdr:rowOff>
                  </to>
                </anchor>
              </controlPr>
            </control>
          </mc:Choice>
        </mc:AlternateContent>
        <mc:AlternateContent xmlns:mc="http://schemas.openxmlformats.org/markup-compatibility/2006">
          <mc:Choice Requires="x14">
            <control shapeId="1587" r:id="rId1315" name="Button 563">
              <controlPr defaultSize="0" autoFill="0" autoLine="0" autoPict="0" macro="[0]!Sheet1.deleteRow">
                <anchor moveWithCells="1" sizeWithCells="1">
                  <from>
                    <xdr:col>6</xdr:col>
                    <xdr:colOff>0</xdr:colOff>
                    <xdr:row>2235</xdr:row>
                    <xdr:rowOff>0</xdr:rowOff>
                  </from>
                  <to>
                    <xdr:col>7</xdr:col>
                    <xdr:colOff>0</xdr:colOff>
                    <xdr:row>2235</xdr:row>
                    <xdr:rowOff>161925</xdr:rowOff>
                  </to>
                </anchor>
              </controlPr>
            </control>
          </mc:Choice>
        </mc:AlternateContent>
        <mc:AlternateContent xmlns:mc="http://schemas.openxmlformats.org/markup-compatibility/2006">
          <mc:Choice Requires="x14">
            <control shapeId="1586" r:id="rId1316" name="Button 562">
              <controlPr defaultSize="0" autoFill="0" autoLine="0" autoPict="0" macro="[0]!Sheet1.deleteProcedure">
                <anchor moveWithCells="1" sizeWithCells="1">
                  <from>
                    <xdr:col>6</xdr:col>
                    <xdr:colOff>0</xdr:colOff>
                    <xdr:row>2238</xdr:row>
                    <xdr:rowOff>0</xdr:rowOff>
                  </from>
                  <to>
                    <xdr:col>7</xdr:col>
                    <xdr:colOff>0</xdr:colOff>
                    <xdr:row>2239</xdr:row>
                    <xdr:rowOff>0</xdr:rowOff>
                  </to>
                </anchor>
              </controlPr>
            </control>
          </mc:Choice>
        </mc:AlternateContent>
        <mc:AlternateContent xmlns:mc="http://schemas.openxmlformats.org/markup-compatibility/2006">
          <mc:Choice Requires="x14">
            <control shapeId="1585" r:id="rId1317" name="Button 561">
              <controlPr defaultSize="0" autoFill="0" autoLine="0" autoPict="0" macro="[0]!Sheet1.InsertNewTableRow">
                <anchor moveWithCells="1" sizeWithCells="1">
                  <from>
                    <xdr:col>6</xdr:col>
                    <xdr:colOff>0</xdr:colOff>
                    <xdr:row>2245</xdr:row>
                    <xdr:rowOff>0</xdr:rowOff>
                  </from>
                  <to>
                    <xdr:col>7</xdr:col>
                    <xdr:colOff>0</xdr:colOff>
                    <xdr:row>2245</xdr:row>
                    <xdr:rowOff>38100</xdr:rowOff>
                  </to>
                </anchor>
              </controlPr>
            </control>
          </mc:Choice>
        </mc:AlternateContent>
        <mc:AlternateContent xmlns:mc="http://schemas.openxmlformats.org/markup-compatibility/2006">
          <mc:Choice Requires="x14">
            <control shapeId="1584" r:id="rId1318" name="Button 560">
              <controlPr defaultSize="0" autoFill="0" autoLine="0" autoPict="0" macro="[0]!Sheet1.deleteRow">
                <anchor moveWithCells="1" sizeWithCells="1">
                  <from>
                    <xdr:col>6</xdr:col>
                    <xdr:colOff>0</xdr:colOff>
                    <xdr:row>2246</xdr:row>
                    <xdr:rowOff>0</xdr:rowOff>
                  </from>
                  <to>
                    <xdr:col>7</xdr:col>
                    <xdr:colOff>0</xdr:colOff>
                    <xdr:row>2246</xdr:row>
                    <xdr:rowOff>161925</xdr:rowOff>
                  </to>
                </anchor>
              </controlPr>
            </control>
          </mc:Choice>
        </mc:AlternateContent>
        <mc:AlternateContent xmlns:mc="http://schemas.openxmlformats.org/markup-compatibility/2006">
          <mc:Choice Requires="x14">
            <control shapeId="1583" r:id="rId1319" name="Button 559">
              <controlPr defaultSize="0" autoFill="0" autoLine="0" autoPict="0" macro="[0]!Sheet1.deleteProcedure">
                <anchor moveWithCells="1" sizeWithCells="1">
                  <from>
                    <xdr:col>6</xdr:col>
                    <xdr:colOff>0</xdr:colOff>
                    <xdr:row>2249</xdr:row>
                    <xdr:rowOff>0</xdr:rowOff>
                  </from>
                  <to>
                    <xdr:col>7</xdr:col>
                    <xdr:colOff>0</xdr:colOff>
                    <xdr:row>2250</xdr:row>
                    <xdr:rowOff>0</xdr:rowOff>
                  </to>
                </anchor>
              </controlPr>
            </control>
          </mc:Choice>
        </mc:AlternateContent>
        <mc:AlternateContent xmlns:mc="http://schemas.openxmlformats.org/markup-compatibility/2006">
          <mc:Choice Requires="x14">
            <control shapeId="1582" r:id="rId1320" name="Button 558">
              <controlPr defaultSize="0" autoFill="0" autoLine="0" autoPict="0" macro="[0]!Sheet1.InsertNewTableRow">
                <anchor moveWithCells="1" sizeWithCells="1">
                  <from>
                    <xdr:col>6</xdr:col>
                    <xdr:colOff>0</xdr:colOff>
                    <xdr:row>2256</xdr:row>
                    <xdr:rowOff>0</xdr:rowOff>
                  </from>
                  <to>
                    <xdr:col>7</xdr:col>
                    <xdr:colOff>0</xdr:colOff>
                    <xdr:row>2256</xdr:row>
                    <xdr:rowOff>38100</xdr:rowOff>
                  </to>
                </anchor>
              </controlPr>
            </control>
          </mc:Choice>
        </mc:AlternateContent>
        <mc:AlternateContent xmlns:mc="http://schemas.openxmlformats.org/markup-compatibility/2006">
          <mc:Choice Requires="x14">
            <control shapeId="1581" r:id="rId1321" name="Button 557">
              <controlPr defaultSize="0" autoFill="0" autoLine="0" autoPict="0" macro="[0]!Sheet1.deleteRow">
                <anchor moveWithCells="1" sizeWithCells="1">
                  <from>
                    <xdr:col>6</xdr:col>
                    <xdr:colOff>0</xdr:colOff>
                    <xdr:row>2257</xdr:row>
                    <xdr:rowOff>0</xdr:rowOff>
                  </from>
                  <to>
                    <xdr:col>7</xdr:col>
                    <xdr:colOff>0</xdr:colOff>
                    <xdr:row>2257</xdr:row>
                    <xdr:rowOff>161925</xdr:rowOff>
                  </to>
                </anchor>
              </controlPr>
            </control>
          </mc:Choice>
        </mc:AlternateContent>
        <mc:AlternateContent xmlns:mc="http://schemas.openxmlformats.org/markup-compatibility/2006">
          <mc:Choice Requires="x14">
            <control shapeId="1580" r:id="rId1322" name="Button 556">
              <controlPr defaultSize="0" autoFill="0" autoLine="0" autoPict="0" macro="[0]!Sheet1.deleteProcedure">
                <anchor moveWithCells="1" sizeWithCells="1">
                  <from>
                    <xdr:col>6</xdr:col>
                    <xdr:colOff>0</xdr:colOff>
                    <xdr:row>2260</xdr:row>
                    <xdr:rowOff>0</xdr:rowOff>
                  </from>
                  <to>
                    <xdr:col>7</xdr:col>
                    <xdr:colOff>0</xdr:colOff>
                    <xdr:row>2261</xdr:row>
                    <xdr:rowOff>0</xdr:rowOff>
                  </to>
                </anchor>
              </controlPr>
            </control>
          </mc:Choice>
        </mc:AlternateContent>
        <mc:AlternateContent xmlns:mc="http://schemas.openxmlformats.org/markup-compatibility/2006">
          <mc:Choice Requires="x14">
            <control shapeId="1579" r:id="rId1323" name="Button 555">
              <controlPr defaultSize="0" autoFill="0" autoLine="0" autoPict="0" macro="[0]!Sheet1.InsertNewTableRow">
                <anchor moveWithCells="1" sizeWithCells="1">
                  <from>
                    <xdr:col>6</xdr:col>
                    <xdr:colOff>0</xdr:colOff>
                    <xdr:row>2267</xdr:row>
                    <xdr:rowOff>0</xdr:rowOff>
                  </from>
                  <to>
                    <xdr:col>7</xdr:col>
                    <xdr:colOff>0</xdr:colOff>
                    <xdr:row>2267</xdr:row>
                    <xdr:rowOff>38100</xdr:rowOff>
                  </to>
                </anchor>
              </controlPr>
            </control>
          </mc:Choice>
        </mc:AlternateContent>
        <mc:AlternateContent xmlns:mc="http://schemas.openxmlformats.org/markup-compatibility/2006">
          <mc:Choice Requires="x14">
            <control shapeId="1578" r:id="rId1324" name="Button 554">
              <controlPr defaultSize="0" autoFill="0" autoLine="0" autoPict="0" macro="[0]!Sheet1.deleteRow">
                <anchor moveWithCells="1" sizeWithCells="1">
                  <from>
                    <xdr:col>6</xdr:col>
                    <xdr:colOff>0</xdr:colOff>
                    <xdr:row>2268</xdr:row>
                    <xdr:rowOff>0</xdr:rowOff>
                  </from>
                  <to>
                    <xdr:col>7</xdr:col>
                    <xdr:colOff>0</xdr:colOff>
                    <xdr:row>2268</xdr:row>
                    <xdr:rowOff>161925</xdr:rowOff>
                  </to>
                </anchor>
              </controlPr>
            </control>
          </mc:Choice>
        </mc:AlternateContent>
        <mc:AlternateContent xmlns:mc="http://schemas.openxmlformats.org/markup-compatibility/2006">
          <mc:Choice Requires="x14">
            <control shapeId="1577" r:id="rId1325" name="Button 553">
              <controlPr defaultSize="0" autoFill="0" autoLine="0" autoPict="0" macro="[0]!Sheet1.deleteProcedure">
                <anchor moveWithCells="1" sizeWithCells="1">
                  <from>
                    <xdr:col>6</xdr:col>
                    <xdr:colOff>0</xdr:colOff>
                    <xdr:row>2271</xdr:row>
                    <xdr:rowOff>0</xdr:rowOff>
                  </from>
                  <to>
                    <xdr:col>7</xdr:col>
                    <xdr:colOff>0</xdr:colOff>
                    <xdr:row>2272</xdr:row>
                    <xdr:rowOff>0</xdr:rowOff>
                  </to>
                </anchor>
              </controlPr>
            </control>
          </mc:Choice>
        </mc:AlternateContent>
        <mc:AlternateContent xmlns:mc="http://schemas.openxmlformats.org/markup-compatibility/2006">
          <mc:Choice Requires="x14">
            <control shapeId="1576" r:id="rId1326" name="Button 552">
              <controlPr defaultSize="0" autoFill="0" autoLine="0" autoPict="0" macro="[0]!Sheet1.InsertNewTableRow">
                <anchor moveWithCells="1" sizeWithCells="1">
                  <from>
                    <xdr:col>6</xdr:col>
                    <xdr:colOff>0</xdr:colOff>
                    <xdr:row>2278</xdr:row>
                    <xdr:rowOff>0</xdr:rowOff>
                  </from>
                  <to>
                    <xdr:col>7</xdr:col>
                    <xdr:colOff>0</xdr:colOff>
                    <xdr:row>2278</xdr:row>
                    <xdr:rowOff>38100</xdr:rowOff>
                  </to>
                </anchor>
              </controlPr>
            </control>
          </mc:Choice>
        </mc:AlternateContent>
        <mc:AlternateContent xmlns:mc="http://schemas.openxmlformats.org/markup-compatibility/2006">
          <mc:Choice Requires="x14">
            <control shapeId="1575" r:id="rId1327" name="Button 551">
              <controlPr defaultSize="0" autoFill="0" autoLine="0" autoPict="0" macro="[0]!Sheet1.deleteRow">
                <anchor moveWithCells="1" sizeWithCells="1">
                  <from>
                    <xdr:col>6</xdr:col>
                    <xdr:colOff>0</xdr:colOff>
                    <xdr:row>2279</xdr:row>
                    <xdr:rowOff>0</xdr:rowOff>
                  </from>
                  <to>
                    <xdr:col>7</xdr:col>
                    <xdr:colOff>0</xdr:colOff>
                    <xdr:row>2279</xdr:row>
                    <xdr:rowOff>161925</xdr:rowOff>
                  </to>
                </anchor>
              </controlPr>
            </control>
          </mc:Choice>
        </mc:AlternateContent>
        <mc:AlternateContent xmlns:mc="http://schemas.openxmlformats.org/markup-compatibility/2006">
          <mc:Choice Requires="x14">
            <control shapeId="1574" r:id="rId1328" name="Button 550">
              <controlPr defaultSize="0" autoFill="0" autoLine="0" autoPict="0" macro="[0]!Sheet1.deleteRow">
                <anchor moveWithCells="1" sizeWithCells="1">
                  <from>
                    <xdr:col>6</xdr:col>
                    <xdr:colOff>0</xdr:colOff>
                    <xdr:row>2280</xdr:row>
                    <xdr:rowOff>0</xdr:rowOff>
                  </from>
                  <to>
                    <xdr:col>7</xdr:col>
                    <xdr:colOff>0</xdr:colOff>
                    <xdr:row>2280</xdr:row>
                    <xdr:rowOff>161925</xdr:rowOff>
                  </to>
                </anchor>
              </controlPr>
            </control>
          </mc:Choice>
        </mc:AlternateContent>
        <mc:AlternateContent xmlns:mc="http://schemas.openxmlformats.org/markup-compatibility/2006">
          <mc:Choice Requires="x14">
            <control shapeId="1573" r:id="rId1329" name="Button 549">
              <controlPr defaultSize="0" autoFill="0" autoLine="0" autoPict="0" macro="[0]!Sheet1.deleteRow">
                <anchor moveWithCells="1" sizeWithCells="1">
                  <from>
                    <xdr:col>6</xdr:col>
                    <xdr:colOff>0</xdr:colOff>
                    <xdr:row>2281</xdr:row>
                    <xdr:rowOff>0</xdr:rowOff>
                  </from>
                  <to>
                    <xdr:col>7</xdr:col>
                    <xdr:colOff>0</xdr:colOff>
                    <xdr:row>2281</xdr:row>
                    <xdr:rowOff>161925</xdr:rowOff>
                  </to>
                </anchor>
              </controlPr>
            </control>
          </mc:Choice>
        </mc:AlternateContent>
        <mc:AlternateContent xmlns:mc="http://schemas.openxmlformats.org/markup-compatibility/2006">
          <mc:Choice Requires="x14">
            <control shapeId="1572" r:id="rId1330" name="Button 548">
              <controlPr defaultSize="0" autoFill="0" autoLine="0" autoPict="0" macro="[0]!Sheet1.deleteRow">
                <anchor moveWithCells="1" sizeWithCells="1">
                  <from>
                    <xdr:col>6</xdr:col>
                    <xdr:colOff>0</xdr:colOff>
                    <xdr:row>2282</xdr:row>
                    <xdr:rowOff>0</xdr:rowOff>
                  </from>
                  <to>
                    <xdr:col>7</xdr:col>
                    <xdr:colOff>0</xdr:colOff>
                    <xdr:row>2282</xdr:row>
                    <xdr:rowOff>161925</xdr:rowOff>
                  </to>
                </anchor>
              </controlPr>
            </control>
          </mc:Choice>
        </mc:AlternateContent>
        <mc:AlternateContent xmlns:mc="http://schemas.openxmlformats.org/markup-compatibility/2006">
          <mc:Choice Requires="x14">
            <control shapeId="1571" r:id="rId1331" name="Button 547">
              <controlPr defaultSize="0" autoFill="0" autoLine="0" autoPict="0" macro="[0]!Sheet1.deleteRow">
                <anchor moveWithCells="1" sizeWithCells="1">
                  <from>
                    <xdr:col>6</xdr:col>
                    <xdr:colOff>0</xdr:colOff>
                    <xdr:row>2283</xdr:row>
                    <xdr:rowOff>0</xdr:rowOff>
                  </from>
                  <to>
                    <xdr:col>7</xdr:col>
                    <xdr:colOff>0</xdr:colOff>
                    <xdr:row>2283</xdr:row>
                    <xdr:rowOff>161925</xdr:rowOff>
                  </to>
                </anchor>
              </controlPr>
            </control>
          </mc:Choice>
        </mc:AlternateContent>
        <mc:AlternateContent xmlns:mc="http://schemas.openxmlformats.org/markup-compatibility/2006">
          <mc:Choice Requires="x14">
            <control shapeId="1570" r:id="rId1332" name="Button 546">
              <controlPr defaultSize="0" autoFill="0" autoLine="0" autoPict="0" macro="[0]!Sheet1.deleteRow">
                <anchor moveWithCells="1" sizeWithCells="1">
                  <from>
                    <xdr:col>6</xdr:col>
                    <xdr:colOff>0</xdr:colOff>
                    <xdr:row>2284</xdr:row>
                    <xdr:rowOff>0</xdr:rowOff>
                  </from>
                  <to>
                    <xdr:col>7</xdr:col>
                    <xdr:colOff>0</xdr:colOff>
                    <xdr:row>2284</xdr:row>
                    <xdr:rowOff>161925</xdr:rowOff>
                  </to>
                </anchor>
              </controlPr>
            </control>
          </mc:Choice>
        </mc:AlternateContent>
        <mc:AlternateContent xmlns:mc="http://schemas.openxmlformats.org/markup-compatibility/2006">
          <mc:Choice Requires="x14">
            <control shapeId="1569" r:id="rId1333" name="Button 545">
              <controlPr defaultSize="0" autoFill="0" autoLine="0" autoPict="0" macro="[0]!Sheet1.deleteRow">
                <anchor moveWithCells="1" sizeWithCells="1">
                  <from>
                    <xdr:col>6</xdr:col>
                    <xdr:colOff>0</xdr:colOff>
                    <xdr:row>2285</xdr:row>
                    <xdr:rowOff>0</xdr:rowOff>
                  </from>
                  <to>
                    <xdr:col>7</xdr:col>
                    <xdr:colOff>0</xdr:colOff>
                    <xdr:row>2285</xdr:row>
                    <xdr:rowOff>161925</xdr:rowOff>
                  </to>
                </anchor>
              </controlPr>
            </control>
          </mc:Choice>
        </mc:AlternateContent>
        <mc:AlternateContent xmlns:mc="http://schemas.openxmlformats.org/markup-compatibility/2006">
          <mc:Choice Requires="x14">
            <control shapeId="1568" r:id="rId1334" name="Button 544">
              <controlPr defaultSize="0" autoFill="0" autoLine="0" autoPict="0" macro="[0]!Sheet1.deleteRow">
                <anchor moveWithCells="1" sizeWithCells="1">
                  <from>
                    <xdr:col>6</xdr:col>
                    <xdr:colOff>0</xdr:colOff>
                    <xdr:row>2286</xdr:row>
                    <xdr:rowOff>0</xdr:rowOff>
                  </from>
                  <to>
                    <xdr:col>7</xdr:col>
                    <xdr:colOff>0</xdr:colOff>
                    <xdr:row>2286</xdr:row>
                    <xdr:rowOff>161925</xdr:rowOff>
                  </to>
                </anchor>
              </controlPr>
            </control>
          </mc:Choice>
        </mc:AlternateContent>
        <mc:AlternateContent xmlns:mc="http://schemas.openxmlformats.org/markup-compatibility/2006">
          <mc:Choice Requires="x14">
            <control shapeId="1567" r:id="rId1335" name="Button 543">
              <controlPr defaultSize="0" autoFill="0" autoLine="0" autoPict="0" macro="[0]!Sheet1.deleteRow">
                <anchor moveWithCells="1" sizeWithCells="1">
                  <from>
                    <xdr:col>6</xdr:col>
                    <xdr:colOff>0</xdr:colOff>
                    <xdr:row>2287</xdr:row>
                    <xdr:rowOff>0</xdr:rowOff>
                  </from>
                  <to>
                    <xdr:col>7</xdr:col>
                    <xdr:colOff>0</xdr:colOff>
                    <xdr:row>2287</xdr:row>
                    <xdr:rowOff>161925</xdr:rowOff>
                  </to>
                </anchor>
              </controlPr>
            </control>
          </mc:Choice>
        </mc:AlternateContent>
        <mc:AlternateContent xmlns:mc="http://schemas.openxmlformats.org/markup-compatibility/2006">
          <mc:Choice Requires="x14">
            <control shapeId="1566" r:id="rId1336" name="Button 542">
              <controlPr defaultSize="0" autoFill="0" autoLine="0" autoPict="0" macro="[0]!Sheet1.deleteRow">
                <anchor moveWithCells="1" sizeWithCells="1">
                  <from>
                    <xdr:col>6</xdr:col>
                    <xdr:colOff>0</xdr:colOff>
                    <xdr:row>2288</xdr:row>
                    <xdr:rowOff>0</xdr:rowOff>
                  </from>
                  <to>
                    <xdr:col>7</xdr:col>
                    <xdr:colOff>0</xdr:colOff>
                    <xdr:row>2288</xdr:row>
                    <xdr:rowOff>161925</xdr:rowOff>
                  </to>
                </anchor>
              </controlPr>
            </control>
          </mc:Choice>
        </mc:AlternateContent>
        <mc:AlternateContent xmlns:mc="http://schemas.openxmlformats.org/markup-compatibility/2006">
          <mc:Choice Requires="x14">
            <control shapeId="1565" r:id="rId1337" name="Button 541">
              <controlPr defaultSize="0" autoFill="0" autoLine="0" autoPict="0" macro="[0]!Sheet1.deleteRow">
                <anchor moveWithCells="1" sizeWithCells="1">
                  <from>
                    <xdr:col>6</xdr:col>
                    <xdr:colOff>0</xdr:colOff>
                    <xdr:row>2289</xdr:row>
                    <xdr:rowOff>0</xdr:rowOff>
                  </from>
                  <to>
                    <xdr:col>7</xdr:col>
                    <xdr:colOff>0</xdr:colOff>
                    <xdr:row>2289</xdr:row>
                    <xdr:rowOff>161925</xdr:rowOff>
                  </to>
                </anchor>
              </controlPr>
            </control>
          </mc:Choice>
        </mc:AlternateContent>
        <mc:AlternateContent xmlns:mc="http://schemas.openxmlformats.org/markup-compatibility/2006">
          <mc:Choice Requires="x14">
            <control shapeId="1564" r:id="rId1338" name="Button 540">
              <controlPr defaultSize="0" autoFill="0" autoLine="0" autoPict="0" macro="[0]!Sheet1.deleteRow">
                <anchor moveWithCells="1" sizeWithCells="1">
                  <from>
                    <xdr:col>6</xdr:col>
                    <xdr:colOff>0</xdr:colOff>
                    <xdr:row>2290</xdr:row>
                    <xdr:rowOff>0</xdr:rowOff>
                  </from>
                  <to>
                    <xdr:col>7</xdr:col>
                    <xdr:colOff>0</xdr:colOff>
                    <xdr:row>2290</xdr:row>
                    <xdr:rowOff>161925</xdr:rowOff>
                  </to>
                </anchor>
              </controlPr>
            </control>
          </mc:Choice>
        </mc:AlternateContent>
        <mc:AlternateContent xmlns:mc="http://schemas.openxmlformats.org/markup-compatibility/2006">
          <mc:Choice Requires="x14">
            <control shapeId="1563" r:id="rId1339" name="Button 539">
              <controlPr defaultSize="0" autoFill="0" autoLine="0" autoPict="0" macro="[0]!Sheet1.deleteRow">
                <anchor moveWithCells="1" sizeWithCells="1">
                  <from>
                    <xdr:col>6</xdr:col>
                    <xdr:colOff>0</xdr:colOff>
                    <xdr:row>2291</xdr:row>
                    <xdr:rowOff>0</xdr:rowOff>
                  </from>
                  <to>
                    <xdr:col>7</xdr:col>
                    <xdr:colOff>0</xdr:colOff>
                    <xdr:row>2291</xdr:row>
                    <xdr:rowOff>161925</xdr:rowOff>
                  </to>
                </anchor>
              </controlPr>
            </control>
          </mc:Choice>
        </mc:AlternateContent>
        <mc:AlternateContent xmlns:mc="http://schemas.openxmlformats.org/markup-compatibility/2006">
          <mc:Choice Requires="x14">
            <control shapeId="1562" r:id="rId1340" name="Button 538">
              <controlPr defaultSize="0" autoFill="0" autoLine="0" autoPict="0" macro="[0]!Sheet1.deleteRow">
                <anchor moveWithCells="1" sizeWithCells="1">
                  <from>
                    <xdr:col>6</xdr:col>
                    <xdr:colOff>0</xdr:colOff>
                    <xdr:row>2292</xdr:row>
                    <xdr:rowOff>0</xdr:rowOff>
                  </from>
                  <to>
                    <xdr:col>7</xdr:col>
                    <xdr:colOff>0</xdr:colOff>
                    <xdr:row>2292</xdr:row>
                    <xdr:rowOff>161925</xdr:rowOff>
                  </to>
                </anchor>
              </controlPr>
            </control>
          </mc:Choice>
        </mc:AlternateContent>
        <mc:AlternateContent xmlns:mc="http://schemas.openxmlformats.org/markup-compatibility/2006">
          <mc:Choice Requires="x14">
            <control shapeId="1561" r:id="rId1341" name="Button 537">
              <controlPr defaultSize="0" autoFill="0" autoLine="0" autoPict="0" macro="[0]!Sheet1.deleteRow">
                <anchor moveWithCells="1" sizeWithCells="1">
                  <from>
                    <xdr:col>6</xdr:col>
                    <xdr:colOff>0</xdr:colOff>
                    <xdr:row>2293</xdr:row>
                    <xdr:rowOff>0</xdr:rowOff>
                  </from>
                  <to>
                    <xdr:col>7</xdr:col>
                    <xdr:colOff>0</xdr:colOff>
                    <xdr:row>2293</xdr:row>
                    <xdr:rowOff>161925</xdr:rowOff>
                  </to>
                </anchor>
              </controlPr>
            </control>
          </mc:Choice>
        </mc:AlternateContent>
        <mc:AlternateContent xmlns:mc="http://schemas.openxmlformats.org/markup-compatibility/2006">
          <mc:Choice Requires="x14">
            <control shapeId="1560" r:id="rId1342" name="Button 536">
              <controlPr defaultSize="0" autoFill="0" autoLine="0" autoPict="0" macro="[0]!Sheet1.deleteProcedure">
                <anchor moveWithCells="1" sizeWithCells="1">
                  <from>
                    <xdr:col>6</xdr:col>
                    <xdr:colOff>0</xdr:colOff>
                    <xdr:row>2296</xdr:row>
                    <xdr:rowOff>0</xdr:rowOff>
                  </from>
                  <to>
                    <xdr:col>7</xdr:col>
                    <xdr:colOff>0</xdr:colOff>
                    <xdr:row>2297</xdr:row>
                    <xdr:rowOff>0</xdr:rowOff>
                  </to>
                </anchor>
              </controlPr>
            </control>
          </mc:Choice>
        </mc:AlternateContent>
        <mc:AlternateContent xmlns:mc="http://schemas.openxmlformats.org/markup-compatibility/2006">
          <mc:Choice Requires="x14">
            <control shapeId="1559" r:id="rId1343" name="Button 535">
              <controlPr defaultSize="0" autoFill="0" autoLine="0" autoPict="0" macro="[0]!Sheet1.InsertNewTableRow">
                <anchor moveWithCells="1" sizeWithCells="1">
                  <from>
                    <xdr:col>6</xdr:col>
                    <xdr:colOff>0</xdr:colOff>
                    <xdr:row>2303</xdr:row>
                    <xdr:rowOff>0</xdr:rowOff>
                  </from>
                  <to>
                    <xdr:col>7</xdr:col>
                    <xdr:colOff>0</xdr:colOff>
                    <xdr:row>2303</xdr:row>
                    <xdr:rowOff>38100</xdr:rowOff>
                  </to>
                </anchor>
              </controlPr>
            </control>
          </mc:Choice>
        </mc:AlternateContent>
        <mc:AlternateContent xmlns:mc="http://schemas.openxmlformats.org/markup-compatibility/2006">
          <mc:Choice Requires="x14">
            <control shapeId="1558" r:id="rId1344" name="Button 534">
              <controlPr defaultSize="0" autoFill="0" autoLine="0" autoPict="0" macro="[0]!Sheet1.deleteRow">
                <anchor moveWithCells="1" sizeWithCells="1">
                  <from>
                    <xdr:col>6</xdr:col>
                    <xdr:colOff>0</xdr:colOff>
                    <xdr:row>2304</xdr:row>
                    <xdr:rowOff>0</xdr:rowOff>
                  </from>
                  <to>
                    <xdr:col>7</xdr:col>
                    <xdr:colOff>0</xdr:colOff>
                    <xdr:row>2304</xdr:row>
                    <xdr:rowOff>161925</xdr:rowOff>
                  </to>
                </anchor>
              </controlPr>
            </control>
          </mc:Choice>
        </mc:AlternateContent>
        <mc:AlternateContent xmlns:mc="http://schemas.openxmlformats.org/markup-compatibility/2006">
          <mc:Choice Requires="x14">
            <control shapeId="1557" r:id="rId1345" name="Button 533">
              <controlPr defaultSize="0" autoFill="0" autoLine="0" autoPict="0" macro="[0]!Sheet1.deleteRow">
                <anchor moveWithCells="1" sizeWithCells="1">
                  <from>
                    <xdr:col>6</xdr:col>
                    <xdr:colOff>0</xdr:colOff>
                    <xdr:row>2305</xdr:row>
                    <xdr:rowOff>0</xdr:rowOff>
                  </from>
                  <to>
                    <xdr:col>7</xdr:col>
                    <xdr:colOff>0</xdr:colOff>
                    <xdr:row>2305</xdr:row>
                    <xdr:rowOff>161925</xdr:rowOff>
                  </to>
                </anchor>
              </controlPr>
            </control>
          </mc:Choice>
        </mc:AlternateContent>
        <mc:AlternateContent xmlns:mc="http://schemas.openxmlformats.org/markup-compatibility/2006">
          <mc:Choice Requires="x14">
            <control shapeId="1556" r:id="rId1346" name="Button 532">
              <controlPr defaultSize="0" autoFill="0" autoLine="0" autoPict="0" macro="[0]!Sheet1.deleteRow">
                <anchor moveWithCells="1" sizeWithCells="1">
                  <from>
                    <xdr:col>6</xdr:col>
                    <xdr:colOff>0</xdr:colOff>
                    <xdr:row>2306</xdr:row>
                    <xdr:rowOff>0</xdr:rowOff>
                  </from>
                  <to>
                    <xdr:col>7</xdr:col>
                    <xdr:colOff>0</xdr:colOff>
                    <xdr:row>2306</xdr:row>
                    <xdr:rowOff>161925</xdr:rowOff>
                  </to>
                </anchor>
              </controlPr>
            </control>
          </mc:Choice>
        </mc:AlternateContent>
        <mc:AlternateContent xmlns:mc="http://schemas.openxmlformats.org/markup-compatibility/2006">
          <mc:Choice Requires="x14">
            <control shapeId="1555" r:id="rId1347" name="Button 531">
              <controlPr defaultSize="0" autoFill="0" autoLine="0" autoPict="0" macro="[0]!Sheet1.deleteRow">
                <anchor moveWithCells="1" sizeWithCells="1">
                  <from>
                    <xdr:col>6</xdr:col>
                    <xdr:colOff>0</xdr:colOff>
                    <xdr:row>2307</xdr:row>
                    <xdr:rowOff>0</xdr:rowOff>
                  </from>
                  <to>
                    <xdr:col>7</xdr:col>
                    <xdr:colOff>0</xdr:colOff>
                    <xdr:row>2307</xdr:row>
                    <xdr:rowOff>161925</xdr:rowOff>
                  </to>
                </anchor>
              </controlPr>
            </control>
          </mc:Choice>
        </mc:AlternateContent>
        <mc:AlternateContent xmlns:mc="http://schemas.openxmlformats.org/markup-compatibility/2006">
          <mc:Choice Requires="x14">
            <control shapeId="1554" r:id="rId1348" name="Button 530">
              <controlPr defaultSize="0" autoFill="0" autoLine="0" autoPict="0" macro="[0]!Sheet1.deleteRow">
                <anchor moveWithCells="1" sizeWithCells="1">
                  <from>
                    <xdr:col>6</xdr:col>
                    <xdr:colOff>0</xdr:colOff>
                    <xdr:row>2308</xdr:row>
                    <xdr:rowOff>0</xdr:rowOff>
                  </from>
                  <to>
                    <xdr:col>7</xdr:col>
                    <xdr:colOff>0</xdr:colOff>
                    <xdr:row>2308</xdr:row>
                    <xdr:rowOff>161925</xdr:rowOff>
                  </to>
                </anchor>
              </controlPr>
            </control>
          </mc:Choice>
        </mc:AlternateContent>
        <mc:AlternateContent xmlns:mc="http://schemas.openxmlformats.org/markup-compatibility/2006">
          <mc:Choice Requires="x14">
            <control shapeId="1553" r:id="rId1349" name="Button 529">
              <controlPr defaultSize="0" autoFill="0" autoLine="0" autoPict="0" macro="[0]!Sheet1.deleteRow">
                <anchor moveWithCells="1" sizeWithCells="1">
                  <from>
                    <xdr:col>6</xdr:col>
                    <xdr:colOff>0</xdr:colOff>
                    <xdr:row>2309</xdr:row>
                    <xdr:rowOff>0</xdr:rowOff>
                  </from>
                  <to>
                    <xdr:col>7</xdr:col>
                    <xdr:colOff>0</xdr:colOff>
                    <xdr:row>2309</xdr:row>
                    <xdr:rowOff>161925</xdr:rowOff>
                  </to>
                </anchor>
              </controlPr>
            </control>
          </mc:Choice>
        </mc:AlternateContent>
        <mc:AlternateContent xmlns:mc="http://schemas.openxmlformats.org/markup-compatibility/2006">
          <mc:Choice Requires="x14">
            <control shapeId="1552" r:id="rId1350" name="Button 528">
              <controlPr defaultSize="0" autoFill="0" autoLine="0" autoPict="0" macro="[0]!Sheet1.deleteRow">
                <anchor moveWithCells="1" sizeWithCells="1">
                  <from>
                    <xdr:col>6</xdr:col>
                    <xdr:colOff>0</xdr:colOff>
                    <xdr:row>2310</xdr:row>
                    <xdr:rowOff>0</xdr:rowOff>
                  </from>
                  <to>
                    <xdr:col>7</xdr:col>
                    <xdr:colOff>0</xdr:colOff>
                    <xdr:row>2310</xdr:row>
                    <xdr:rowOff>161925</xdr:rowOff>
                  </to>
                </anchor>
              </controlPr>
            </control>
          </mc:Choice>
        </mc:AlternateContent>
        <mc:AlternateContent xmlns:mc="http://schemas.openxmlformats.org/markup-compatibility/2006">
          <mc:Choice Requires="x14">
            <control shapeId="1551" r:id="rId1351" name="Button 527">
              <controlPr defaultSize="0" autoFill="0" autoLine="0" autoPict="0" macro="[0]!Sheet1.deleteRow">
                <anchor moveWithCells="1" sizeWithCells="1">
                  <from>
                    <xdr:col>6</xdr:col>
                    <xdr:colOff>0</xdr:colOff>
                    <xdr:row>2311</xdr:row>
                    <xdr:rowOff>0</xdr:rowOff>
                  </from>
                  <to>
                    <xdr:col>7</xdr:col>
                    <xdr:colOff>0</xdr:colOff>
                    <xdr:row>2311</xdr:row>
                    <xdr:rowOff>161925</xdr:rowOff>
                  </to>
                </anchor>
              </controlPr>
            </control>
          </mc:Choice>
        </mc:AlternateContent>
        <mc:AlternateContent xmlns:mc="http://schemas.openxmlformats.org/markup-compatibility/2006">
          <mc:Choice Requires="x14">
            <control shapeId="1550" r:id="rId1352" name="Button 526">
              <controlPr defaultSize="0" autoFill="0" autoLine="0" autoPict="0" macro="[0]!Sheet1.deleteRow">
                <anchor moveWithCells="1" sizeWithCells="1">
                  <from>
                    <xdr:col>6</xdr:col>
                    <xdr:colOff>0</xdr:colOff>
                    <xdr:row>2312</xdr:row>
                    <xdr:rowOff>0</xdr:rowOff>
                  </from>
                  <to>
                    <xdr:col>7</xdr:col>
                    <xdr:colOff>0</xdr:colOff>
                    <xdr:row>2312</xdr:row>
                    <xdr:rowOff>161925</xdr:rowOff>
                  </to>
                </anchor>
              </controlPr>
            </control>
          </mc:Choice>
        </mc:AlternateContent>
        <mc:AlternateContent xmlns:mc="http://schemas.openxmlformats.org/markup-compatibility/2006">
          <mc:Choice Requires="x14">
            <control shapeId="1549" r:id="rId1353" name="Button 525">
              <controlPr defaultSize="0" autoFill="0" autoLine="0" autoPict="0" macro="[0]!Sheet1.deleteRow">
                <anchor moveWithCells="1" sizeWithCells="1">
                  <from>
                    <xdr:col>6</xdr:col>
                    <xdr:colOff>0</xdr:colOff>
                    <xdr:row>2313</xdr:row>
                    <xdr:rowOff>0</xdr:rowOff>
                  </from>
                  <to>
                    <xdr:col>7</xdr:col>
                    <xdr:colOff>0</xdr:colOff>
                    <xdr:row>2313</xdr:row>
                    <xdr:rowOff>161925</xdr:rowOff>
                  </to>
                </anchor>
              </controlPr>
            </control>
          </mc:Choice>
        </mc:AlternateContent>
        <mc:AlternateContent xmlns:mc="http://schemas.openxmlformats.org/markup-compatibility/2006">
          <mc:Choice Requires="x14">
            <control shapeId="1548" r:id="rId1354" name="Button 524">
              <controlPr defaultSize="0" autoFill="0" autoLine="0" autoPict="0" macro="[0]!Sheet1.deleteRow">
                <anchor moveWithCells="1" sizeWithCells="1">
                  <from>
                    <xdr:col>6</xdr:col>
                    <xdr:colOff>0</xdr:colOff>
                    <xdr:row>2314</xdr:row>
                    <xdr:rowOff>0</xdr:rowOff>
                  </from>
                  <to>
                    <xdr:col>7</xdr:col>
                    <xdr:colOff>0</xdr:colOff>
                    <xdr:row>2314</xdr:row>
                    <xdr:rowOff>161925</xdr:rowOff>
                  </to>
                </anchor>
              </controlPr>
            </control>
          </mc:Choice>
        </mc:AlternateContent>
        <mc:AlternateContent xmlns:mc="http://schemas.openxmlformats.org/markup-compatibility/2006">
          <mc:Choice Requires="x14">
            <control shapeId="1547" r:id="rId1355" name="Button 523">
              <controlPr defaultSize="0" autoFill="0" autoLine="0" autoPict="0" macro="[0]!Sheet1.deleteProcedure">
                <anchor moveWithCells="1" sizeWithCells="1">
                  <from>
                    <xdr:col>6</xdr:col>
                    <xdr:colOff>0</xdr:colOff>
                    <xdr:row>2317</xdr:row>
                    <xdr:rowOff>0</xdr:rowOff>
                  </from>
                  <to>
                    <xdr:col>7</xdr:col>
                    <xdr:colOff>0</xdr:colOff>
                    <xdr:row>2318</xdr:row>
                    <xdr:rowOff>0</xdr:rowOff>
                  </to>
                </anchor>
              </controlPr>
            </control>
          </mc:Choice>
        </mc:AlternateContent>
        <mc:AlternateContent xmlns:mc="http://schemas.openxmlformats.org/markup-compatibility/2006">
          <mc:Choice Requires="x14">
            <control shapeId="1546" r:id="rId1356" name="Button 522">
              <controlPr defaultSize="0" autoFill="0" autoLine="0" autoPict="0" macro="[0]!Sheet1.InsertNewTableRow">
                <anchor moveWithCells="1" sizeWithCells="1">
                  <from>
                    <xdr:col>6</xdr:col>
                    <xdr:colOff>0</xdr:colOff>
                    <xdr:row>2324</xdr:row>
                    <xdr:rowOff>0</xdr:rowOff>
                  </from>
                  <to>
                    <xdr:col>7</xdr:col>
                    <xdr:colOff>0</xdr:colOff>
                    <xdr:row>2324</xdr:row>
                    <xdr:rowOff>38100</xdr:rowOff>
                  </to>
                </anchor>
              </controlPr>
            </control>
          </mc:Choice>
        </mc:AlternateContent>
        <mc:AlternateContent xmlns:mc="http://schemas.openxmlformats.org/markup-compatibility/2006">
          <mc:Choice Requires="x14">
            <control shapeId="1545" r:id="rId1357" name="Button 521">
              <controlPr defaultSize="0" autoFill="0" autoLine="0" autoPict="0" macro="[0]!Sheet1.deleteRow">
                <anchor moveWithCells="1" sizeWithCells="1">
                  <from>
                    <xdr:col>6</xdr:col>
                    <xdr:colOff>0</xdr:colOff>
                    <xdr:row>2325</xdr:row>
                    <xdr:rowOff>0</xdr:rowOff>
                  </from>
                  <to>
                    <xdr:col>7</xdr:col>
                    <xdr:colOff>0</xdr:colOff>
                    <xdr:row>2325</xdr:row>
                    <xdr:rowOff>161925</xdr:rowOff>
                  </to>
                </anchor>
              </controlPr>
            </control>
          </mc:Choice>
        </mc:AlternateContent>
        <mc:AlternateContent xmlns:mc="http://schemas.openxmlformats.org/markup-compatibility/2006">
          <mc:Choice Requires="x14">
            <control shapeId="1544" r:id="rId1358" name="Button 520">
              <controlPr defaultSize="0" autoFill="0" autoLine="0" autoPict="0" macro="[0]!Sheet1.deleteRow">
                <anchor moveWithCells="1" sizeWithCells="1">
                  <from>
                    <xdr:col>6</xdr:col>
                    <xdr:colOff>0</xdr:colOff>
                    <xdr:row>2326</xdr:row>
                    <xdr:rowOff>0</xdr:rowOff>
                  </from>
                  <to>
                    <xdr:col>7</xdr:col>
                    <xdr:colOff>0</xdr:colOff>
                    <xdr:row>2326</xdr:row>
                    <xdr:rowOff>161925</xdr:rowOff>
                  </to>
                </anchor>
              </controlPr>
            </control>
          </mc:Choice>
        </mc:AlternateContent>
        <mc:AlternateContent xmlns:mc="http://schemas.openxmlformats.org/markup-compatibility/2006">
          <mc:Choice Requires="x14">
            <control shapeId="1543" r:id="rId1359" name="Button 519">
              <controlPr defaultSize="0" autoFill="0" autoLine="0" autoPict="0" macro="[0]!Sheet1.deleteProcedure">
                <anchor moveWithCells="1" sizeWithCells="1">
                  <from>
                    <xdr:col>6</xdr:col>
                    <xdr:colOff>0</xdr:colOff>
                    <xdr:row>2329</xdr:row>
                    <xdr:rowOff>0</xdr:rowOff>
                  </from>
                  <to>
                    <xdr:col>7</xdr:col>
                    <xdr:colOff>0</xdr:colOff>
                    <xdr:row>2330</xdr:row>
                    <xdr:rowOff>0</xdr:rowOff>
                  </to>
                </anchor>
              </controlPr>
            </control>
          </mc:Choice>
        </mc:AlternateContent>
        <mc:AlternateContent xmlns:mc="http://schemas.openxmlformats.org/markup-compatibility/2006">
          <mc:Choice Requires="x14">
            <control shapeId="1542" r:id="rId1360" name="Button 518">
              <controlPr defaultSize="0" autoFill="0" autoLine="0" autoPict="0" macro="[0]!Sheet1.InsertNewTableRow">
                <anchor moveWithCells="1" sizeWithCells="1">
                  <from>
                    <xdr:col>6</xdr:col>
                    <xdr:colOff>0</xdr:colOff>
                    <xdr:row>2336</xdr:row>
                    <xdr:rowOff>0</xdr:rowOff>
                  </from>
                  <to>
                    <xdr:col>7</xdr:col>
                    <xdr:colOff>0</xdr:colOff>
                    <xdr:row>2336</xdr:row>
                    <xdr:rowOff>38100</xdr:rowOff>
                  </to>
                </anchor>
              </controlPr>
            </control>
          </mc:Choice>
        </mc:AlternateContent>
        <mc:AlternateContent xmlns:mc="http://schemas.openxmlformats.org/markup-compatibility/2006">
          <mc:Choice Requires="x14">
            <control shapeId="1541" r:id="rId1361" name="Button 517">
              <controlPr defaultSize="0" autoFill="0" autoLine="0" autoPict="0" macro="[0]!Sheet1.deleteRow">
                <anchor moveWithCells="1" sizeWithCells="1">
                  <from>
                    <xdr:col>6</xdr:col>
                    <xdr:colOff>0</xdr:colOff>
                    <xdr:row>2337</xdr:row>
                    <xdr:rowOff>0</xdr:rowOff>
                  </from>
                  <to>
                    <xdr:col>7</xdr:col>
                    <xdr:colOff>0</xdr:colOff>
                    <xdr:row>2337</xdr:row>
                    <xdr:rowOff>161925</xdr:rowOff>
                  </to>
                </anchor>
              </controlPr>
            </control>
          </mc:Choice>
        </mc:AlternateContent>
        <mc:AlternateContent xmlns:mc="http://schemas.openxmlformats.org/markup-compatibility/2006">
          <mc:Choice Requires="x14">
            <control shapeId="1540" r:id="rId1362" name="Button 516">
              <controlPr defaultSize="0" autoFill="0" autoLine="0" autoPict="0" macro="[0]!Sheet1.deleteProcedure">
                <anchor moveWithCells="1" sizeWithCells="1">
                  <from>
                    <xdr:col>6</xdr:col>
                    <xdr:colOff>0</xdr:colOff>
                    <xdr:row>2340</xdr:row>
                    <xdr:rowOff>0</xdr:rowOff>
                  </from>
                  <to>
                    <xdr:col>7</xdr:col>
                    <xdr:colOff>0</xdr:colOff>
                    <xdr:row>2341</xdr:row>
                    <xdr:rowOff>0</xdr:rowOff>
                  </to>
                </anchor>
              </controlPr>
            </control>
          </mc:Choice>
        </mc:AlternateContent>
        <mc:AlternateContent xmlns:mc="http://schemas.openxmlformats.org/markup-compatibility/2006">
          <mc:Choice Requires="x14">
            <control shapeId="1539" r:id="rId1363" name="Button 515">
              <controlPr defaultSize="0" autoFill="0" autoLine="0" autoPict="0" macro="[0]!Sheet1.InsertNewTableRow">
                <anchor moveWithCells="1" sizeWithCells="1">
                  <from>
                    <xdr:col>6</xdr:col>
                    <xdr:colOff>0</xdr:colOff>
                    <xdr:row>2347</xdr:row>
                    <xdr:rowOff>0</xdr:rowOff>
                  </from>
                  <to>
                    <xdr:col>7</xdr:col>
                    <xdr:colOff>0</xdr:colOff>
                    <xdr:row>2347</xdr:row>
                    <xdr:rowOff>38100</xdr:rowOff>
                  </to>
                </anchor>
              </controlPr>
            </control>
          </mc:Choice>
        </mc:AlternateContent>
        <mc:AlternateContent xmlns:mc="http://schemas.openxmlformats.org/markup-compatibility/2006">
          <mc:Choice Requires="x14">
            <control shapeId="1538" r:id="rId1364" name="Button 514">
              <controlPr defaultSize="0" autoFill="0" autoLine="0" autoPict="0" macro="[0]!Sheet1.deleteRow">
                <anchor moveWithCells="1" sizeWithCells="1">
                  <from>
                    <xdr:col>6</xdr:col>
                    <xdr:colOff>0</xdr:colOff>
                    <xdr:row>2348</xdr:row>
                    <xdr:rowOff>0</xdr:rowOff>
                  </from>
                  <to>
                    <xdr:col>7</xdr:col>
                    <xdr:colOff>0</xdr:colOff>
                    <xdr:row>2348</xdr:row>
                    <xdr:rowOff>161925</xdr:rowOff>
                  </to>
                </anchor>
              </controlPr>
            </control>
          </mc:Choice>
        </mc:AlternateContent>
        <mc:AlternateContent xmlns:mc="http://schemas.openxmlformats.org/markup-compatibility/2006">
          <mc:Choice Requires="x14">
            <control shapeId="1537" r:id="rId1365" name="Button 513">
              <controlPr defaultSize="0" autoFill="0" autoLine="0" autoPict="0" macro="[0]!Sheet1.deleteProcedure">
                <anchor moveWithCells="1" sizeWithCells="1">
                  <from>
                    <xdr:col>6</xdr:col>
                    <xdr:colOff>0</xdr:colOff>
                    <xdr:row>2351</xdr:row>
                    <xdr:rowOff>0</xdr:rowOff>
                  </from>
                  <to>
                    <xdr:col>7</xdr:col>
                    <xdr:colOff>0</xdr:colOff>
                    <xdr:row>2352</xdr:row>
                    <xdr:rowOff>0</xdr:rowOff>
                  </to>
                </anchor>
              </controlPr>
            </control>
          </mc:Choice>
        </mc:AlternateContent>
        <mc:AlternateContent xmlns:mc="http://schemas.openxmlformats.org/markup-compatibility/2006">
          <mc:Choice Requires="x14">
            <control shapeId="1536" r:id="rId1366" name="Button 512">
              <controlPr defaultSize="0" autoFill="0" autoLine="0" autoPict="0" macro="[0]!Sheet1.InsertNewTableRow">
                <anchor moveWithCells="1" sizeWithCells="1">
                  <from>
                    <xdr:col>6</xdr:col>
                    <xdr:colOff>0</xdr:colOff>
                    <xdr:row>2358</xdr:row>
                    <xdr:rowOff>0</xdr:rowOff>
                  </from>
                  <to>
                    <xdr:col>7</xdr:col>
                    <xdr:colOff>0</xdr:colOff>
                    <xdr:row>2358</xdr:row>
                    <xdr:rowOff>38100</xdr:rowOff>
                  </to>
                </anchor>
              </controlPr>
            </control>
          </mc:Choice>
        </mc:AlternateContent>
        <mc:AlternateContent xmlns:mc="http://schemas.openxmlformats.org/markup-compatibility/2006">
          <mc:Choice Requires="x14">
            <control shapeId="1535" r:id="rId1367" name="Button 511">
              <controlPr defaultSize="0" autoFill="0" autoLine="0" autoPict="0" macro="[0]!Sheet1.deleteRow">
                <anchor moveWithCells="1" sizeWithCells="1">
                  <from>
                    <xdr:col>6</xdr:col>
                    <xdr:colOff>0</xdr:colOff>
                    <xdr:row>2359</xdr:row>
                    <xdr:rowOff>0</xdr:rowOff>
                  </from>
                  <to>
                    <xdr:col>7</xdr:col>
                    <xdr:colOff>0</xdr:colOff>
                    <xdr:row>2359</xdr:row>
                    <xdr:rowOff>161925</xdr:rowOff>
                  </to>
                </anchor>
              </controlPr>
            </control>
          </mc:Choice>
        </mc:AlternateContent>
        <mc:AlternateContent xmlns:mc="http://schemas.openxmlformats.org/markup-compatibility/2006">
          <mc:Choice Requires="x14">
            <control shapeId="1534" r:id="rId1368" name="Button 510">
              <controlPr defaultSize="0" autoFill="0" autoLine="0" autoPict="0" macro="[0]!Sheet1.deleteRow">
                <anchor moveWithCells="1" sizeWithCells="1">
                  <from>
                    <xdr:col>6</xdr:col>
                    <xdr:colOff>0</xdr:colOff>
                    <xdr:row>2360</xdr:row>
                    <xdr:rowOff>0</xdr:rowOff>
                  </from>
                  <to>
                    <xdr:col>7</xdr:col>
                    <xdr:colOff>0</xdr:colOff>
                    <xdr:row>2360</xdr:row>
                    <xdr:rowOff>161925</xdr:rowOff>
                  </to>
                </anchor>
              </controlPr>
            </control>
          </mc:Choice>
        </mc:AlternateContent>
        <mc:AlternateContent xmlns:mc="http://schemas.openxmlformats.org/markup-compatibility/2006">
          <mc:Choice Requires="x14">
            <control shapeId="1533" r:id="rId1369" name="Button 509">
              <controlPr defaultSize="0" autoFill="0" autoLine="0" autoPict="0" macro="[0]!Sheet1.deleteRow">
                <anchor moveWithCells="1" sizeWithCells="1">
                  <from>
                    <xdr:col>6</xdr:col>
                    <xdr:colOff>0</xdr:colOff>
                    <xdr:row>2361</xdr:row>
                    <xdr:rowOff>0</xdr:rowOff>
                  </from>
                  <to>
                    <xdr:col>7</xdr:col>
                    <xdr:colOff>0</xdr:colOff>
                    <xdr:row>2361</xdr:row>
                    <xdr:rowOff>161925</xdr:rowOff>
                  </to>
                </anchor>
              </controlPr>
            </control>
          </mc:Choice>
        </mc:AlternateContent>
        <mc:AlternateContent xmlns:mc="http://schemas.openxmlformats.org/markup-compatibility/2006">
          <mc:Choice Requires="x14">
            <control shapeId="1532" r:id="rId1370" name="Button 508">
              <controlPr defaultSize="0" autoFill="0" autoLine="0" autoPict="0" macro="[0]!Sheet1.deleteRow">
                <anchor moveWithCells="1" sizeWithCells="1">
                  <from>
                    <xdr:col>6</xdr:col>
                    <xdr:colOff>0</xdr:colOff>
                    <xdr:row>2362</xdr:row>
                    <xdr:rowOff>0</xdr:rowOff>
                  </from>
                  <to>
                    <xdr:col>7</xdr:col>
                    <xdr:colOff>0</xdr:colOff>
                    <xdr:row>2362</xdr:row>
                    <xdr:rowOff>161925</xdr:rowOff>
                  </to>
                </anchor>
              </controlPr>
            </control>
          </mc:Choice>
        </mc:AlternateContent>
        <mc:AlternateContent xmlns:mc="http://schemas.openxmlformats.org/markup-compatibility/2006">
          <mc:Choice Requires="x14">
            <control shapeId="1531" r:id="rId1371" name="Button 507">
              <controlPr defaultSize="0" autoFill="0" autoLine="0" autoPict="0" macro="[0]!Sheet1.deleteRow">
                <anchor moveWithCells="1" sizeWithCells="1">
                  <from>
                    <xdr:col>6</xdr:col>
                    <xdr:colOff>0</xdr:colOff>
                    <xdr:row>2363</xdr:row>
                    <xdr:rowOff>0</xdr:rowOff>
                  </from>
                  <to>
                    <xdr:col>7</xdr:col>
                    <xdr:colOff>0</xdr:colOff>
                    <xdr:row>2363</xdr:row>
                    <xdr:rowOff>161925</xdr:rowOff>
                  </to>
                </anchor>
              </controlPr>
            </control>
          </mc:Choice>
        </mc:AlternateContent>
        <mc:AlternateContent xmlns:mc="http://schemas.openxmlformats.org/markup-compatibility/2006">
          <mc:Choice Requires="x14">
            <control shapeId="1530" r:id="rId1372" name="Button 506">
              <controlPr defaultSize="0" autoFill="0" autoLine="0" autoPict="0" macro="[0]!Sheet1.deleteRow">
                <anchor moveWithCells="1" sizeWithCells="1">
                  <from>
                    <xdr:col>6</xdr:col>
                    <xdr:colOff>0</xdr:colOff>
                    <xdr:row>2364</xdr:row>
                    <xdr:rowOff>0</xdr:rowOff>
                  </from>
                  <to>
                    <xdr:col>7</xdr:col>
                    <xdr:colOff>0</xdr:colOff>
                    <xdr:row>2364</xdr:row>
                    <xdr:rowOff>161925</xdr:rowOff>
                  </to>
                </anchor>
              </controlPr>
            </control>
          </mc:Choice>
        </mc:AlternateContent>
        <mc:AlternateContent xmlns:mc="http://schemas.openxmlformats.org/markup-compatibility/2006">
          <mc:Choice Requires="x14">
            <control shapeId="1529" r:id="rId1373" name="Button 505">
              <controlPr defaultSize="0" autoFill="0" autoLine="0" autoPict="0" macro="[0]!Sheet1.deleteRow">
                <anchor moveWithCells="1" sizeWithCells="1">
                  <from>
                    <xdr:col>6</xdr:col>
                    <xdr:colOff>0</xdr:colOff>
                    <xdr:row>2365</xdr:row>
                    <xdr:rowOff>0</xdr:rowOff>
                  </from>
                  <to>
                    <xdr:col>7</xdr:col>
                    <xdr:colOff>0</xdr:colOff>
                    <xdr:row>2365</xdr:row>
                    <xdr:rowOff>161925</xdr:rowOff>
                  </to>
                </anchor>
              </controlPr>
            </control>
          </mc:Choice>
        </mc:AlternateContent>
        <mc:AlternateContent xmlns:mc="http://schemas.openxmlformats.org/markup-compatibility/2006">
          <mc:Choice Requires="x14">
            <control shapeId="1528" r:id="rId1374" name="Button 504">
              <controlPr defaultSize="0" autoFill="0" autoLine="0" autoPict="0" macro="[0]!Sheet1.deleteRow">
                <anchor moveWithCells="1" sizeWithCells="1">
                  <from>
                    <xdr:col>6</xdr:col>
                    <xdr:colOff>0</xdr:colOff>
                    <xdr:row>2366</xdr:row>
                    <xdr:rowOff>0</xdr:rowOff>
                  </from>
                  <to>
                    <xdr:col>7</xdr:col>
                    <xdr:colOff>0</xdr:colOff>
                    <xdr:row>2366</xdr:row>
                    <xdr:rowOff>161925</xdr:rowOff>
                  </to>
                </anchor>
              </controlPr>
            </control>
          </mc:Choice>
        </mc:AlternateContent>
        <mc:AlternateContent xmlns:mc="http://schemas.openxmlformats.org/markup-compatibility/2006">
          <mc:Choice Requires="x14">
            <control shapeId="1527" r:id="rId1375" name="Button 503">
              <controlPr defaultSize="0" autoFill="0" autoLine="0" autoPict="0" macro="[0]!Sheet1.deleteRow">
                <anchor moveWithCells="1" sizeWithCells="1">
                  <from>
                    <xdr:col>6</xdr:col>
                    <xdr:colOff>0</xdr:colOff>
                    <xdr:row>2367</xdr:row>
                    <xdr:rowOff>0</xdr:rowOff>
                  </from>
                  <to>
                    <xdr:col>7</xdr:col>
                    <xdr:colOff>0</xdr:colOff>
                    <xdr:row>2367</xdr:row>
                    <xdr:rowOff>161925</xdr:rowOff>
                  </to>
                </anchor>
              </controlPr>
            </control>
          </mc:Choice>
        </mc:AlternateContent>
        <mc:AlternateContent xmlns:mc="http://schemas.openxmlformats.org/markup-compatibility/2006">
          <mc:Choice Requires="x14">
            <control shapeId="1526" r:id="rId1376" name="Button 502">
              <controlPr defaultSize="0" autoFill="0" autoLine="0" autoPict="0" macro="[0]!Sheet1.deleteProcedure">
                <anchor moveWithCells="1" sizeWithCells="1">
                  <from>
                    <xdr:col>6</xdr:col>
                    <xdr:colOff>0</xdr:colOff>
                    <xdr:row>2370</xdr:row>
                    <xdr:rowOff>0</xdr:rowOff>
                  </from>
                  <to>
                    <xdr:col>7</xdr:col>
                    <xdr:colOff>0</xdr:colOff>
                    <xdr:row>2371</xdr:row>
                    <xdr:rowOff>0</xdr:rowOff>
                  </to>
                </anchor>
              </controlPr>
            </control>
          </mc:Choice>
        </mc:AlternateContent>
        <mc:AlternateContent xmlns:mc="http://schemas.openxmlformats.org/markup-compatibility/2006">
          <mc:Choice Requires="x14">
            <control shapeId="1525" r:id="rId1377" name="Button 501">
              <controlPr defaultSize="0" autoFill="0" autoLine="0" autoPict="0" macro="[0]!Sheet1.InsertNewTableRow">
                <anchor moveWithCells="1" sizeWithCells="1">
                  <from>
                    <xdr:col>6</xdr:col>
                    <xdr:colOff>0</xdr:colOff>
                    <xdr:row>2377</xdr:row>
                    <xdr:rowOff>0</xdr:rowOff>
                  </from>
                  <to>
                    <xdr:col>7</xdr:col>
                    <xdr:colOff>0</xdr:colOff>
                    <xdr:row>2377</xdr:row>
                    <xdr:rowOff>38100</xdr:rowOff>
                  </to>
                </anchor>
              </controlPr>
            </control>
          </mc:Choice>
        </mc:AlternateContent>
        <mc:AlternateContent xmlns:mc="http://schemas.openxmlformats.org/markup-compatibility/2006">
          <mc:Choice Requires="x14">
            <control shapeId="1524" r:id="rId1378" name="Button 500">
              <controlPr defaultSize="0" autoFill="0" autoLine="0" autoPict="0" macro="[0]!Sheet1.deleteRow">
                <anchor moveWithCells="1" sizeWithCells="1">
                  <from>
                    <xdr:col>6</xdr:col>
                    <xdr:colOff>0</xdr:colOff>
                    <xdr:row>2378</xdr:row>
                    <xdr:rowOff>0</xdr:rowOff>
                  </from>
                  <to>
                    <xdr:col>7</xdr:col>
                    <xdr:colOff>0</xdr:colOff>
                    <xdr:row>2378</xdr:row>
                    <xdr:rowOff>161925</xdr:rowOff>
                  </to>
                </anchor>
              </controlPr>
            </control>
          </mc:Choice>
        </mc:AlternateContent>
        <mc:AlternateContent xmlns:mc="http://schemas.openxmlformats.org/markup-compatibility/2006">
          <mc:Choice Requires="x14">
            <control shapeId="1523" r:id="rId1379" name="Button 499">
              <controlPr defaultSize="0" autoFill="0" autoLine="0" autoPict="0" macro="[0]!Sheet1.deleteProcedure">
                <anchor moveWithCells="1" sizeWithCells="1">
                  <from>
                    <xdr:col>6</xdr:col>
                    <xdr:colOff>0</xdr:colOff>
                    <xdr:row>2381</xdr:row>
                    <xdr:rowOff>0</xdr:rowOff>
                  </from>
                  <to>
                    <xdr:col>7</xdr:col>
                    <xdr:colOff>0</xdr:colOff>
                    <xdr:row>2382</xdr:row>
                    <xdr:rowOff>0</xdr:rowOff>
                  </to>
                </anchor>
              </controlPr>
            </control>
          </mc:Choice>
        </mc:AlternateContent>
        <mc:AlternateContent xmlns:mc="http://schemas.openxmlformats.org/markup-compatibility/2006">
          <mc:Choice Requires="x14">
            <control shapeId="1522" r:id="rId1380" name="Button 498">
              <controlPr defaultSize="0" autoFill="0" autoLine="0" autoPict="0" macro="[0]!Sheet1.InsertNewTableRow">
                <anchor moveWithCells="1" sizeWithCells="1">
                  <from>
                    <xdr:col>6</xdr:col>
                    <xdr:colOff>0</xdr:colOff>
                    <xdr:row>2388</xdr:row>
                    <xdr:rowOff>0</xdr:rowOff>
                  </from>
                  <to>
                    <xdr:col>7</xdr:col>
                    <xdr:colOff>0</xdr:colOff>
                    <xdr:row>2388</xdr:row>
                    <xdr:rowOff>38100</xdr:rowOff>
                  </to>
                </anchor>
              </controlPr>
            </control>
          </mc:Choice>
        </mc:AlternateContent>
        <mc:AlternateContent xmlns:mc="http://schemas.openxmlformats.org/markup-compatibility/2006">
          <mc:Choice Requires="x14">
            <control shapeId="1521" r:id="rId1381" name="Button 497">
              <controlPr defaultSize="0" autoFill="0" autoLine="0" autoPict="0" macro="[0]!Sheet1.deleteRow">
                <anchor moveWithCells="1" sizeWithCells="1">
                  <from>
                    <xdr:col>6</xdr:col>
                    <xdr:colOff>0</xdr:colOff>
                    <xdr:row>2389</xdr:row>
                    <xdr:rowOff>0</xdr:rowOff>
                  </from>
                  <to>
                    <xdr:col>7</xdr:col>
                    <xdr:colOff>0</xdr:colOff>
                    <xdr:row>2389</xdr:row>
                    <xdr:rowOff>161925</xdr:rowOff>
                  </to>
                </anchor>
              </controlPr>
            </control>
          </mc:Choice>
        </mc:AlternateContent>
        <mc:AlternateContent xmlns:mc="http://schemas.openxmlformats.org/markup-compatibility/2006">
          <mc:Choice Requires="x14">
            <control shapeId="1520" r:id="rId1382" name="Button 496">
              <controlPr defaultSize="0" autoFill="0" autoLine="0" autoPict="0" macro="[0]!Sheet1.deleteProcedure">
                <anchor moveWithCells="1" sizeWithCells="1">
                  <from>
                    <xdr:col>6</xdr:col>
                    <xdr:colOff>0</xdr:colOff>
                    <xdr:row>2392</xdr:row>
                    <xdr:rowOff>0</xdr:rowOff>
                  </from>
                  <to>
                    <xdr:col>7</xdr:col>
                    <xdr:colOff>0</xdr:colOff>
                    <xdr:row>2393</xdr:row>
                    <xdr:rowOff>0</xdr:rowOff>
                  </to>
                </anchor>
              </controlPr>
            </control>
          </mc:Choice>
        </mc:AlternateContent>
        <mc:AlternateContent xmlns:mc="http://schemas.openxmlformats.org/markup-compatibility/2006">
          <mc:Choice Requires="x14">
            <control shapeId="1519" r:id="rId1383" name="Button 495">
              <controlPr defaultSize="0" autoFill="0" autoLine="0" autoPict="0" macro="[0]!Sheet1.InsertNewTableRow">
                <anchor moveWithCells="1" sizeWithCells="1">
                  <from>
                    <xdr:col>6</xdr:col>
                    <xdr:colOff>0</xdr:colOff>
                    <xdr:row>2399</xdr:row>
                    <xdr:rowOff>0</xdr:rowOff>
                  </from>
                  <to>
                    <xdr:col>7</xdr:col>
                    <xdr:colOff>0</xdr:colOff>
                    <xdr:row>2399</xdr:row>
                    <xdr:rowOff>38100</xdr:rowOff>
                  </to>
                </anchor>
              </controlPr>
            </control>
          </mc:Choice>
        </mc:AlternateContent>
        <mc:AlternateContent xmlns:mc="http://schemas.openxmlformats.org/markup-compatibility/2006">
          <mc:Choice Requires="x14">
            <control shapeId="1518" r:id="rId1384" name="Button 494">
              <controlPr defaultSize="0" autoFill="0" autoLine="0" autoPict="0" macro="[0]!Sheet1.deleteRow">
                <anchor moveWithCells="1" sizeWithCells="1">
                  <from>
                    <xdr:col>6</xdr:col>
                    <xdr:colOff>0</xdr:colOff>
                    <xdr:row>2400</xdr:row>
                    <xdr:rowOff>0</xdr:rowOff>
                  </from>
                  <to>
                    <xdr:col>7</xdr:col>
                    <xdr:colOff>0</xdr:colOff>
                    <xdr:row>2400</xdr:row>
                    <xdr:rowOff>161925</xdr:rowOff>
                  </to>
                </anchor>
              </controlPr>
            </control>
          </mc:Choice>
        </mc:AlternateContent>
        <mc:AlternateContent xmlns:mc="http://schemas.openxmlformats.org/markup-compatibility/2006">
          <mc:Choice Requires="x14">
            <control shapeId="1517" r:id="rId1385" name="Button 493">
              <controlPr defaultSize="0" autoFill="0" autoLine="0" autoPict="0" macro="[0]!Sheet1.deleteRow">
                <anchor moveWithCells="1" sizeWithCells="1">
                  <from>
                    <xdr:col>6</xdr:col>
                    <xdr:colOff>0</xdr:colOff>
                    <xdr:row>2401</xdr:row>
                    <xdr:rowOff>0</xdr:rowOff>
                  </from>
                  <to>
                    <xdr:col>7</xdr:col>
                    <xdr:colOff>0</xdr:colOff>
                    <xdr:row>2401</xdr:row>
                    <xdr:rowOff>161925</xdr:rowOff>
                  </to>
                </anchor>
              </controlPr>
            </control>
          </mc:Choice>
        </mc:AlternateContent>
        <mc:AlternateContent xmlns:mc="http://schemas.openxmlformats.org/markup-compatibility/2006">
          <mc:Choice Requires="x14">
            <control shapeId="1516" r:id="rId1386" name="Button 492">
              <controlPr defaultSize="0" autoFill="0" autoLine="0" autoPict="0" macro="[0]!Sheet1.deleteRow">
                <anchor moveWithCells="1" sizeWithCells="1">
                  <from>
                    <xdr:col>6</xdr:col>
                    <xdr:colOff>0</xdr:colOff>
                    <xdr:row>2402</xdr:row>
                    <xdr:rowOff>0</xdr:rowOff>
                  </from>
                  <to>
                    <xdr:col>7</xdr:col>
                    <xdr:colOff>0</xdr:colOff>
                    <xdr:row>2402</xdr:row>
                    <xdr:rowOff>161925</xdr:rowOff>
                  </to>
                </anchor>
              </controlPr>
            </control>
          </mc:Choice>
        </mc:AlternateContent>
        <mc:AlternateContent xmlns:mc="http://schemas.openxmlformats.org/markup-compatibility/2006">
          <mc:Choice Requires="x14">
            <control shapeId="1515" r:id="rId1387" name="Button 491">
              <controlPr defaultSize="0" autoFill="0" autoLine="0" autoPict="0" macro="[0]!Sheet1.deleteRow">
                <anchor moveWithCells="1" sizeWithCells="1">
                  <from>
                    <xdr:col>6</xdr:col>
                    <xdr:colOff>0</xdr:colOff>
                    <xdr:row>2403</xdr:row>
                    <xdr:rowOff>0</xdr:rowOff>
                  </from>
                  <to>
                    <xdr:col>7</xdr:col>
                    <xdr:colOff>0</xdr:colOff>
                    <xdr:row>2403</xdr:row>
                    <xdr:rowOff>161925</xdr:rowOff>
                  </to>
                </anchor>
              </controlPr>
            </control>
          </mc:Choice>
        </mc:AlternateContent>
        <mc:AlternateContent xmlns:mc="http://schemas.openxmlformats.org/markup-compatibility/2006">
          <mc:Choice Requires="x14">
            <control shapeId="1514" r:id="rId1388" name="Button 490">
              <controlPr defaultSize="0" autoFill="0" autoLine="0" autoPict="0" macro="[0]!Sheet1.deleteProcedure">
                <anchor moveWithCells="1" sizeWithCells="1">
                  <from>
                    <xdr:col>6</xdr:col>
                    <xdr:colOff>0</xdr:colOff>
                    <xdr:row>2406</xdr:row>
                    <xdr:rowOff>0</xdr:rowOff>
                  </from>
                  <to>
                    <xdr:col>7</xdr:col>
                    <xdr:colOff>0</xdr:colOff>
                    <xdr:row>2407</xdr:row>
                    <xdr:rowOff>0</xdr:rowOff>
                  </to>
                </anchor>
              </controlPr>
            </control>
          </mc:Choice>
        </mc:AlternateContent>
        <mc:AlternateContent xmlns:mc="http://schemas.openxmlformats.org/markup-compatibility/2006">
          <mc:Choice Requires="x14">
            <control shapeId="1513" r:id="rId1389" name="Button 489">
              <controlPr defaultSize="0" autoFill="0" autoLine="0" autoPict="0" macro="[0]!Sheet1.InsertNewTableRow">
                <anchor moveWithCells="1" sizeWithCells="1">
                  <from>
                    <xdr:col>6</xdr:col>
                    <xdr:colOff>0</xdr:colOff>
                    <xdr:row>2413</xdr:row>
                    <xdr:rowOff>0</xdr:rowOff>
                  </from>
                  <to>
                    <xdr:col>7</xdr:col>
                    <xdr:colOff>0</xdr:colOff>
                    <xdr:row>2413</xdr:row>
                    <xdr:rowOff>38100</xdr:rowOff>
                  </to>
                </anchor>
              </controlPr>
            </control>
          </mc:Choice>
        </mc:AlternateContent>
        <mc:AlternateContent xmlns:mc="http://schemas.openxmlformats.org/markup-compatibility/2006">
          <mc:Choice Requires="x14">
            <control shapeId="1512" r:id="rId1390" name="Button 488">
              <controlPr defaultSize="0" autoFill="0" autoLine="0" autoPict="0" macro="[0]!Sheet1.deleteRow">
                <anchor moveWithCells="1" sizeWithCells="1">
                  <from>
                    <xdr:col>6</xdr:col>
                    <xdr:colOff>0</xdr:colOff>
                    <xdr:row>2414</xdr:row>
                    <xdr:rowOff>0</xdr:rowOff>
                  </from>
                  <to>
                    <xdr:col>7</xdr:col>
                    <xdr:colOff>0</xdr:colOff>
                    <xdr:row>2414</xdr:row>
                    <xdr:rowOff>161925</xdr:rowOff>
                  </to>
                </anchor>
              </controlPr>
            </control>
          </mc:Choice>
        </mc:AlternateContent>
        <mc:AlternateContent xmlns:mc="http://schemas.openxmlformats.org/markup-compatibility/2006">
          <mc:Choice Requires="x14">
            <control shapeId="1511" r:id="rId1391" name="Button 487">
              <controlPr defaultSize="0" autoFill="0" autoLine="0" autoPict="0" macro="[0]!Sheet1.deleteProcedure">
                <anchor moveWithCells="1" sizeWithCells="1">
                  <from>
                    <xdr:col>6</xdr:col>
                    <xdr:colOff>0</xdr:colOff>
                    <xdr:row>2417</xdr:row>
                    <xdr:rowOff>0</xdr:rowOff>
                  </from>
                  <to>
                    <xdr:col>7</xdr:col>
                    <xdr:colOff>0</xdr:colOff>
                    <xdr:row>2418</xdr:row>
                    <xdr:rowOff>0</xdr:rowOff>
                  </to>
                </anchor>
              </controlPr>
            </control>
          </mc:Choice>
        </mc:AlternateContent>
        <mc:AlternateContent xmlns:mc="http://schemas.openxmlformats.org/markup-compatibility/2006">
          <mc:Choice Requires="x14">
            <control shapeId="1510" r:id="rId1392" name="Button 486">
              <controlPr defaultSize="0" autoFill="0" autoLine="0" autoPict="0" macro="[0]!Sheet1.InsertNewTableRow">
                <anchor moveWithCells="1" sizeWithCells="1">
                  <from>
                    <xdr:col>6</xdr:col>
                    <xdr:colOff>0</xdr:colOff>
                    <xdr:row>2424</xdr:row>
                    <xdr:rowOff>0</xdr:rowOff>
                  </from>
                  <to>
                    <xdr:col>7</xdr:col>
                    <xdr:colOff>0</xdr:colOff>
                    <xdr:row>2424</xdr:row>
                    <xdr:rowOff>38100</xdr:rowOff>
                  </to>
                </anchor>
              </controlPr>
            </control>
          </mc:Choice>
        </mc:AlternateContent>
        <mc:AlternateContent xmlns:mc="http://schemas.openxmlformats.org/markup-compatibility/2006">
          <mc:Choice Requires="x14">
            <control shapeId="1509" r:id="rId1393" name="Button 485">
              <controlPr defaultSize="0" autoFill="0" autoLine="0" autoPict="0" macro="[0]!Sheet1.deleteRow">
                <anchor moveWithCells="1" sizeWithCells="1">
                  <from>
                    <xdr:col>6</xdr:col>
                    <xdr:colOff>0</xdr:colOff>
                    <xdr:row>2425</xdr:row>
                    <xdr:rowOff>0</xdr:rowOff>
                  </from>
                  <to>
                    <xdr:col>7</xdr:col>
                    <xdr:colOff>0</xdr:colOff>
                    <xdr:row>2425</xdr:row>
                    <xdr:rowOff>161925</xdr:rowOff>
                  </to>
                </anchor>
              </controlPr>
            </control>
          </mc:Choice>
        </mc:AlternateContent>
        <mc:AlternateContent xmlns:mc="http://schemas.openxmlformats.org/markup-compatibility/2006">
          <mc:Choice Requires="x14">
            <control shapeId="1508" r:id="rId1394" name="Button 484">
              <controlPr defaultSize="0" autoFill="0" autoLine="0" autoPict="0" macro="[0]!Sheet1.deleteRow">
                <anchor moveWithCells="1" sizeWithCells="1">
                  <from>
                    <xdr:col>6</xdr:col>
                    <xdr:colOff>0</xdr:colOff>
                    <xdr:row>2426</xdr:row>
                    <xdr:rowOff>0</xdr:rowOff>
                  </from>
                  <to>
                    <xdr:col>7</xdr:col>
                    <xdr:colOff>0</xdr:colOff>
                    <xdr:row>2426</xdr:row>
                    <xdr:rowOff>161925</xdr:rowOff>
                  </to>
                </anchor>
              </controlPr>
            </control>
          </mc:Choice>
        </mc:AlternateContent>
        <mc:AlternateContent xmlns:mc="http://schemas.openxmlformats.org/markup-compatibility/2006">
          <mc:Choice Requires="x14">
            <control shapeId="1507" r:id="rId1395" name="Button 483">
              <controlPr defaultSize="0" autoFill="0" autoLine="0" autoPict="0" macro="[0]!Sheet1.deleteRow">
                <anchor moveWithCells="1" sizeWithCells="1">
                  <from>
                    <xdr:col>6</xdr:col>
                    <xdr:colOff>0</xdr:colOff>
                    <xdr:row>2427</xdr:row>
                    <xdr:rowOff>0</xdr:rowOff>
                  </from>
                  <to>
                    <xdr:col>7</xdr:col>
                    <xdr:colOff>0</xdr:colOff>
                    <xdr:row>2427</xdr:row>
                    <xdr:rowOff>161925</xdr:rowOff>
                  </to>
                </anchor>
              </controlPr>
            </control>
          </mc:Choice>
        </mc:AlternateContent>
        <mc:AlternateContent xmlns:mc="http://schemas.openxmlformats.org/markup-compatibility/2006">
          <mc:Choice Requires="x14">
            <control shapeId="1506" r:id="rId1396" name="Button 482">
              <controlPr defaultSize="0" autoFill="0" autoLine="0" autoPict="0" macro="[0]!Sheet1.deleteRow">
                <anchor moveWithCells="1" sizeWithCells="1">
                  <from>
                    <xdr:col>6</xdr:col>
                    <xdr:colOff>0</xdr:colOff>
                    <xdr:row>2428</xdr:row>
                    <xdr:rowOff>0</xdr:rowOff>
                  </from>
                  <to>
                    <xdr:col>7</xdr:col>
                    <xdr:colOff>0</xdr:colOff>
                    <xdr:row>2428</xdr:row>
                    <xdr:rowOff>161925</xdr:rowOff>
                  </to>
                </anchor>
              </controlPr>
            </control>
          </mc:Choice>
        </mc:AlternateContent>
        <mc:AlternateContent xmlns:mc="http://schemas.openxmlformats.org/markup-compatibility/2006">
          <mc:Choice Requires="x14">
            <control shapeId="1505" r:id="rId1397" name="Button 481">
              <controlPr defaultSize="0" autoFill="0" autoLine="0" autoPict="0" macro="[0]!Sheet1.deleteRow">
                <anchor moveWithCells="1" sizeWithCells="1">
                  <from>
                    <xdr:col>6</xdr:col>
                    <xdr:colOff>0</xdr:colOff>
                    <xdr:row>2429</xdr:row>
                    <xdr:rowOff>0</xdr:rowOff>
                  </from>
                  <to>
                    <xdr:col>7</xdr:col>
                    <xdr:colOff>0</xdr:colOff>
                    <xdr:row>2429</xdr:row>
                    <xdr:rowOff>161925</xdr:rowOff>
                  </to>
                </anchor>
              </controlPr>
            </control>
          </mc:Choice>
        </mc:AlternateContent>
        <mc:AlternateContent xmlns:mc="http://schemas.openxmlformats.org/markup-compatibility/2006">
          <mc:Choice Requires="x14">
            <control shapeId="1504" r:id="rId1398" name="Button 480">
              <controlPr defaultSize="0" autoFill="0" autoLine="0" autoPict="0" macro="[0]!Sheet1.deleteRow">
                <anchor moveWithCells="1" sizeWithCells="1">
                  <from>
                    <xdr:col>6</xdr:col>
                    <xdr:colOff>0</xdr:colOff>
                    <xdr:row>2430</xdr:row>
                    <xdr:rowOff>0</xdr:rowOff>
                  </from>
                  <to>
                    <xdr:col>7</xdr:col>
                    <xdr:colOff>0</xdr:colOff>
                    <xdr:row>2430</xdr:row>
                    <xdr:rowOff>161925</xdr:rowOff>
                  </to>
                </anchor>
              </controlPr>
            </control>
          </mc:Choice>
        </mc:AlternateContent>
        <mc:AlternateContent xmlns:mc="http://schemas.openxmlformats.org/markup-compatibility/2006">
          <mc:Choice Requires="x14">
            <control shapeId="1503" r:id="rId1399" name="Button 479">
              <controlPr defaultSize="0" autoFill="0" autoLine="0" autoPict="0" macro="[0]!Sheet1.deleteRow">
                <anchor moveWithCells="1" sizeWithCells="1">
                  <from>
                    <xdr:col>6</xdr:col>
                    <xdr:colOff>0</xdr:colOff>
                    <xdr:row>2431</xdr:row>
                    <xdr:rowOff>0</xdr:rowOff>
                  </from>
                  <to>
                    <xdr:col>7</xdr:col>
                    <xdr:colOff>0</xdr:colOff>
                    <xdr:row>2431</xdr:row>
                    <xdr:rowOff>161925</xdr:rowOff>
                  </to>
                </anchor>
              </controlPr>
            </control>
          </mc:Choice>
        </mc:AlternateContent>
        <mc:AlternateContent xmlns:mc="http://schemas.openxmlformats.org/markup-compatibility/2006">
          <mc:Choice Requires="x14">
            <control shapeId="1502" r:id="rId1400" name="Button 478">
              <controlPr defaultSize="0" autoFill="0" autoLine="0" autoPict="0" macro="[0]!Sheet1.deleteRow">
                <anchor moveWithCells="1" sizeWithCells="1">
                  <from>
                    <xdr:col>6</xdr:col>
                    <xdr:colOff>0</xdr:colOff>
                    <xdr:row>2432</xdr:row>
                    <xdr:rowOff>0</xdr:rowOff>
                  </from>
                  <to>
                    <xdr:col>7</xdr:col>
                    <xdr:colOff>0</xdr:colOff>
                    <xdr:row>2432</xdr:row>
                    <xdr:rowOff>161925</xdr:rowOff>
                  </to>
                </anchor>
              </controlPr>
            </control>
          </mc:Choice>
        </mc:AlternateContent>
        <mc:AlternateContent xmlns:mc="http://schemas.openxmlformats.org/markup-compatibility/2006">
          <mc:Choice Requires="x14">
            <control shapeId="1501" r:id="rId1401" name="Button 477">
              <controlPr defaultSize="0" autoFill="0" autoLine="0" autoPict="0" macro="[0]!Sheet1.deleteRow">
                <anchor moveWithCells="1" sizeWithCells="1">
                  <from>
                    <xdr:col>6</xdr:col>
                    <xdr:colOff>0</xdr:colOff>
                    <xdr:row>2433</xdr:row>
                    <xdr:rowOff>0</xdr:rowOff>
                  </from>
                  <to>
                    <xdr:col>7</xdr:col>
                    <xdr:colOff>0</xdr:colOff>
                    <xdr:row>2433</xdr:row>
                    <xdr:rowOff>161925</xdr:rowOff>
                  </to>
                </anchor>
              </controlPr>
            </control>
          </mc:Choice>
        </mc:AlternateContent>
        <mc:AlternateContent xmlns:mc="http://schemas.openxmlformats.org/markup-compatibility/2006">
          <mc:Choice Requires="x14">
            <control shapeId="1500" r:id="rId1402" name="Button 476">
              <controlPr defaultSize="0" autoFill="0" autoLine="0" autoPict="0" macro="[0]!Sheet1.deleteRow">
                <anchor moveWithCells="1" sizeWithCells="1">
                  <from>
                    <xdr:col>6</xdr:col>
                    <xdr:colOff>0</xdr:colOff>
                    <xdr:row>2434</xdr:row>
                    <xdr:rowOff>0</xdr:rowOff>
                  </from>
                  <to>
                    <xdr:col>7</xdr:col>
                    <xdr:colOff>0</xdr:colOff>
                    <xdr:row>2434</xdr:row>
                    <xdr:rowOff>161925</xdr:rowOff>
                  </to>
                </anchor>
              </controlPr>
            </control>
          </mc:Choice>
        </mc:AlternateContent>
        <mc:AlternateContent xmlns:mc="http://schemas.openxmlformats.org/markup-compatibility/2006">
          <mc:Choice Requires="x14">
            <control shapeId="1499" r:id="rId1403" name="Button 475">
              <controlPr defaultSize="0" autoFill="0" autoLine="0" autoPict="0" macro="[0]!Sheet1.deleteRow">
                <anchor moveWithCells="1" sizeWithCells="1">
                  <from>
                    <xdr:col>6</xdr:col>
                    <xdr:colOff>0</xdr:colOff>
                    <xdr:row>2435</xdr:row>
                    <xdr:rowOff>0</xdr:rowOff>
                  </from>
                  <to>
                    <xdr:col>7</xdr:col>
                    <xdr:colOff>0</xdr:colOff>
                    <xdr:row>2435</xdr:row>
                    <xdr:rowOff>161925</xdr:rowOff>
                  </to>
                </anchor>
              </controlPr>
            </control>
          </mc:Choice>
        </mc:AlternateContent>
        <mc:AlternateContent xmlns:mc="http://schemas.openxmlformats.org/markup-compatibility/2006">
          <mc:Choice Requires="x14">
            <control shapeId="1498" r:id="rId1404" name="Button 474">
              <controlPr defaultSize="0" autoFill="0" autoLine="0" autoPict="0" macro="[0]!Sheet1.deleteRow">
                <anchor moveWithCells="1" sizeWithCells="1">
                  <from>
                    <xdr:col>6</xdr:col>
                    <xdr:colOff>0</xdr:colOff>
                    <xdr:row>2436</xdr:row>
                    <xdr:rowOff>0</xdr:rowOff>
                  </from>
                  <to>
                    <xdr:col>7</xdr:col>
                    <xdr:colOff>0</xdr:colOff>
                    <xdr:row>2436</xdr:row>
                    <xdr:rowOff>161925</xdr:rowOff>
                  </to>
                </anchor>
              </controlPr>
            </control>
          </mc:Choice>
        </mc:AlternateContent>
        <mc:AlternateContent xmlns:mc="http://schemas.openxmlformats.org/markup-compatibility/2006">
          <mc:Choice Requires="x14">
            <control shapeId="1497" r:id="rId1405" name="Button 473">
              <controlPr defaultSize="0" autoFill="0" autoLine="0" autoPict="0" macro="[0]!Sheet1.deleteRow">
                <anchor moveWithCells="1" sizeWithCells="1">
                  <from>
                    <xdr:col>6</xdr:col>
                    <xdr:colOff>0</xdr:colOff>
                    <xdr:row>2437</xdr:row>
                    <xdr:rowOff>0</xdr:rowOff>
                  </from>
                  <to>
                    <xdr:col>7</xdr:col>
                    <xdr:colOff>0</xdr:colOff>
                    <xdr:row>2437</xdr:row>
                    <xdr:rowOff>161925</xdr:rowOff>
                  </to>
                </anchor>
              </controlPr>
            </control>
          </mc:Choice>
        </mc:AlternateContent>
        <mc:AlternateContent xmlns:mc="http://schemas.openxmlformats.org/markup-compatibility/2006">
          <mc:Choice Requires="x14">
            <control shapeId="1496" r:id="rId1406" name="Button 472">
              <controlPr defaultSize="0" autoFill="0" autoLine="0" autoPict="0" macro="[0]!Sheet1.deleteRow">
                <anchor moveWithCells="1" sizeWithCells="1">
                  <from>
                    <xdr:col>6</xdr:col>
                    <xdr:colOff>0</xdr:colOff>
                    <xdr:row>2438</xdr:row>
                    <xdr:rowOff>0</xdr:rowOff>
                  </from>
                  <to>
                    <xdr:col>7</xdr:col>
                    <xdr:colOff>0</xdr:colOff>
                    <xdr:row>2438</xdr:row>
                    <xdr:rowOff>161925</xdr:rowOff>
                  </to>
                </anchor>
              </controlPr>
            </control>
          </mc:Choice>
        </mc:AlternateContent>
        <mc:AlternateContent xmlns:mc="http://schemas.openxmlformats.org/markup-compatibility/2006">
          <mc:Choice Requires="x14">
            <control shapeId="1495" r:id="rId1407" name="Button 471">
              <controlPr defaultSize="0" autoFill="0" autoLine="0" autoPict="0" macro="[0]!Sheet1.deleteRow">
                <anchor moveWithCells="1" sizeWithCells="1">
                  <from>
                    <xdr:col>6</xdr:col>
                    <xdr:colOff>0</xdr:colOff>
                    <xdr:row>2439</xdr:row>
                    <xdr:rowOff>0</xdr:rowOff>
                  </from>
                  <to>
                    <xdr:col>7</xdr:col>
                    <xdr:colOff>0</xdr:colOff>
                    <xdr:row>2439</xdr:row>
                    <xdr:rowOff>161925</xdr:rowOff>
                  </to>
                </anchor>
              </controlPr>
            </control>
          </mc:Choice>
        </mc:AlternateContent>
        <mc:AlternateContent xmlns:mc="http://schemas.openxmlformats.org/markup-compatibility/2006">
          <mc:Choice Requires="x14">
            <control shapeId="1494" r:id="rId1408" name="Button 470">
              <controlPr defaultSize="0" autoFill="0" autoLine="0" autoPict="0" macro="[0]!Sheet1.deleteRow">
                <anchor moveWithCells="1" sizeWithCells="1">
                  <from>
                    <xdr:col>6</xdr:col>
                    <xdr:colOff>0</xdr:colOff>
                    <xdr:row>2440</xdr:row>
                    <xdr:rowOff>0</xdr:rowOff>
                  </from>
                  <to>
                    <xdr:col>7</xdr:col>
                    <xdr:colOff>0</xdr:colOff>
                    <xdr:row>2440</xdr:row>
                    <xdr:rowOff>161925</xdr:rowOff>
                  </to>
                </anchor>
              </controlPr>
            </control>
          </mc:Choice>
        </mc:AlternateContent>
        <mc:AlternateContent xmlns:mc="http://schemas.openxmlformats.org/markup-compatibility/2006">
          <mc:Choice Requires="x14">
            <control shapeId="1493" r:id="rId1409" name="Button 469">
              <controlPr defaultSize="0" autoFill="0" autoLine="0" autoPict="0" macro="[0]!Sheet1.deleteRow">
                <anchor moveWithCells="1" sizeWithCells="1">
                  <from>
                    <xdr:col>6</xdr:col>
                    <xdr:colOff>0</xdr:colOff>
                    <xdr:row>2441</xdr:row>
                    <xdr:rowOff>0</xdr:rowOff>
                  </from>
                  <to>
                    <xdr:col>7</xdr:col>
                    <xdr:colOff>0</xdr:colOff>
                    <xdr:row>2441</xdr:row>
                    <xdr:rowOff>161925</xdr:rowOff>
                  </to>
                </anchor>
              </controlPr>
            </control>
          </mc:Choice>
        </mc:AlternateContent>
        <mc:AlternateContent xmlns:mc="http://schemas.openxmlformats.org/markup-compatibility/2006">
          <mc:Choice Requires="x14">
            <control shapeId="1492" r:id="rId1410" name="Button 468">
              <controlPr defaultSize="0" autoFill="0" autoLine="0" autoPict="0" macro="[0]!Sheet1.deleteRow">
                <anchor moveWithCells="1" sizeWithCells="1">
                  <from>
                    <xdr:col>6</xdr:col>
                    <xdr:colOff>0</xdr:colOff>
                    <xdr:row>2442</xdr:row>
                    <xdr:rowOff>0</xdr:rowOff>
                  </from>
                  <to>
                    <xdr:col>7</xdr:col>
                    <xdr:colOff>0</xdr:colOff>
                    <xdr:row>2442</xdr:row>
                    <xdr:rowOff>161925</xdr:rowOff>
                  </to>
                </anchor>
              </controlPr>
            </control>
          </mc:Choice>
        </mc:AlternateContent>
        <mc:AlternateContent xmlns:mc="http://schemas.openxmlformats.org/markup-compatibility/2006">
          <mc:Choice Requires="x14">
            <control shapeId="1491" r:id="rId1411" name="Button 467">
              <controlPr defaultSize="0" autoFill="0" autoLine="0" autoPict="0" macro="[0]!Sheet1.deleteRow">
                <anchor moveWithCells="1" sizeWithCells="1">
                  <from>
                    <xdr:col>6</xdr:col>
                    <xdr:colOff>0</xdr:colOff>
                    <xdr:row>2443</xdr:row>
                    <xdr:rowOff>0</xdr:rowOff>
                  </from>
                  <to>
                    <xdr:col>7</xdr:col>
                    <xdr:colOff>0</xdr:colOff>
                    <xdr:row>2443</xdr:row>
                    <xdr:rowOff>161925</xdr:rowOff>
                  </to>
                </anchor>
              </controlPr>
            </control>
          </mc:Choice>
        </mc:AlternateContent>
        <mc:AlternateContent xmlns:mc="http://schemas.openxmlformats.org/markup-compatibility/2006">
          <mc:Choice Requires="x14">
            <control shapeId="1490" r:id="rId1412" name="Button 466">
              <controlPr defaultSize="0" autoFill="0" autoLine="0" autoPict="0" macro="[0]!Sheet1.deleteRow">
                <anchor moveWithCells="1" sizeWithCells="1">
                  <from>
                    <xdr:col>6</xdr:col>
                    <xdr:colOff>0</xdr:colOff>
                    <xdr:row>2444</xdr:row>
                    <xdr:rowOff>0</xdr:rowOff>
                  </from>
                  <to>
                    <xdr:col>7</xdr:col>
                    <xdr:colOff>0</xdr:colOff>
                    <xdr:row>2444</xdr:row>
                    <xdr:rowOff>161925</xdr:rowOff>
                  </to>
                </anchor>
              </controlPr>
            </control>
          </mc:Choice>
        </mc:AlternateContent>
        <mc:AlternateContent xmlns:mc="http://schemas.openxmlformats.org/markup-compatibility/2006">
          <mc:Choice Requires="x14">
            <control shapeId="1489" r:id="rId1413" name="Button 465">
              <controlPr defaultSize="0" autoFill="0" autoLine="0" autoPict="0" macro="[0]!Sheet1.deleteRow">
                <anchor moveWithCells="1" sizeWithCells="1">
                  <from>
                    <xdr:col>6</xdr:col>
                    <xdr:colOff>0</xdr:colOff>
                    <xdr:row>2445</xdr:row>
                    <xdr:rowOff>0</xdr:rowOff>
                  </from>
                  <to>
                    <xdr:col>7</xdr:col>
                    <xdr:colOff>0</xdr:colOff>
                    <xdr:row>2445</xdr:row>
                    <xdr:rowOff>161925</xdr:rowOff>
                  </to>
                </anchor>
              </controlPr>
            </control>
          </mc:Choice>
        </mc:AlternateContent>
        <mc:AlternateContent xmlns:mc="http://schemas.openxmlformats.org/markup-compatibility/2006">
          <mc:Choice Requires="x14">
            <control shapeId="1488" r:id="rId1414" name="Button 464">
              <controlPr defaultSize="0" autoFill="0" autoLine="0" autoPict="0" macro="[0]!Sheet1.deleteRow">
                <anchor moveWithCells="1" sizeWithCells="1">
                  <from>
                    <xdr:col>6</xdr:col>
                    <xdr:colOff>0</xdr:colOff>
                    <xdr:row>2446</xdr:row>
                    <xdr:rowOff>0</xdr:rowOff>
                  </from>
                  <to>
                    <xdr:col>7</xdr:col>
                    <xdr:colOff>0</xdr:colOff>
                    <xdr:row>2446</xdr:row>
                    <xdr:rowOff>161925</xdr:rowOff>
                  </to>
                </anchor>
              </controlPr>
            </control>
          </mc:Choice>
        </mc:AlternateContent>
        <mc:AlternateContent xmlns:mc="http://schemas.openxmlformats.org/markup-compatibility/2006">
          <mc:Choice Requires="x14">
            <control shapeId="1487" r:id="rId1415" name="Button 463">
              <controlPr defaultSize="0" autoFill="0" autoLine="0" autoPict="0" macro="[0]!Sheet1.deleteRow">
                <anchor moveWithCells="1" sizeWithCells="1">
                  <from>
                    <xdr:col>6</xdr:col>
                    <xdr:colOff>0</xdr:colOff>
                    <xdr:row>2447</xdr:row>
                    <xdr:rowOff>0</xdr:rowOff>
                  </from>
                  <to>
                    <xdr:col>7</xdr:col>
                    <xdr:colOff>0</xdr:colOff>
                    <xdr:row>2447</xdr:row>
                    <xdr:rowOff>161925</xdr:rowOff>
                  </to>
                </anchor>
              </controlPr>
            </control>
          </mc:Choice>
        </mc:AlternateContent>
        <mc:AlternateContent xmlns:mc="http://schemas.openxmlformats.org/markup-compatibility/2006">
          <mc:Choice Requires="x14">
            <control shapeId="1486" r:id="rId1416" name="Button 462">
              <controlPr defaultSize="0" autoFill="0" autoLine="0" autoPict="0" macro="[0]!Sheet1.deleteRow">
                <anchor moveWithCells="1" sizeWithCells="1">
                  <from>
                    <xdr:col>6</xdr:col>
                    <xdr:colOff>0</xdr:colOff>
                    <xdr:row>2448</xdr:row>
                    <xdr:rowOff>0</xdr:rowOff>
                  </from>
                  <to>
                    <xdr:col>7</xdr:col>
                    <xdr:colOff>0</xdr:colOff>
                    <xdr:row>2448</xdr:row>
                    <xdr:rowOff>161925</xdr:rowOff>
                  </to>
                </anchor>
              </controlPr>
            </control>
          </mc:Choice>
        </mc:AlternateContent>
        <mc:AlternateContent xmlns:mc="http://schemas.openxmlformats.org/markup-compatibility/2006">
          <mc:Choice Requires="x14">
            <control shapeId="1485" r:id="rId1417" name="Button 461">
              <controlPr defaultSize="0" autoFill="0" autoLine="0" autoPict="0" macro="[0]!Sheet1.deleteProcedure">
                <anchor moveWithCells="1" sizeWithCells="1">
                  <from>
                    <xdr:col>6</xdr:col>
                    <xdr:colOff>0</xdr:colOff>
                    <xdr:row>2451</xdr:row>
                    <xdr:rowOff>0</xdr:rowOff>
                  </from>
                  <to>
                    <xdr:col>7</xdr:col>
                    <xdr:colOff>0</xdr:colOff>
                    <xdr:row>2452</xdr:row>
                    <xdr:rowOff>0</xdr:rowOff>
                  </to>
                </anchor>
              </controlPr>
            </control>
          </mc:Choice>
        </mc:AlternateContent>
        <mc:AlternateContent xmlns:mc="http://schemas.openxmlformats.org/markup-compatibility/2006">
          <mc:Choice Requires="x14">
            <control shapeId="1484" r:id="rId1418" name="Button 460">
              <controlPr defaultSize="0" autoFill="0" autoLine="0" autoPict="0" macro="[0]!Sheet1.InsertNewTableRow">
                <anchor moveWithCells="1" sizeWithCells="1">
                  <from>
                    <xdr:col>6</xdr:col>
                    <xdr:colOff>0</xdr:colOff>
                    <xdr:row>2458</xdr:row>
                    <xdr:rowOff>0</xdr:rowOff>
                  </from>
                  <to>
                    <xdr:col>7</xdr:col>
                    <xdr:colOff>0</xdr:colOff>
                    <xdr:row>2458</xdr:row>
                    <xdr:rowOff>38100</xdr:rowOff>
                  </to>
                </anchor>
              </controlPr>
            </control>
          </mc:Choice>
        </mc:AlternateContent>
        <mc:AlternateContent xmlns:mc="http://schemas.openxmlformats.org/markup-compatibility/2006">
          <mc:Choice Requires="x14">
            <control shapeId="1483" r:id="rId1419" name="Button 459">
              <controlPr defaultSize="0" autoFill="0" autoLine="0" autoPict="0" macro="[0]!Sheet1.deleteRow">
                <anchor moveWithCells="1" sizeWithCells="1">
                  <from>
                    <xdr:col>6</xdr:col>
                    <xdr:colOff>0</xdr:colOff>
                    <xdr:row>2459</xdr:row>
                    <xdr:rowOff>0</xdr:rowOff>
                  </from>
                  <to>
                    <xdr:col>7</xdr:col>
                    <xdr:colOff>0</xdr:colOff>
                    <xdr:row>2459</xdr:row>
                    <xdr:rowOff>161925</xdr:rowOff>
                  </to>
                </anchor>
              </controlPr>
            </control>
          </mc:Choice>
        </mc:AlternateContent>
        <mc:AlternateContent xmlns:mc="http://schemas.openxmlformats.org/markup-compatibility/2006">
          <mc:Choice Requires="x14">
            <control shapeId="1482" r:id="rId1420" name="Button 458">
              <controlPr defaultSize="0" autoFill="0" autoLine="0" autoPict="0" macro="[0]!Sheet1.deleteProcedure">
                <anchor moveWithCells="1" sizeWithCells="1">
                  <from>
                    <xdr:col>6</xdr:col>
                    <xdr:colOff>0</xdr:colOff>
                    <xdr:row>2462</xdr:row>
                    <xdr:rowOff>0</xdr:rowOff>
                  </from>
                  <to>
                    <xdr:col>7</xdr:col>
                    <xdr:colOff>0</xdr:colOff>
                    <xdr:row>2463</xdr:row>
                    <xdr:rowOff>0</xdr:rowOff>
                  </to>
                </anchor>
              </controlPr>
            </control>
          </mc:Choice>
        </mc:AlternateContent>
        <mc:AlternateContent xmlns:mc="http://schemas.openxmlformats.org/markup-compatibility/2006">
          <mc:Choice Requires="x14">
            <control shapeId="1481" r:id="rId1421" name="Button 457">
              <controlPr defaultSize="0" autoFill="0" autoLine="0" autoPict="0" macro="[0]!Sheet1.InsertNewTableRow">
                <anchor moveWithCells="1" sizeWithCells="1">
                  <from>
                    <xdr:col>6</xdr:col>
                    <xdr:colOff>0</xdr:colOff>
                    <xdr:row>2469</xdr:row>
                    <xdr:rowOff>0</xdr:rowOff>
                  </from>
                  <to>
                    <xdr:col>7</xdr:col>
                    <xdr:colOff>0</xdr:colOff>
                    <xdr:row>2469</xdr:row>
                    <xdr:rowOff>38100</xdr:rowOff>
                  </to>
                </anchor>
              </controlPr>
            </control>
          </mc:Choice>
        </mc:AlternateContent>
        <mc:AlternateContent xmlns:mc="http://schemas.openxmlformats.org/markup-compatibility/2006">
          <mc:Choice Requires="x14">
            <control shapeId="1480" r:id="rId1422" name="Button 456">
              <controlPr defaultSize="0" autoFill="0" autoLine="0" autoPict="0" macro="[0]!Sheet1.deleteRow">
                <anchor moveWithCells="1" sizeWithCells="1">
                  <from>
                    <xdr:col>6</xdr:col>
                    <xdr:colOff>0</xdr:colOff>
                    <xdr:row>2470</xdr:row>
                    <xdr:rowOff>0</xdr:rowOff>
                  </from>
                  <to>
                    <xdr:col>7</xdr:col>
                    <xdr:colOff>0</xdr:colOff>
                    <xdr:row>2470</xdr:row>
                    <xdr:rowOff>161925</xdr:rowOff>
                  </to>
                </anchor>
              </controlPr>
            </control>
          </mc:Choice>
        </mc:AlternateContent>
        <mc:AlternateContent xmlns:mc="http://schemas.openxmlformats.org/markup-compatibility/2006">
          <mc:Choice Requires="x14">
            <control shapeId="1479" r:id="rId1423" name="Button 455">
              <controlPr defaultSize="0" autoFill="0" autoLine="0" autoPict="0" macro="[0]!Sheet1.deleteProcedure">
                <anchor moveWithCells="1" sizeWithCells="1">
                  <from>
                    <xdr:col>6</xdr:col>
                    <xdr:colOff>0</xdr:colOff>
                    <xdr:row>2473</xdr:row>
                    <xdr:rowOff>0</xdr:rowOff>
                  </from>
                  <to>
                    <xdr:col>7</xdr:col>
                    <xdr:colOff>0</xdr:colOff>
                    <xdr:row>2474</xdr:row>
                    <xdr:rowOff>0</xdr:rowOff>
                  </to>
                </anchor>
              </controlPr>
            </control>
          </mc:Choice>
        </mc:AlternateContent>
        <mc:AlternateContent xmlns:mc="http://schemas.openxmlformats.org/markup-compatibility/2006">
          <mc:Choice Requires="x14">
            <control shapeId="1478" r:id="rId1424" name="Button 454">
              <controlPr defaultSize="0" autoFill="0" autoLine="0" autoPict="0" macro="[0]!Sheet1.InsertNewTableRow">
                <anchor moveWithCells="1" sizeWithCells="1">
                  <from>
                    <xdr:col>6</xdr:col>
                    <xdr:colOff>0</xdr:colOff>
                    <xdr:row>2480</xdr:row>
                    <xdr:rowOff>0</xdr:rowOff>
                  </from>
                  <to>
                    <xdr:col>7</xdr:col>
                    <xdr:colOff>0</xdr:colOff>
                    <xdr:row>2480</xdr:row>
                    <xdr:rowOff>38100</xdr:rowOff>
                  </to>
                </anchor>
              </controlPr>
            </control>
          </mc:Choice>
        </mc:AlternateContent>
        <mc:AlternateContent xmlns:mc="http://schemas.openxmlformats.org/markup-compatibility/2006">
          <mc:Choice Requires="x14">
            <control shapeId="1477" r:id="rId1425" name="Button 453">
              <controlPr defaultSize="0" autoFill="0" autoLine="0" autoPict="0" macro="[0]!Sheet1.deleteRow">
                <anchor moveWithCells="1" sizeWithCells="1">
                  <from>
                    <xdr:col>6</xdr:col>
                    <xdr:colOff>0</xdr:colOff>
                    <xdr:row>2481</xdr:row>
                    <xdr:rowOff>0</xdr:rowOff>
                  </from>
                  <to>
                    <xdr:col>7</xdr:col>
                    <xdr:colOff>0</xdr:colOff>
                    <xdr:row>2481</xdr:row>
                    <xdr:rowOff>161925</xdr:rowOff>
                  </to>
                </anchor>
              </controlPr>
            </control>
          </mc:Choice>
        </mc:AlternateContent>
        <mc:AlternateContent xmlns:mc="http://schemas.openxmlformats.org/markup-compatibility/2006">
          <mc:Choice Requires="x14">
            <control shapeId="1476" r:id="rId1426" name="Button 452">
              <controlPr defaultSize="0" autoFill="0" autoLine="0" autoPict="0" macro="[0]!Sheet1.deleteProcedure">
                <anchor moveWithCells="1" sizeWithCells="1">
                  <from>
                    <xdr:col>6</xdr:col>
                    <xdr:colOff>0</xdr:colOff>
                    <xdr:row>2484</xdr:row>
                    <xdr:rowOff>0</xdr:rowOff>
                  </from>
                  <to>
                    <xdr:col>7</xdr:col>
                    <xdr:colOff>0</xdr:colOff>
                    <xdr:row>2485</xdr:row>
                    <xdr:rowOff>0</xdr:rowOff>
                  </to>
                </anchor>
              </controlPr>
            </control>
          </mc:Choice>
        </mc:AlternateContent>
        <mc:AlternateContent xmlns:mc="http://schemas.openxmlformats.org/markup-compatibility/2006">
          <mc:Choice Requires="x14">
            <control shapeId="1475" r:id="rId1427" name="Button 451">
              <controlPr defaultSize="0" autoFill="0" autoLine="0" autoPict="0" macro="[0]!Sheet1.InsertNewTableRow">
                <anchor moveWithCells="1" sizeWithCells="1">
                  <from>
                    <xdr:col>6</xdr:col>
                    <xdr:colOff>0</xdr:colOff>
                    <xdr:row>2491</xdr:row>
                    <xdr:rowOff>0</xdr:rowOff>
                  </from>
                  <to>
                    <xdr:col>7</xdr:col>
                    <xdr:colOff>0</xdr:colOff>
                    <xdr:row>2491</xdr:row>
                    <xdr:rowOff>38100</xdr:rowOff>
                  </to>
                </anchor>
              </controlPr>
            </control>
          </mc:Choice>
        </mc:AlternateContent>
        <mc:AlternateContent xmlns:mc="http://schemas.openxmlformats.org/markup-compatibility/2006">
          <mc:Choice Requires="x14">
            <control shapeId="1474" r:id="rId1428" name="Button 450">
              <controlPr defaultSize="0" autoFill="0" autoLine="0" autoPict="0" macro="[0]!Sheet1.deleteRow">
                <anchor moveWithCells="1" sizeWithCells="1">
                  <from>
                    <xdr:col>6</xdr:col>
                    <xdr:colOff>0</xdr:colOff>
                    <xdr:row>2492</xdr:row>
                    <xdr:rowOff>0</xdr:rowOff>
                  </from>
                  <to>
                    <xdr:col>7</xdr:col>
                    <xdr:colOff>0</xdr:colOff>
                    <xdr:row>2492</xdr:row>
                    <xdr:rowOff>161925</xdr:rowOff>
                  </to>
                </anchor>
              </controlPr>
            </control>
          </mc:Choice>
        </mc:AlternateContent>
        <mc:AlternateContent xmlns:mc="http://schemas.openxmlformats.org/markup-compatibility/2006">
          <mc:Choice Requires="x14">
            <control shapeId="1473" r:id="rId1429" name="Button 449">
              <controlPr defaultSize="0" autoFill="0" autoLine="0" autoPict="0" macro="[0]!Sheet1.deleteRow">
                <anchor moveWithCells="1" sizeWithCells="1">
                  <from>
                    <xdr:col>6</xdr:col>
                    <xdr:colOff>0</xdr:colOff>
                    <xdr:row>2493</xdr:row>
                    <xdr:rowOff>0</xdr:rowOff>
                  </from>
                  <to>
                    <xdr:col>7</xdr:col>
                    <xdr:colOff>0</xdr:colOff>
                    <xdr:row>2493</xdr:row>
                    <xdr:rowOff>161925</xdr:rowOff>
                  </to>
                </anchor>
              </controlPr>
            </control>
          </mc:Choice>
        </mc:AlternateContent>
        <mc:AlternateContent xmlns:mc="http://schemas.openxmlformats.org/markup-compatibility/2006">
          <mc:Choice Requires="x14">
            <control shapeId="1472" r:id="rId1430" name="Button 448">
              <controlPr defaultSize="0" autoFill="0" autoLine="0" autoPict="0" macro="[0]!Sheet1.deleteRow">
                <anchor moveWithCells="1" sizeWithCells="1">
                  <from>
                    <xdr:col>6</xdr:col>
                    <xdr:colOff>0</xdr:colOff>
                    <xdr:row>2494</xdr:row>
                    <xdr:rowOff>0</xdr:rowOff>
                  </from>
                  <to>
                    <xdr:col>7</xdr:col>
                    <xdr:colOff>0</xdr:colOff>
                    <xdr:row>2494</xdr:row>
                    <xdr:rowOff>161925</xdr:rowOff>
                  </to>
                </anchor>
              </controlPr>
            </control>
          </mc:Choice>
        </mc:AlternateContent>
        <mc:AlternateContent xmlns:mc="http://schemas.openxmlformats.org/markup-compatibility/2006">
          <mc:Choice Requires="x14">
            <control shapeId="1471" r:id="rId1431" name="Button 447">
              <controlPr defaultSize="0" autoFill="0" autoLine="0" autoPict="0" macro="[0]!Sheet1.deleteRow">
                <anchor moveWithCells="1" sizeWithCells="1">
                  <from>
                    <xdr:col>6</xdr:col>
                    <xdr:colOff>0</xdr:colOff>
                    <xdr:row>2495</xdr:row>
                    <xdr:rowOff>0</xdr:rowOff>
                  </from>
                  <to>
                    <xdr:col>7</xdr:col>
                    <xdr:colOff>0</xdr:colOff>
                    <xdr:row>2495</xdr:row>
                    <xdr:rowOff>161925</xdr:rowOff>
                  </to>
                </anchor>
              </controlPr>
            </control>
          </mc:Choice>
        </mc:AlternateContent>
        <mc:AlternateContent xmlns:mc="http://schemas.openxmlformats.org/markup-compatibility/2006">
          <mc:Choice Requires="x14">
            <control shapeId="1470" r:id="rId1432" name="Button 446">
              <controlPr defaultSize="0" autoFill="0" autoLine="0" autoPict="0" macro="[0]!Sheet1.deleteRow">
                <anchor moveWithCells="1" sizeWithCells="1">
                  <from>
                    <xdr:col>6</xdr:col>
                    <xdr:colOff>0</xdr:colOff>
                    <xdr:row>2496</xdr:row>
                    <xdr:rowOff>0</xdr:rowOff>
                  </from>
                  <to>
                    <xdr:col>7</xdr:col>
                    <xdr:colOff>0</xdr:colOff>
                    <xdr:row>2496</xdr:row>
                    <xdr:rowOff>161925</xdr:rowOff>
                  </to>
                </anchor>
              </controlPr>
            </control>
          </mc:Choice>
        </mc:AlternateContent>
        <mc:AlternateContent xmlns:mc="http://schemas.openxmlformats.org/markup-compatibility/2006">
          <mc:Choice Requires="x14">
            <control shapeId="1469" r:id="rId1433" name="Button 445">
              <controlPr defaultSize="0" autoFill="0" autoLine="0" autoPict="0" macro="[0]!Sheet1.deleteRow">
                <anchor moveWithCells="1" sizeWithCells="1">
                  <from>
                    <xdr:col>6</xdr:col>
                    <xdr:colOff>0</xdr:colOff>
                    <xdr:row>2497</xdr:row>
                    <xdr:rowOff>0</xdr:rowOff>
                  </from>
                  <to>
                    <xdr:col>7</xdr:col>
                    <xdr:colOff>0</xdr:colOff>
                    <xdr:row>2497</xdr:row>
                    <xdr:rowOff>161925</xdr:rowOff>
                  </to>
                </anchor>
              </controlPr>
            </control>
          </mc:Choice>
        </mc:AlternateContent>
        <mc:AlternateContent xmlns:mc="http://schemas.openxmlformats.org/markup-compatibility/2006">
          <mc:Choice Requires="x14">
            <control shapeId="1468" r:id="rId1434" name="Button 444">
              <controlPr defaultSize="0" autoFill="0" autoLine="0" autoPict="0" macro="[0]!Sheet1.deleteRow">
                <anchor moveWithCells="1" sizeWithCells="1">
                  <from>
                    <xdr:col>6</xdr:col>
                    <xdr:colOff>0</xdr:colOff>
                    <xdr:row>2498</xdr:row>
                    <xdr:rowOff>0</xdr:rowOff>
                  </from>
                  <to>
                    <xdr:col>7</xdr:col>
                    <xdr:colOff>0</xdr:colOff>
                    <xdr:row>2498</xdr:row>
                    <xdr:rowOff>161925</xdr:rowOff>
                  </to>
                </anchor>
              </controlPr>
            </control>
          </mc:Choice>
        </mc:AlternateContent>
        <mc:AlternateContent xmlns:mc="http://schemas.openxmlformats.org/markup-compatibility/2006">
          <mc:Choice Requires="x14">
            <control shapeId="1467" r:id="rId1435" name="Button 443">
              <controlPr defaultSize="0" autoFill="0" autoLine="0" autoPict="0" macro="[0]!Sheet1.deleteRow">
                <anchor moveWithCells="1" sizeWithCells="1">
                  <from>
                    <xdr:col>6</xdr:col>
                    <xdr:colOff>0</xdr:colOff>
                    <xdr:row>2499</xdr:row>
                    <xdr:rowOff>0</xdr:rowOff>
                  </from>
                  <to>
                    <xdr:col>7</xdr:col>
                    <xdr:colOff>0</xdr:colOff>
                    <xdr:row>2499</xdr:row>
                    <xdr:rowOff>161925</xdr:rowOff>
                  </to>
                </anchor>
              </controlPr>
            </control>
          </mc:Choice>
        </mc:AlternateContent>
        <mc:AlternateContent xmlns:mc="http://schemas.openxmlformats.org/markup-compatibility/2006">
          <mc:Choice Requires="x14">
            <control shapeId="1466" r:id="rId1436" name="Button 442">
              <controlPr defaultSize="0" autoFill="0" autoLine="0" autoPict="0" macro="[0]!Sheet1.deleteRow">
                <anchor moveWithCells="1" sizeWithCells="1">
                  <from>
                    <xdr:col>6</xdr:col>
                    <xdr:colOff>0</xdr:colOff>
                    <xdr:row>2500</xdr:row>
                    <xdr:rowOff>0</xdr:rowOff>
                  </from>
                  <to>
                    <xdr:col>7</xdr:col>
                    <xdr:colOff>0</xdr:colOff>
                    <xdr:row>2500</xdr:row>
                    <xdr:rowOff>161925</xdr:rowOff>
                  </to>
                </anchor>
              </controlPr>
            </control>
          </mc:Choice>
        </mc:AlternateContent>
        <mc:AlternateContent xmlns:mc="http://schemas.openxmlformats.org/markup-compatibility/2006">
          <mc:Choice Requires="x14">
            <control shapeId="1465" r:id="rId1437" name="Button 441">
              <controlPr defaultSize="0" autoFill="0" autoLine="0" autoPict="0" macro="[0]!Sheet1.deleteRow">
                <anchor moveWithCells="1" sizeWithCells="1">
                  <from>
                    <xdr:col>6</xdr:col>
                    <xdr:colOff>0</xdr:colOff>
                    <xdr:row>2501</xdr:row>
                    <xdr:rowOff>0</xdr:rowOff>
                  </from>
                  <to>
                    <xdr:col>7</xdr:col>
                    <xdr:colOff>0</xdr:colOff>
                    <xdr:row>2501</xdr:row>
                    <xdr:rowOff>161925</xdr:rowOff>
                  </to>
                </anchor>
              </controlPr>
            </control>
          </mc:Choice>
        </mc:AlternateContent>
        <mc:AlternateContent xmlns:mc="http://schemas.openxmlformats.org/markup-compatibility/2006">
          <mc:Choice Requires="x14">
            <control shapeId="1464" r:id="rId1438" name="Button 440">
              <controlPr defaultSize="0" autoFill="0" autoLine="0" autoPict="0" macro="[0]!Sheet1.deleteRow">
                <anchor moveWithCells="1" sizeWithCells="1">
                  <from>
                    <xdr:col>6</xdr:col>
                    <xdr:colOff>0</xdr:colOff>
                    <xdr:row>2502</xdr:row>
                    <xdr:rowOff>0</xdr:rowOff>
                  </from>
                  <to>
                    <xdr:col>7</xdr:col>
                    <xdr:colOff>0</xdr:colOff>
                    <xdr:row>2502</xdr:row>
                    <xdr:rowOff>161925</xdr:rowOff>
                  </to>
                </anchor>
              </controlPr>
            </control>
          </mc:Choice>
        </mc:AlternateContent>
        <mc:AlternateContent xmlns:mc="http://schemas.openxmlformats.org/markup-compatibility/2006">
          <mc:Choice Requires="x14">
            <control shapeId="1463" r:id="rId1439" name="Button 439">
              <controlPr defaultSize="0" autoFill="0" autoLine="0" autoPict="0" macro="[0]!Sheet1.deleteRow">
                <anchor moveWithCells="1" sizeWithCells="1">
                  <from>
                    <xdr:col>6</xdr:col>
                    <xdr:colOff>0</xdr:colOff>
                    <xdr:row>2503</xdr:row>
                    <xdr:rowOff>0</xdr:rowOff>
                  </from>
                  <to>
                    <xdr:col>7</xdr:col>
                    <xdr:colOff>0</xdr:colOff>
                    <xdr:row>2503</xdr:row>
                    <xdr:rowOff>161925</xdr:rowOff>
                  </to>
                </anchor>
              </controlPr>
            </control>
          </mc:Choice>
        </mc:AlternateContent>
        <mc:AlternateContent xmlns:mc="http://schemas.openxmlformats.org/markup-compatibility/2006">
          <mc:Choice Requires="x14">
            <control shapeId="1462" r:id="rId1440" name="Button 438">
              <controlPr defaultSize="0" autoFill="0" autoLine="0" autoPict="0" macro="[0]!Sheet1.deleteRow">
                <anchor moveWithCells="1" sizeWithCells="1">
                  <from>
                    <xdr:col>6</xdr:col>
                    <xdr:colOff>0</xdr:colOff>
                    <xdr:row>2504</xdr:row>
                    <xdr:rowOff>0</xdr:rowOff>
                  </from>
                  <to>
                    <xdr:col>7</xdr:col>
                    <xdr:colOff>0</xdr:colOff>
                    <xdr:row>2504</xdr:row>
                    <xdr:rowOff>161925</xdr:rowOff>
                  </to>
                </anchor>
              </controlPr>
            </control>
          </mc:Choice>
        </mc:AlternateContent>
        <mc:AlternateContent xmlns:mc="http://schemas.openxmlformats.org/markup-compatibility/2006">
          <mc:Choice Requires="x14">
            <control shapeId="1461" r:id="rId1441" name="Button 437">
              <controlPr defaultSize="0" autoFill="0" autoLine="0" autoPict="0" macro="[0]!Sheet1.deleteProcedure">
                <anchor moveWithCells="1" sizeWithCells="1">
                  <from>
                    <xdr:col>6</xdr:col>
                    <xdr:colOff>0</xdr:colOff>
                    <xdr:row>2507</xdr:row>
                    <xdr:rowOff>0</xdr:rowOff>
                  </from>
                  <to>
                    <xdr:col>7</xdr:col>
                    <xdr:colOff>0</xdr:colOff>
                    <xdr:row>2508</xdr:row>
                    <xdr:rowOff>0</xdr:rowOff>
                  </to>
                </anchor>
              </controlPr>
            </control>
          </mc:Choice>
        </mc:AlternateContent>
        <mc:AlternateContent xmlns:mc="http://schemas.openxmlformats.org/markup-compatibility/2006">
          <mc:Choice Requires="x14">
            <control shapeId="1460" r:id="rId1442" name="Button 436">
              <controlPr defaultSize="0" autoFill="0" autoLine="0" autoPict="0" macro="[0]!Sheet1.InsertNewTableRow">
                <anchor moveWithCells="1" sizeWithCells="1">
                  <from>
                    <xdr:col>6</xdr:col>
                    <xdr:colOff>0</xdr:colOff>
                    <xdr:row>2514</xdr:row>
                    <xdr:rowOff>0</xdr:rowOff>
                  </from>
                  <to>
                    <xdr:col>7</xdr:col>
                    <xdr:colOff>0</xdr:colOff>
                    <xdr:row>2514</xdr:row>
                    <xdr:rowOff>38100</xdr:rowOff>
                  </to>
                </anchor>
              </controlPr>
            </control>
          </mc:Choice>
        </mc:AlternateContent>
        <mc:AlternateContent xmlns:mc="http://schemas.openxmlformats.org/markup-compatibility/2006">
          <mc:Choice Requires="x14">
            <control shapeId="1459" r:id="rId1443" name="Button 435">
              <controlPr defaultSize="0" autoFill="0" autoLine="0" autoPict="0" macro="[0]!Sheet1.deleteRow">
                <anchor moveWithCells="1" sizeWithCells="1">
                  <from>
                    <xdr:col>6</xdr:col>
                    <xdr:colOff>0</xdr:colOff>
                    <xdr:row>2515</xdr:row>
                    <xdr:rowOff>0</xdr:rowOff>
                  </from>
                  <to>
                    <xdr:col>7</xdr:col>
                    <xdr:colOff>0</xdr:colOff>
                    <xdr:row>2515</xdr:row>
                    <xdr:rowOff>161925</xdr:rowOff>
                  </to>
                </anchor>
              </controlPr>
            </control>
          </mc:Choice>
        </mc:AlternateContent>
        <mc:AlternateContent xmlns:mc="http://schemas.openxmlformats.org/markup-compatibility/2006">
          <mc:Choice Requires="x14">
            <control shapeId="1458" r:id="rId1444" name="Button 434">
              <controlPr defaultSize="0" autoFill="0" autoLine="0" autoPict="0" macro="[0]!Sheet1.deleteRow">
                <anchor moveWithCells="1" sizeWithCells="1">
                  <from>
                    <xdr:col>6</xdr:col>
                    <xdr:colOff>0</xdr:colOff>
                    <xdr:row>2516</xdr:row>
                    <xdr:rowOff>0</xdr:rowOff>
                  </from>
                  <to>
                    <xdr:col>7</xdr:col>
                    <xdr:colOff>0</xdr:colOff>
                    <xdr:row>2516</xdr:row>
                    <xdr:rowOff>161925</xdr:rowOff>
                  </to>
                </anchor>
              </controlPr>
            </control>
          </mc:Choice>
        </mc:AlternateContent>
        <mc:AlternateContent xmlns:mc="http://schemas.openxmlformats.org/markup-compatibility/2006">
          <mc:Choice Requires="x14">
            <control shapeId="1457" r:id="rId1445" name="Button 433">
              <controlPr defaultSize="0" autoFill="0" autoLine="0" autoPict="0" macro="[0]!Sheet1.deleteRow">
                <anchor moveWithCells="1" sizeWithCells="1">
                  <from>
                    <xdr:col>6</xdr:col>
                    <xdr:colOff>0</xdr:colOff>
                    <xdr:row>2517</xdr:row>
                    <xdr:rowOff>0</xdr:rowOff>
                  </from>
                  <to>
                    <xdr:col>7</xdr:col>
                    <xdr:colOff>0</xdr:colOff>
                    <xdr:row>2517</xdr:row>
                    <xdr:rowOff>161925</xdr:rowOff>
                  </to>
                </anchor>
              </controlPr>
            </control>
          </mc:Choice>
        </mc:AlternateContent>
        <mc:AlternateContent xmlns:mc="http://schemas.openxmlformats.org/markup-compatibility/2006">
          <mc:Choice Requires="x14">
            <control shapeId="1456" r:id="rId1446" name="Button 432">
              <controlPr defaultSize="0" autoFill="0" autoLine="0" autoPict="0" macro="[0]!Sheet1.deleteProcedure">
                <anchor moveWithCells="1" sizeWithCells="1">
                  <from>
                    <xdr:col>6</xdr:col>
                    <xdr:colOff>0</xdr:colOff>
                    <xdr:row>2520</xdr:row>
                    <xdr:rowOff>0</xdr:rowOff>
                  </from>
                  <to>
                    <xdr:col>7</xdr:col>
                    <xdr:colOff>0</xdr:colOff>
                    <xdr:row>2521</xdr:row>
                    <xdr:rowOff>0</xdr:rowOff>
                  </to>
                </anchor>
              </controlPr>
            </control>
          </mc:Choice>
        </mc:AlternateContent>
        <mc:AlternateContent xmlns:mc="http://schemas.openxmlformats.org/markup-compatibility/2006">
          <mc:Choice Requires="x14">
            <control shapeId="1455" r:id="rId1447" name="Button 431">
              <controlPr defaultSize="0" autoFill="0" autoLine="0" autoPict="0" macro="[0]!Sheet1.InsertNewTableRow">
                <anchor moveWithCells="1" sizeWithCells="1">
                  <from>
                    <xdr:col>6</xdr:col>
                    <xdr:colOff>0</xdr:colOff>
                    <xdr:row>2527</xdr:row>
                    <xdr:rowOff>0</xdr:rowOff>
                  </from>
                  <to>
                    <xdr:col>7</xdr:col>
                    <xdr:colOff>0</xdr:colOff>
                    <xdr:row>2527</xdr:row>
                    <xdr:rowOff>38100</xdr:rowOff>
                  </to>
                </anchor>
              </controlPr>
            </control>
          </mc:Choice>
        </mc:AlternateContent>
        <mc:AlternateContent xmlns:mc="http://schemas.openxmlformats.org/markup-compatibility/2006">
          <mc:Choice Requires="x14">
            <control shapeId="1454" r:id="rId1448" name="Button 430">
              <controlPr defaultSize="0" autoFill="0" autoLine="0" autoPict="0" macro="[0]!Sheet1.deleteRow">
                <anchor moveWithCells="1" sizeWithCells="1">
                  <from>
                    <xdr:col>6</xdr:col>
                    <xdr:colOff>0</xdr:colOff>
                    <xdr:row>2528</xdr:row>
                    <xdr:rowOff>0</xdr:rowOff>
                  </from>
                  <to>
                    <xdr:col>7</xdr:col>
                    <xdr:colOff>0</xdr:colOff>
                    <xdr:row>2528</xdr:row>
                    <xdr:rowOff>161925</xdr:rowOff>
                  </to>
                </anchor>
              </controlPr>
            </control>
          </mc:Choice>
        </mc:AlternateContent>
        <mc:AlternateContent xmlns:mc="http://schemas.openxmlformats.org/markup-compatibility/2006">
          <mc:Choice Requires="x14">
            <control shapeId="1453" r:id="rId1449" name="Button 429">
              <controlPr defaultSize="0" autoFill="0" autoLine="0" autoPict="0" macro="[0]!Sheet1.deleteProcedure">
                <anchor moveWithCells="1" sizeWithCells="1">
                  <from>
                    <xdr:col>6</xdr:col>
                    <xdr:colOff>0</xdr:colOff>
                    <xdr:row>2531</xdr:row>
                    <xdr:rowOff>0</xdr:rowOff>
                  </from>
                  <to>
                    <xdr:col>7</xdr:col>
                    <xdr:colOff>0</xdr:colOff>
                    <xdr:row>2532</xdr:row>
                    <xdr:rowOff>0</xdr:rowOff>
                  </to>
                </anchor>
              </controlPr>
            </control>
          </mc:Choice>
        </mc:AlternateContent>
        <mc:AlternateContent xmlns:mc="http://schemas.openxmlformats.org/markup-compatibility/2006">
          <mc:Choice Requires="x14">
            <control shapeId="1452" r:id="rId1450" name="Button 428">
              <controlPr defaultSize="0" autoFill="0" autoLine="0" autoPict="0" macro="[0]!Sheet1.InsertNewTableRow">
                <anchor moveWithCells="1" sizeWithCells="1">
                  <from>
                    <xdr:col>6</xdr:col>
                    <xdr:colOff>0</xdr:colOff>
                    <xdr:row>2538</xdr:row>
                    <xdr:rowOff>0</xdr:rowOff>
                  </from>
                  <to>
                    <xdr:col>7</xdr:col>
                    <xdr:colOff>0</xdr:colOff>
                    <xdr:row>2538</xdr:row>
                    <xdr:rowOff>38100</xdr:rowOff>
                  </to>
                </anchor>
              </controlPr>
            </control>
          </mc:Choice>
        </mc:AlternateContent>
        <mc:AlternateContent xmlns:mc="http://schemas.openxmlformats.org/markup-compatibility/2006">
          <mc:Choice Requires="x14">
            <control shapeId="1451" r:id="rId1451" name="Button 427">
              <controlPr defaultSize="0" autoFill="0" autoLine="0" autoPict="0" macro="[0]!Sheet1.deleteRow">
                <anchor moveWithCells="1" sizeWithCells="1">
                  <from>
                    <xdr:col>6</xdr:col>
                    <xdr:colOff>0</xdr:colOff>
                    <xdr:row>2539</xdr:row>
                    <xdr:rowOff>0</xdr:rowOff>
                  </from>
                  <to>
                    <xdr:col>7</xdr:col>
                    <xdr:colOff>0</xdr:colOff>
                    <xdr:row>2539</xdr:row>
                    <xdr:rowOff>161925</xdr:rowOff>
                  </to>
                </anchor>
              </controlPr>
            </control>
          </mc:Choice>
        </mc:AlternateContent>
        <mc:AlternateContent xmlns:mc="http://schemas.openxmlformats.org/markup-compatibility/2006">
          <mc:Choice Requires="x14">
            <control shapeId="1450" r:id="rId1452" name="Button 426">
              <controlPr defaultSize="0" autoFill="0" autoLine="0" autoPict="0" macro="[0]!Sheet1.deleteProcedure">
                <anchor moveWithCells="1" sizeWithCells="1">
                  <from>
                    <xdr:col>6</xdr:col>
                    <xdr:colOff>0</xdr:colOff>
                    <xdr:row>2542</xdr:row>
                    <xdr:rowOff>0</xdr:rowOff>
                  </from>
                  <to>
                    <xdr:col>7</xdr:col>
                    <xdr:colOff>0</xdr:colOff>
                    <xdr:row>2543</xdr:row>
                    <xdr:rowOff>0</xdr:rowOff>
                  </to>
                </anchor>
              </controlPr>
            </control>
          </mc:Choice>
        </mc:AlternateContent>
        <mc:AlternateContent xmlns:mc="http://schemas.openxmlformats.org/markup-compatibility/2006">
          <mc:Choice Requires="x14">
            <control shapeId="1449" r:id="rId1453" name="Button 425">
              <controlPr defaultSize="0" autoFill="0" autoLine="0" autoPict="0" macro="[0]!Sheet1.InsertNewTableRow">
                <anchor moveWithCells="1" sizeWithCells="1">
                  <from>
                    <xdr:col>6</xdr:col>
                    <xdr:colOff>0</xdr:colOff>
                    <xdr:row>2549</xdr:row>
                    <xdr:rowOff>0</xdr:rowOff>
                  </from>
                  <to>
                    <xdr:col>7</xdr:col>
                    <xdr:colOff>0</xdr:colOff>
                    <xdr:row>2549</xdr:row>
                    <xdr:rowOff>38100</xdr:rowOff>
                  </to>
                </anchor>
              </controlPr>
            </control>
          </mc:Choice>
        </mc:AlternateContent>
        <mc:AlternateContent xmlns:mc="http://schemas.openxmlformats.org/markup-compatibility/2006">
          <mc:Choice Requires="x14">
            <control shapeId="1448" r:id="rId1454" name="Button 424">
              <controlPr defaultSize="0" autoFill="0" autoLine="0" autoPict="0" macro="[0]!Sheet1.deleteRow">
                <anchor moveWithCells="1" sizeWithCells="1">
                  <from>
                    <xdr:col>6</xdr:col>
                    <xdr:colOff>0</xdr:colOff>
                    <xdr:row>2550</xdr:row>
                    <xdr:rowOff>0</xdr:rowOff>
                  </from>
                  <to>
                    <xdr:col>7</xdr:col>
                    <xdr:colOff>0</xdr:colOff>
                    <xdr:row>2550</xdr:row>
                    <xdr:rowOff>161925</xdr:rowOff>
                  </to>
                </anchor>
              </controlPr>
            </control>
          </mc:Choice>
        </mc:AlternateContent>
        <mc:AlternateContent xmlns:mc="http://schemas.openxmlformats.org/markup-compatibility/2006">
          <mc:Choice Requires="x14">
            <control shapeId="1447" r:id="rId1455" name="Button 423">
              <controlPr defaultSize="0" autoFill="0" autoLine="0" autoPict="0" macro="[0]!Sheet1.deleteProcedure">
                <anchor moveWithCells="1" sizeWithCells="1">
                  <from>
                    <xdr:col>6</xdr:col>
                    <xdr:colOff>0</xdr:colOff>
                    <xdr:row>2553</xdr:row>
                    <xdr:rowOff>0</xdr:rowOff>
                  </from>
                  <to>
                    <xdr:col>7</xdr:col>
                    <xdr:colOff>0</xdr:colOff>
                    <xdr:row>2554</xdr:row>
                    <xdr:rowOff>0</xdr:rowOff>
                  </to>
                </anchor>
              </controlPr>
            </control>
          </mc:Choice>
        </mc:AlternateContent>
        <mc:AlternateContent xmlns:mc="http://schemas.openxmlformats.org/markup-compatibility/2006">
          <mc:Choice Requires="x14">
            <control shapeId="1446" r:id="rId1456" name="Button 422">
              <controlPr defaultSize="0" autoFill="0" autoLine="0" autoPict="0" macro="[0]!Sheet1.InsertNewTableRow">
                <anchor moveWithCells="1" sizeWithCells="1">
                  <from>
                    <xdr:col>6</xdr:col>
                    <xdr:colOff>0</xdr:colOff>
                    <xdr:row>2560</xdr:row>
                    <xdr:rowOff>0</xdr:rowOff>
                  </from>
                  <to>
                    <xdr:col>7</xdr:col>
                    <xdr:colOff>0</xdr:colOff>
                    <xdr:row>2560</xdr:row>
                    <xdr:rowOff>38100</xdr:rowOff>
                  </to>
                </anchor>
              </controlPr>
            </control>
          </mc:Choice>
        </mc:AlternateContent>
        <mc:AlternateContent xmlns:mc="http://schemas.openxmlformats.org/markup-compatibility/2006">
          <mc:Choice Requires="x14">
            <control shapeId="1445" r:id="rId1457" name="Button 421">
              <controlPr defaultSize="0" autoFill="0" autoLine="0" autoPict="0" macro="[0]!Sheet1.deleteRow">
                <anchor moveWithCells="1" sizeWithCells="1">
                  <from>
                    <xdr:col>6</xdr:col>
                    <xdr:colOff>0</xdr:colOff>
                    <xdr:row>2561</xdr:row>
                    <xdr:rowOff>0</xdr:rowOff>
                  </from>
                  <to>
                    <xdr:col>7</xdr:col>
                    <xdr:colOff>0</xdr:colOff>
                    <xdr:row>2561</xdr:row>
                    <xdr:rowOff>161925</xdr:rowOff>
                  </to>
                </anchor>
              </controlPr>
            </control>
          </mc:Choice>
        </mc:AlternateContent>
        <mc:AlternateContent xmlns:mc="http://schemas.openxmlformats.org/markup-compatibility/2006">
          <mc:Choice Requires="x14">
            <control shapeId="1444" r:id="rId1458" name="Button 420">
              <controlPr defaultSize="0" autoFill="0" autoLine="0" autoPict="0" macro="[0]!Sheet1.deleteRow">
                <anchor moveWithCells="1" sizeWithCells="1">
                  <from>
                    <xdr:col>6</xdr:col>
                    <xdr:colOff>0</xdr:colOff>
                    <xdr:row>2562</xdr:row>
                    <xdr:rowOff>0</xdr:rowOff>
                  </from>
                  <to>
                    <xdr:col>7</xdr:col>
                    <xdr:colOff>0</xdr:colOff>
                    <xdr:row>2562</xdr:row>
                    <xdr:rowOff>161925</xdr:rowOff>
                  </to>
                </anchor>
              </controlPr>
            </control>
          </mc:Choice>
        </mc:AlternateContent>
        <mc:AlternateContent xmlns:mc="http://schemas.openxmlformats.org/markup-compatibility/2006">
          <mc:Choice Requires="x14">
            <control shapeId="1443" r:id="rId1459" name="Button 419">
              <controlPr defaultSize="0" autoFill="0" autoLine="0" autoPict="0" macro="[0]!Sheet1.deleteRow">
                <anchor moveWithCells="1" sizeWithCells="1">
                  <from>
                    <xdr:col>6</xdr:col>
                    <xdr:colOff>0</xdr:colOff>
                    <xdr:row>2563</xdr:row>
                    <xdr:rowOff>0</xdr:rowOff>
                  </from>
                  <to>
                    <xdr:col>7</xdr:col>
                    <xdr:colOff>0</xdr:colOff>
                    <xdr:row>2563</xdr:row>
                    <xdr:rowOff>161925</xdr:rowOff>
                  </to>
                </anchor>
              </controlPr>
            </control>
          </mc:Choice>
        </mc:AlternateContent>
        <mc:AlternateContent xmlns:mc="http://schemas.openxmlformats.org/markup-compatibility/2006">
          <mc:Choice Requires="x14">
            <control shapeId="1442" r:id="rId1460" name="Button 418">
              <controlPr defaultSize="0" autoFill="0" autoLine="0" autoPict="0" macro="[0]!Sheet1.deleteProcedure">
                <anchor moveWithCells="1" sizeWithCells="1">
                  <from>
                    <xdr:col>6</xdr:col>
                    <xdr:colOff>0</xdr:colOff>
                    <xdr:row>2566</xdr:row>
                    <xdr:rowOff>0</xdr:rowOff>
                  </from>
                  <to>
                    <xdr:col>7</xdr:col>
                    <xdr:colOff>0</xdr:colOff>
                    <xdr:row>2567</xdr:row>
                    <xdr:rowOff>0</xdr:rowOff>
                  </to>
                </anchor>
              </controlPr>
            </control>
          </mc:Choice>
        </mc:AlternateContent>
        <mc:AlternateContent xmlns:mc="http://schemas.openxmlformats.org/markup-compatibility/2006">
          <mc:Choice Requires="x14">
            <control shapeId="1441" r:id="rId1461" name="Button 417">
              <controlPr defaultSize="0" autoFill="0" autoLine="0" autoPict="0" macro="[0]!Sheet1.InsertNewTableRow">
                <anchor moveWithCells="1" sizeWithCells="1">
                  <from>
                    <xdr:col>6</xdr:col>
                    <xdr:colOff>0</xdr:colOff>
                    <xdr:row>2573</xdr:row>
                    <xdr:rowOff>0</xdr:rowOff>
                  </from>
                  <to>
                    <xdr:col>7</xdr:col>
                    <xdr:colOff>0</xdr:colOff>
                    <xdr:row>2573</xdr:row>
                    <xdr:rowOff>38100</xdr:rowOff>
                  </to>
                </anchor>
              </controlPr>
            </control>
          </mc:Choice>
        </mc:AlternateContent>
        <mc:AlternateContent xmlns:mc="http://schemas.openxmlformats.org/markup-compatibility/2006">
          <mc:Choice Requires="x14">
            <control shapeId="1440" r:id="rId1462" name="Button 416">
              <controlPr defaultSize="0" autoFill="0" autoLine="0" autoPict="0" macro="[0]!Sheet1.deleteRow">
                <anchor moveWithCells="1" sizeWithCells="1">
                  <from>
                    <xdr:col>6</xdr:col>
                    <xdr:colOff>0</xdr:colOff>
                    <xdr:row>2574</xdr:row>
                    <xdr:rowOff>0</xdr:rowOff>
                  </from>
                  <to>
                    <xdr:col>7</xdr:col>
                    <xdr:colOff>0</xdr:colOff>
                    <xdr:row>2574</xdr:row>
                    <xdr:rowOff>161925</xdr:rowOff>
                  </to>
                </anchor>
              </controlPr>
            </control>
          </mc:Choice>
        </mc:AlternateContent>
        <mc:AlternateContent xmlns:mc="http://schemas.openxmlformats.org/markup-compatibility/2006">
          <mc:Choice Requires="x14">
            <control shapeId="1439" r:id="rId1463" name="Button 415">
              <controlPr defaultSize="0" autoFill="0" autoLine="0" autoPict="0" macro="[0]!Sheet1.deleteProcedure">
                <anchor moveWithCells="1" sizeWithCells="1">
                  <from>
                    <xdr:col>6</xdr:col>
                    <xdr:colOff>0</xdr:colOff>
                    <xdr:row>2577</xdr:row>
                    <xdr:rowOff>0</xdr:rowOff>
                  </from>
                  <to>
                    <xdr:col>7</xdr:col>
                    <xdr:colOff>0</xdr:colOff>
                    <xdr:row>2578</xdr:row>
                    <xdr:rowOff>0</xdr:rowOff>
                  </to>
                </anchor>
              </controlPr>
            </control>
          </mc:Choice>
        </mc:AlternateContent>
        <mc:AlternateContent xmlns:mc="http://schemas.openxmlformats.org/markup-compatibility/2006">
          <mc:Choice Requires="x14">
            <control shapeId="1438" r:id="rId1464" name="Button 414">
              <controlPr defaultSize="0" autoFill="0" autoLine="0" autoPict="0" macro="[0]!Sheet1.InsertNewTableRow">
                <anchor moveWithCells="1" sizeWithCells="1">
                  <from>
                    <xdr:col>6</xdr:col>
                    <xdr:colOff>0</xdr:colOff>
                    <xdr:row>2584</xdr:row>
                    <xdr:rowOff>0</xdr:rowOff>
                  </from>
                  <to>
                    <xdr:col>7</xdr:col>
                    <xdr:colOff>0</xdr:colOff>
                    <xdr:row>2584</xdr:row>
                    <xdr:rowOff>38100</xdr:rowOff>
                  </to>
                </anchor>
              </controlPr>
            </control>
          </mc:Choice>
        </mc:AlternateContent>
        <mc:AlternateContent xmlns:mc="http://schemas.openxmlformats.org/markup-compatibility/2006">
          <mc:Choice Requires="x14">
            <control shapeId="1437" r:id="rId1465" name="Button 413">
              <controlPr defaultSize="0" autoFill="0" autoLine="0" autoPict="0" macro="[0]!Sheet1.deleteRow">
                <anchor moveWithCells="1" sizeWithCells="1">
                  <from>
                    <xdr:col>6</xdr:col>
                    <xdr:colOff>0</xdr:colOff>
                    <xdr:row>2585</xdr:row>
                    <xdr:rowOff>0</xdr:rowOff>
                  </from>
                  <to>
                    <xdr:col>7</xdr:col>
                    <xdr:colOff>0</xdr:colOff>
                    <xdr:row>2585</xdr:row>
                    <xdr:rowOff>161925</xdr:rowOff>
                  </to>
                </anchor>
              </controlPr>
            </control>
          </mc:Choice>
        </mc:AlternateContent>
        <mc:AlternateContent xmlns:mc="http://schemas.openxmlformats.org/markup-compatibility/2006">
          <mc:Choice Requires="x14">
            <control shapeId="1436" r:id="rId1466" name="Button 412">
              <controlPr defaultSize="0" autoFill="0" autoLine="0" autoPict="0" macro="[0]!Sheet1.deleteRow">
                <anchor moveWithCells="1" sizeWithCells="1">
                  <from>
                    <xdr:col>6</xdr:col>
                    <xdr:colOff>0</xdr:colOff>
                    <xdr:row>2586</xdr:row>
                    <xdr:rowOff>0</xdr:rowOff>
                  </from>
                  <to>
                    <xdr:col>7</xdr:col>
                    <xdr:colOff>0</xdr:colOff>
                    <xdr:row>2586</xdr:row>
                    <xdr:rowOff>161925</xdr:rowOff>
                  </to>
                </anchor>
              </controlPr>
            </control>
          </mc:Choice>
        </mc:AlternateContent>
        <mc:AlternateContent xmlns:mc="http://schemas.openxmlformats.org/markup-compatibility/2006">
          <mc:Choice Requires="x14">
            <control shapeId="1435" r:id="rId1467" name="Button 411">
              <controlPr defaultSize="0" autoFill="0" autoLine="0" autoPict="0" macro="[0]!Sheet1.deleteProcedure">
                <anchor moveWithCells="1" sizeWithCells="1">
                  <from>
                    <xdr:col>6</xdr:col>
                    <xdr:colOff>0</xdr:colOff>
                    <xdr:row>2589</xdr:row>
                    <xdr:rowOff>0</xdr:rowOff>
                  </from>
                  <to>
                    <xdr:col>7</xdr:col>
                    <xdr:colOff>0</xdr:colOff>
                    <xdr:row>2590</xdr:row>
                    <xdr:rowOff>0</xdr:rowOff>
                  </to>
                </anchor>
              </controlPr>
            </control>
          </mc:Choice>
        </mc:AlternateContent>
        <mc:AlternateContent xmlns:mc="http://schemas.openxmlformats.org/markup-compatibility/2006">
          <mc:Choice Requires="x14">
            <control shapeId="1434" r:id="rId1468" name="Button 410">
              <controlPr defaultSize="0" autoFill="0" autoLine="0" autoPict="0" macro="[0]!Sheet1.InsertNewTableRow">
                <anchor moveWithCells="1" sizeWithCells="1">
                  <from>
                    <xdr:col>6</xdr:col>
                    <xdr:colOff>0</xdr:colOff>
                    <xdr:row>2596</xdr:row>
                    <xdr:rowOff>0</xdr:rowOff>
                  </from>
                  <to>
                    <xdr:col>7</xdr:col>
                    <xdr:colOff>0</xdr:colOff>
                    <xdr:row>2596</xdr:row>
                    <xdr:rowOff>38100</xdr:rowOff>
                  </to>
                </anchor>
              </controlPr>
            </control>
          </mc:Choice>
        </mc:AlternateContent>
        <mc:AlternateContent xmlns:mc="http://schemas.openxmlformats.org/markup-compatibility/2006">
          <mc:Choice Requires="x14">
            <control shapeId="1433" r:id="rId1469" name="Button 409">
              <controlPr defaultSize="0" autoFill="0" autoLine="0" autoPict="0" macro="[0]!Sheet1.deleteRow">
                <anchor moveWithCells="1" sizeWithCells="1">
                  <from>
                    <xdr:col>6</xdr:col>
                    <xdr:colOff>0</xdr:colOff>
                    <xdr:row>2597</xdr:row>
                    <xdr:rowOff>0</xdr:rowOff>
                  </from>
                  <to>
                    <xdr:col>7</xdr:col>
                    <xdr:colOff>0</xdr:colOff>
                    <xdr:row>2597</xdr:row>
                    <xdr:rowOff>161925</xdr:rowOff>
                  </to>
                </anchor>
              </controlPr>
            </control>
          </mc:Choice>
        </mc:AlternateContent>
        <mc:AlternateContent xmlns:mc="http://schemas.openxmlformats.org/markup-compatibility/2006">
          <mc:Choice Requires="x14">
            <control shapeId="1432" r:id="rId1470" name="Button 408">
              <controlPr defaultSize="0" autoFill="0" autoLine="0" autoPict="0" macro="[0]!Sheet1.deleteRow">
                <anchor moveWithCells="1" sizeWithCells="1">
                  <from>
                    <xdr:col>6</xdr:col>
                    <xdr:colOff>0</xdr:colOff>
                    <xdr:row>2598</xdr:row>
                    <xdr:rowOff>0</xdr:rowOff>
                  </from>
                  <to>
                    <xdr:col>7</xdr:col>
                    <xdr:colOff>0</xdr:colOff>
                    <xdr:row>2598</xdr:row>
                    <xdr:rowOff>161925</xdr:rowOff>
                  </to>
                </anchor>
              </controlPr>
            </control>
          </mc:Choice>
        </mc:AlternateContent>
        <mc:AlternateContent xmlns:mc="http://schemas.openxmlformats.org/markup-compatibility/2006">
          <mc:Choice Requires="x14">
            <control shapeId="1431" r:id="rId1471" name="Button 407">
              <controlPr defaultSize="0" autoFill="0" autoLine="0" autoPict="0" macro="[0]!Sheet1.deleteRow">
                <anchor moveWithCells="1" sizeWithCells="1">
                  <from>
                    <xdr:col>6</xdr:col>
                    <xdr:colOff>0</xdr:colOff>
                    <xdr:row>2599</xdr:row>
                    <xdr:rowOff>0</xdr:rowOff>
                  </from>
                  <to>
                    <xdr:col>7</xdr:col>
                    <xdr:colOff>0</xdr:colOff>
                    <xdr:row>2599</xdr:row>
                    <xdr:rowOff>161925</xdr:rowOff>
                  </to>
                </anchor>
              </controlPr>
            </control>
          </mc:Choice>
        </mc:AlternateContent>
        <mc:AlternateContent xmlns:mc="http://schemas.openxmlformats.org/markup-compatibility/2006">
          <mc:Choice Requires="x14">
            <control shapeId="1430" r:id="rId1472" name="Button 406">
              <controlPr defaultSize="0" autoFill="0" autoLine="0" autoPict="0" macro="[0]!Sheet1.deleteRow">
                <anchor moveWithCells="1" sizeWithCells="1">
                  <from>
                    <xdr:col>6</xdr:col>
                    <xdr:colOff>0</xdr:colOff>
                    <xdr:row>2600</xdr:row>
                    <xdr:rowOff>0</xdr:rowOff>
                  </from>
                  <to>
                    <xdr:col>7</xdr:col>
                    <xdr:colOff>0</xdr:colOff>
                    <xdr:row>2600</xdr:row>
                    <xdr:rowOff>161925</xdr:rowOff>
                  </to>
                </anchor>
              </controlPr>
            </control>
          </mc:Choice>
        </mc:AlternateContent>
        <mc:AlternateContent xmlns:mc="http://schemas.openxmlformats.org/markup-compatibility/2006">
          <mc:Choice Requires="x14">
            <control shapeId="1429" r:id="rId1473" name="Button 405">
              <controlPr defaultSize="0" autoFill="0" autoLine="0" autoPict="0" macro="[0]!Sheet1.deleteRow">
                <anchor moveWithCells="1" sizeWithCells="1">
                  <from>
                    <xdr:col>6</xdr:col>
                    <xdr:colOff>0</xdr:colOff>
                    <xdr:row>2601</xdr:row>
                    <xdr:rowOff>0</xdr:rowOff>
                  </from>
                  <to>
                    <xdr:col>7</xdr:col>
                    <xdr:colOff>0</xdr:colOff>
                    <xdr:row>2601</xdr:row>
                    <xdr:rowOff>161925</xdr:rowOff>
                  </to>
                </anchor>
              </controlPr>
            </control>
          </mc:Choice>
        </mc:AlternateContent>
        <mc:AlternateContent xmlns:mc="http://schemas.openxmlformats.org/markup-compatibility/2006">
          <mc:Choice Requires="x14">
            <control shapeId="1428" r:id="rId1474" name="Button 404">
              <controlPr defaultSize="0" autoFill="0" autoLine="0" autoPict="0" macro="[0]!Sheet1.deleteRow">
                <anchor moveWithCells="1" sizeWithCells="1">
                  <from>
                    <xdr:col>6</xdr:col>
                    <xdr:colOff>0</xdr:colOff>
                    <xdr:row>2602</xdr:row>
                    <xdr:rowOff>0</xdr:rowOff>
                  </from>
                  <to>
                    <xdr:col>7</xdr:col>
                    <xdr:colOff>0</xdr:colOff>
                    <xdr:row>2602</xdr:row>
                    <xdr:rowOff>161925</xdr:rowOff>
                  </to>
                </anchor>
              </controlPr>
            </control>
          </mc:Choice>
        </mc:AlternateContent>
        <mc:AlternateContent xmlns:mc="http://schemas.openxmlformats.org/markup-compatibility/2006">
          <mc:Choice Requires="x14">
            <control shapeId="1427" r:id="rId1475" name="Button 403">
              <controlPr defaultSize="0" autoFill="0" autoLine="0" autoPict="0" macro="[0]!Sheet1.deleteRow">
                <anchor moveWithCells="1" sizeWithCells="1">
                  <from>
                    <xdr:col>6</xdr:col>
                    <xdr:colOff>0</xdr:colOff>
                    <xdr:row>2603</xdr:row>
                    <xdr:rowOff>0</xdr:rowOff>
                  </from>
                  <to>
                    <xdr:col>7</xdr:col>
                    <xdr:colOff>0</xdr:colOff>
                    <xdr:row>2603</xdr:row>
                    <xdr:rowOff>161925</xdr:rowOff>
                  </to>
                </anchor>
              </controlPr>
            </control>
          </mc:Choice>
        </mc:AlternateContent>
        <mc:AlternateContent xmlns:mc="http://schemas.openxmlformats.org/markup-compatibility/2006">
          <mc:Choice Requires="x14">
            <control shapeId="1426" r:id="rId1476" name="Button 402">
              <controlPr defaultSize="0" autoFill="0" autoLine="0" autoPict="0" macro="[0]!Sheet1.deleteRow">
                <anchor moveWithCells="1" sizeWithCells="1">
                  <from>
                    <xdr:col>6</xdr:col>
                    <xdr:colOff>0</xdr:colOff>
                    <xdr:row>2604</xdr:row>
                    <xdr:rowOff>0</xdr:rowOff>
                  </from>
                  <to>
                    <xdr:col>7</xdr:col>
                    <xdr:colOff>0</xdr:colOff>
                    <xdr:row>2604</xdr:row>
                    <xdr:rowOff>161925</xdr:rowOff>
                  </to>
                </anchor>
              </controlPr>
            </control>
          </mc:Choice>
        </mc:AlternateContent>
        <mc:AlternateContent xmlns:mc="http://schemas.openxmlformats.org/markup-compatibility/2006">
          <mc:Choice Requires="x14">
            <control shapeId="1425" r:id="rId1477" name="Button 401">
              <controlPr defaultSize="0" autoFill="0" autoLine="0" autoPict="0" macro="[0]!Sheet1.deleteRow">
                <anchor moveWithCells="1" sizeWithCells="1">
                  <from>
                    <xdr:col>6</xdr:col>
                    <xdr:colOff>0</xdr:colOff>
                    <xdr:row>2605</xdr:row>
                    <xdr:rowOff>0</xdr:rowOff>
                  </from>
                  <to>
                    <xdr:col>7</xdr:col>
                    <xdr:colOff>0</xdr:colOff>
                    <xdr:row>2605</xdr:row>
                    <xdr:rowOff>161925</xdr:rowOff>
                  </to>
                </anchor>
              </controlPr>
            </control>
          </mc:Choice>
        </mc:AlternateContent>
        <mc:AlternateContent xmlns:mc="http://schemas.openxmlformats.org/markup-compatibility/2006">
          <mc:Choice Requires="x14">
            <control shapeId="1424" r:id="rId1478" name="Button 400">
              <controlPr defaultSize="0" autoFill="0" autoLine="0" autoPict="0" macro="[0]!Sheet1.deleteRow">
                <anchor moveWithCells="1" sizeWithCells="1">
                  <from>
                    <xdr:col>6</xdr:col>
                    <xdr:colOff>0</xdr:colOff>
                    <xdr:row>2606</xdr:row>
                    <xdr:rowOff>0</xdr:rowOff>
                  </from>
                  <to>
                    <xdr:col>7</xdr:col>
                    <xdr:colOff>0</xdr:colOff>
                    <xdr:row>2606</xdr:row>
                    <xdr:rowOff>161925</xdr:rowOff>
                  </to>
                </anchor>
              </controlPr>
            </control>
          </mc:Choice>
        </mc:AlternateContent>
        <mc:AlternateContent xmlns:mc="http://schemas.openxmlformats.org/markup-compatibility/2006">
          <mc:Choice Requires="x14">
            <control shapeId="1423" r:id="rId1479" name="Button 399">
              <controlPr defaultSize="0" autoFill="0" autoLine="0" autoPict="0" macro="[0]!Sheet1.deleteProcedure">
                <anchor moveWithCells="1" sizeWithCells="1">
                  <from>
                    <xdr:col>6</xdr:col>
                    <xdr:colOff>0</xdr:colOff>
                    <xdr:row>2609</xdr:row>
                    <xdr:rowOff>0</xdr:rowOff>
                  </from>
                  <to>
                    <xdr:col>7</xdr:col>
                    <xdr:colOff>0</xdr:colOff>
                    <xdr:row>2610</xdr:row>
                    <xdr:rowOff>0</xdr:rowOff>
                  </to>
                </anchor>
              </controlPr>
            </control>
          </mc:Choice>
        </mc:AlternateContent>
        <mc:AlternateContent xmlns:mc="http://schemas.openxmlformats.org/markup-compatibility/2006">
          <mc:Choice Requires="x14">
            <control shapeId="1422" r:id="rId1480" name="Button 398">
              <controlPr defaultSize="0" autoFill="0" autoLine="0" autoPict="0" macro="[0]!Sheet1.InsertNewTableRow">
                <anchor moveWithCells="1" sizeWithCells="1">
                  <from>
                    <xdr:col>6</xdr:col>
                    <xdr:colOff>0</xdr:colOff>
                    <xdr:row>2616</xdr:row>
                    <xdr:rowOff>0</xdr:rowOff>
                  </from>
                  <to>
                    <xdr:col>7</xdr:col>
                    <xdr:colOff>0</xdr:colOff>
                    <xdr:row>2616</xdr:row>
                    <xdr:rowOff>38100</xdr:rowOff>
                  </to>
                </anchor>
              </controlPr>
            </control>
          </mc:Choice>
        </mc:AlternateContent>
        <mc:AlternateContent xmlns:mc="http://schemas.openxmlformats.org/markup-compatibility/2006">
          <mc:Choice Requires="x14">
            <control shapeId="1421" r:id="rId1481" name="Button 397">
              <controlPr defaultSize="0" autoFill="0" autoLine="0" autoPict="0" macro="[0]!Sheet1.deleteRow">
                <anchor moveWithCells="1" sizeWithCells="1">
                  <from>
                    <xdr:col>6</xdr:col>
                    <xdr:colOff>0</xdr:colOff>
                    <xdr:row>2617</xdr:row>
                    <xdr:rowOff>0</xdr:rowOff>
                  </from>
                  <to>
                    <xdr:col>7</xdr:col>
                    <xdr:colOff>0</xdr:colOff>
                    <xdr:row>2617</xdr:row>
                    <xdr:rowOff>161925</xdr:rowOff>
                  </to>
                </anchor>
              </controlPr>
            </control>
          </mc:Choice>
        </mc:AlternateContent>
        <mc:AlternateContent xmlns:mc="http://schemas.openxmlformats.org/markup-compatibility/2006">
          <mc:Choice Requires="x14">
            <control shapeId="1420" r:id="rId1482" name="Button 396">
              <controlPr defaultSize="0" autoFill="0" autoLine="0" autoPict="0" macro="[0]!Sheet1.deleteRow">
                <anchor moveWithCells="1" sizeWithCells="1">
                  <from>
                    <xdr:col>6</xdr:col>
                    <xdr:colOff>0</xdr:colOff>
                    <xdr:row>2618</xdr:row>
                    <xdr:rowOff>0</xdr:rowOff>
                  </from>
                  <to>
                    <xdr:col>7</xdr:col>
                    <xdr:colOff>0</xdr:colOff>
                    <xdr:row>2618</xdr:row>
                    <xdr:rowOff>161925</xdr:rowOff>
                  </to>
                </anchor>
              </controlPr>
            </control>
          </mc:Choice>
        </mc:AlternateContent>
        <mc:AlternateContent xmlns:mc="http://schemas.openxmlformats.org/markup-compatibility/2006">
          <mc:Choice Requires="x14">
            <control shapeId="1419" r:id="rId1483" name="Button 395">
              <controlPr defaultSize="0" autoFill="0" autoLine="0" autoPict="0" macro="[0]!Sheet1.deleteRow">
                <anchor moveWithCells="1" sizeWithCells="1">
                  <from>
                    <xdr:col>6</xdr:col>
                    <xdr:colOff>0</xdr:colOff>
                    <xdr:row>2619</xdr:row>
                    <xdr:rowOff>0</xdr:rowOff>
                  </from>
                  <to>
                    <xdr:col>7</xdr:col>
                    <xdr:colOff>0</xdr:colOff>
                    <xdr:row>2619</xdr:row>
                    <xdr:rowOff>161925</xdr:rowOff>
                  </to>
                </anchor>
              </controlPr>
            </control>
          </mc:Choice>
        </mc:AlternateContent>
        <mc:AlternateContent xmlns:mc="http://schemas.openxmlformats.org/markup-compatibility/2006">
          <mc:Choice Requires="x14">
            <control shapeId="1418" r:id="rId1484" name="Button 394">
              <controlPr defaultSize="0" autoFill="0" autoLine="0" autoPict="0" macro="[0]!Sheet1.deleteRow">
                <anchor moveWithCells="1" sizeWithCells="1">
                  <from>
                    <xdr:col>6</xdr:col>
                    <xdr:colOff>0</xdr:colOff>
                    <xdr:row>2620</xdr:row>
                    <xdr:rowOff>0</xdr:rowOff>
                  </from>
                  <to>
                    <xdr:col>7</xdr:col>
                    <xdr:colOff>0</xdr:colOff>
                    <xdr:row>2620</xdr:row>
                    <xdr:rowOff>161925</xdr:rowOff>
                  </to>
                </anchor>
              </controlPr>
            </control>
          </mc:Choice>
        </mc:AlternateContent>
        <mc:AlternateContent xmlns:mc="http://schemas.openxmlformats.org/markup-compatibility/2006">
          <mc:Choice Requires="x14">
            <control shapeId="1417" r:id="rId1485" name="Button 393">
              <controlPr defaultSize="0" autoFill="0" autoLine="0" autoPict="0" macro="[0]!Sheet1.deleteRow">
                <anchor moveWithCells="1" sizeWithCells="1">
                  <from>
                    <xdr:col>6</xdr:col>
                    <xdr:colOff>0</xdr:colOff>
                    <xdr:row>2621</xdr:row>
                    <xdr:rowOff>0</xdr:rowOff>
                  </from>
                  <to>
                    <xdr:col>7</xdr:col>
                    <xdr:colOff>0</xdr:colOff>
                    <xdr:row>2621</xdr:row>
                    <xdr:rowOff>161925</xdr:rowOff>
                  </to>
                </anchor>
              </controlPr>
            </control>
          </mc:Choice>
        </mc:AlternateContent>
        <mc:AlternateContent xmlns:mc="http://schemas.openxmlformats.org/markup-compatibility/2006">
          <mc:Choice Requires="x14">
            <control shapeId="1416" r:id="rId1486" name="Button 392">
              <controlPr defaultSize="0" autoFill="0" autoLine="0" autoPict="0" macro="[0]!Sheet1.deleteRow">
                <anchor moveWithCells="1" sizeWithCells="1">
                  <from>
                    <xdr:col>6</xdr:col>
                    <xdr:colOff>0</xdr:colOff>
                    <xdr:row>2622</xdr:row>
                    <xdr:rowOff>0</xdr:rowOff>
                  </from>
                  <to>
                    <xdr:col>7</xdr:col>
                    <xdr:colOff>0</xdr:colOff>
                    <xdr:row>2622</xdr:row>
                    <xdr:rowOff>161925</xdr:rowOff>
                  </to>
                </anchor>
              </controlPr>
            </control>
          </mc:Choice>
        </mc:AlternateContent>
        <mc:AlternateContent xmlns:mc="http://schemas.openxmlformats.org/markup-compatibility/2006">
          <mc:Choice Requires="x14">
            <control shapeId="1415" r:id="rId1487" name="Button 391">
              <controlPr defaultSize="0" autoFill="0" autoLine="0" autoPict="0" macro="[0]!Sheet1.deleteRow">
                <anchor moveWithCells="1" sizeWithCells="1">
                  <from>
                    <xdr:col>6</xdr:col>
                    <xdr:colOff>0</xdr:colOff>
                    <xdr:row>2623</xdr:row>
                    <xdr:rowOff>0</xdr:rowOff>
                  </from>
                  <to>
                    <xdr:col>7</xdr:col>
                    <xdr:colOff>0</xdr:colOff>
                    <xdr:row>2623</xdr:row>
                    <xdr:rowOff>161925</xdr:rowOff>
                  </to>
                </anchor>
              </controlPr>
            </control>
          </mc:Choice>
        </mc:AlternateContent>
        <mc:AlternateContent xmlns:mc="http://schemas.openxmlformats.org/markup-compatibility/2006">
          <mc:Choice Requires="x14">
            <control shapeId="1414" r:id="rId1488" name="Button 390">
              <controlPr defaultSize="0" autoFill="0" autoLine="0" autoPict="0" macro="[0]!Sheet1.deleteRow">
                <anchor moveWithCells="1" sizeWithCells="1">
                  <from>
                    <xdr:col>6</xdr:col>
                    <xdr:colOff>0</xdr:colOff>
                    <xdr:row>2624</xdr:row>
                    <xdr:rowOff>0</xdr:rowOff>
                  </from>
                  <to>
                    <xdr:col>7</xdr:col>
                    <xdr:colOff>0</xdr:colOff>
                    <xdr:row>2624</xdr:row>
                    <xdr:rowOff>161925</xdr:rowOff>
                  </to>
                </anchor>
              </controlPr>
            </control>
          </mc:Choice>
        </mc:AlternateContent>
        <mc:AlternateContent xmlns:mc="http://schemas.openxmlformats.org/markup-compatibility/2006">
          <mc:Choice Requires="x14">
            <control shapeId="1413" r:id="rId1489" name="Button 389">
              <controlPr defaultSize="0" autoFill="0" autoLine="0" autoPict="0" macro="[0]!Sheet1.deleteRow">
                <anchor moveWithCells="1" sizeWithCells="1">
                  <from>
                    <xdr:col>6</xdr:col>
                    <xdr:colOff>0</xdr:colOff>
                    <xdr:row>2625</xdr:row>
                    <xdr:rowOff>0</xdr:rowOff>
                  </from>
                  <to>
                    <xdr:col>7</xdr:col>
                    <xdr:colOff>0</xdr:colOff>
                    <xdr:row>2625</xdr:row>
                    <xdr:rowOff>161925</xdr:rowOff>
                  </to>
                </anchor>
              </controlPr>
            </control>
          </mc:Choice>
        </mc:AlternateContent>
        <mc:AlternateContent xmlns:mc="http://schemas.openxmlformats.org/markup-compatibility/2006">
          <mc:Choice Requires="x14">
            <control shapeId="1412" r:id="rId1490" name="Button 388">
              <controlPr defaultSize="0" autoFill="0" autoLine="0" autoPict="0" macro="[0]!Sheet1.deleteRow">
                <anchor moveWithCells="1" sizeWithCells="1">
                  <from>
                    <xdr:col>6</xdr:col>
                    <xdr:colOff>0</xdr:colOff>
                    <xdr:row>2626</xdr:row>
                    <xdr:rowOff>0</xdr:rowOff>
                  </from>
                  <to>
                    <xdr:col>7</xdr:col>
                    <xdr:colOff>0</xdr:colOff>
                    <xdr:row>2626</xdr:row>
                    <xdr:rowOff>161925</xdr:rowOff>
                  </to>
                </anchor>
              </controlPr>
            </control>
          </mc:Choice>
        </mc:AlternateContent>
        <mc:AlternateContent xmlns:mc="http://schemas.openxmlformats.org/markup-compatibility/2006">
          <mc:Choice Requires="x14">
            <control shapeId="1411" r:id="rId1491" name="Button 387">
              <controlPr defaultSize="0" autoFill="0" autoLine="0" autoPict="0" macro="[0]!Sheet1.deleteRow">
                <anchor moveWithCells="1" sizeWithCells="1">
                  <from>
                    <xdr:col>6</xdr:col>
                    <xdr:colOff>0</xdr:colOff>
                    <xdr:row>2627</xdr:row>
                    <xdr:rowOff>0</xdr:rowOff>
                  </from>
                  <to>
                    <xdr:col>7</xdr:col>
                    <xdr:colOff>0</xdr:colOff>
                    <xdr:row>2627</xdr:row>
                    <xdr:rowOff>161925</xdr:rowOff>
                  </to>
                </anchor>
              </controlPr>
            </control>
          </mc:Choice>
        </mc:AlternateContent>
        <mc:AlternateContent xmlns:mc="http://schemas.openxmlformats.org/markup-compatibility/2006">
          <mc:Choice Requires="x14">
            <control shapeId="1410" r:id="rId1492" name="Button 386">
              <controlPr defaultSize="0" autoFill="0" autoLine="0" autoPict="0" macro="[0]!Sheet1.deleteRow">
                <anchor moveWithCells="1" sizeWithCells="1">
                  <from>
                    <xdr:col>6</xdr:col>
                    <xdr:colOff>0</xdr:colOff>
                    <xdr:row>2628</xdr:row>
                    <xdr:rowOff>0</xdr:rowOff>
                  </from>
                  <to>
                    <xdr:col>7</xdr:col>
                    <xdr:colOff>0</xdr:colOff>
                    <xdr:row>2628</xdr:row>
                    <xdr:rowOff>161925</xdr:rowOff>
                  </to>
                </anchor>
              </controlPr>
            </control>
          </mc:Choice>
        </mc:AlternateContent>
        <mc:AlternateContent xmlns:mc="http://schemas.openxmlformats.org/markup-compatibility/2006">
          <mc:Choice Requires="x14">
            <control shapeId="1409" r:id="rId1493" name="Button 385">
              <controlPr defaultSize="0" autoFill="0" autoLine="0" autoPict="0" macro="[0]!Sheet1.deleteRow">
                <anchor moveWithCells="1" sizeWithCells="1">
                  <from>
                    <xdr:col>6</xdr:col>
                    <xdr:colOff>0</xdr:colOff>
                    <xdr:row>2629</xdr:row>
                    <xdr:rowOff>0</xdr:rowOff>
                  </from>
                  <to>
                    <xdr:col>7</xdr:col>
                    <xdr:colOff>0</xdr:colOff>
                    <xdr:row>2629</xdr:row>
                    <xdr:rowOff>161925</xdr:rowOff>
                  </to>
                </anchor>
              </controlPr>
            </control>
          </mc:Choice>
        </mc:AlternateContent>
        <mc:AlternateContent xmlns:mc="http://schemas.openxmlformats.org/markup-compatibility/2006">
          <mc:Choice Requires="x14">
            <control shapeId="1408" r:id="rId1494" name="Button 384">
              <controlPr defaultSize="0" autoFill="0" autoLine="0" autoPict="0" macro="[0]!Sheet1.deleteRow">
                <anchor moveWithCells="1" sizeWithCells="1">
                  <from>
                    <xdr:col>6</xdr:col>
                    <xdr:colOff>0</xdr:colOff>
                    <xdr:row>2630</xdr:row>
                    <xdr:rowOff>0</xdr:rowOff>
                  </from>
                  <to>
                    <xdr:col>7</xdr:col>
                    <xdr:colOff>0</xdr:colOff>
                    <xdr:row>2630</xdr:row>
                    <xdr:rowOff>161925</xdr:rowOff>
                  </to>
                </anchor>
              </controlPr>
            </control>
          </mc:Choice>
        </mc:AlternateContent>
        <mc:AlternateContent xmlns:mc="http://schemas.openxmlformats.org/markup-compatibility/2006">
          <mc:Choice Requires="x14">
            <control shapeId="1407" r:id="rId1495" name="Button 383">
              <controlPr defaultSize="0" autoFill="0" autoLine="0" autoPict="0" macro="[0]!Sheet1.deleteRow">
                <anchor moveWithCells="1" sizeWithCells="1">
                  <from>
                    <xdr:col>6</xdr:col>
                    <xdr:colOff>0</xdr:colOff>
                    <xdr:row>2631</xdr:row>
                    <xdr:rowOff>0</xdr:rowOff>
                  </from>
                  <to>
                    <xdr:col>7</xdr:col>
                    <xdr:colOff>0</xdr:colOff>
                    <xdr:row>2631</xdr:row>
                    <xdr:rowOff>161925</xdr:rowOff>
                  </to>
                </anchor>
              </controlPr>
            </control>
          </mc:Choice>
        </mc:AlternateContent>
        <mc:AlternateContent xmlns:mc="http://schemas.openxmlformats.org/markup-compatibility/2006">
          <mc:Choice Requires="x14">
            <control shapeId="1406" r:id="rId1496" name="Button 382">
              <controlPr defaultSize="0" autoFill="0" autoLine="0" autoPict="0" macro="[0]!Sheet1.deleteRow">
                <anchor moveWithCells="1" sizeWithCells="1">
                  <from>
                    <xdr:col>6</xdr:col>
                    <xdr:colOff>0</xdr:colOff>
                    <xdr:row>2632</xdr:row>
                    <xdr:rowOff>0</xdr:rowOff>
                  </from>
                  <to>
                    <xdr:col>7</xdr:col>
                    <xdr:colOff>0</xdr:colOff>
                    <xdr:row>2632</xdr:row>
                    <xdr:rowOff>161925</xdr:rowOff>
                  </to>
                </anchor>
              </controlPr>
            </control>
          </mc:Choice>
        </mc:AlternateContent>
        <mc:AlternateContent xmlns:mc="http://schemas.openxmlformats.org/markup-compatibility/2006">
          <mc:Choice Requires="x14">
            <control shapeId="1405" r:id="rId1497" name="Button 381">
              <controlPr defaultSize="0" autoFill="0" autoLine="0" autoPict="0" macro="[0]!Sheet1.deleteRow">
                <anchor moveWithCells="1" sizeWithCells="1">
                  <from>
                    <xdr:col>6</xdr:col>
                    <xdr:colOff>0</xdr:colOff>
                    <xdr:row>2633</xdr:row>
                    <xdr:rowOff>0</xdr:rowOff>
                  </from>
                  <to>
                    <xdr:col>7</xdr:col>
                    <xdr:colOff>0</xdr:colOff>
                    <xdr:row>2633</xdr:row>
                    <xdr:rowOff>161925</xdr:rowOff>
                  </to>
                </anchor>
              </controlPr>
            </control>
          </mc:Choice>
        </mc:AlternateContent>
        <mc:AlternateContent xmlns:mc="http://schemas.openxmlformats.org/markup-compatibility/2006">
          <mc:Choice Requires="x14">
            <control shapeId="1404" r:id="rId1498" name="Button 380">
              <controlPr defaultSize="0" autoFill="0" autoLine="0" autoPict="0" macro="[0]!Sheet1.deleteRow">
                <anchor moveWithCells="1" sizeWithCells="1">
                  <from>
                    <xdr:col>6</xdr:col>
                    <xdr:colOff>0</xdr:colOff>
                    <xdr:row>2634</xdr:row>
                    <xdr:rowOff>0</xdr:rowOff>
                  </from>
                  <to>
                    <xdr:col>7</xdr:col>
                    <xdr:colOff>0</xdr:colOff>
                    <xdr:row>2634</xdr:row>
                    <xdr:rowOff>161925</xdr:rowOff>
                  </to>
                </anchor>
              </controlPr>
            </control>
          </mc:Choice>
        </mc:AlternateContent>
        <mc:AlternateContent xmlns:mc="http://schemas.openxmlformats.org/markup-compatibility/2006">
          <mc:Choice Requires="x14">
            <control shapeId="1403" r:id="rId1499" name="Button 379">
              <controlPr defaultSize="0" autoFill="0" autoLine="0" autoPict="0" macro="[0]!Sheet1.deleteRow">
                <anchor moveWithCells="1" sizeWithCells="1">
                  <from>
                    <xdr:col>6</xdr:col>
                    <xdr:colOff>0</xdr:colOff>
                    <xdr:row>2635</xdr:row>
                    <xdr:rowOff>0</xdr:rowOff>
                  </from>
                  <to>
                    <xdr:col>7</xdr:col>
                    <xdr:colOff>0</xdr:colOff>
                    <xdr:row>2635</xdr:row>
                    <xdr:rowOff>161925</xdr:rowOff>
                  </to>
                </anchor>
              </controlPr>
            </control>
          </mc:Choice>
        </mc:AlternateContent>
        <mc:AlternateContent xmlns:mc="http://schemas.openxmlformats.org/markup-compatibility/2006">
          <mc:Choice Requires="x14">
            <control shapeId="1402" r:id="rId1500" name="Button 378">
              <controlPr defaultSize="0" autoFill="0" autoLine="0" autoPict="0" macro="[0]!Sheet1.deleteRow">
                <anchor moveWithCells="1" sizeWithCells="1">
                  <from>
                    <xdr:col>6</xdr:col>
                    <xdr:colOff>0</xdr:colOff>
                    <xdr:row>2636</xdr:row>
                    <xdr:rowOff>0</xdr:rowOff>
                  </from>
                  <to>
                    <xdr:col>7</xdr:col>
                    <xdr:colOff>0</xdr:colOff>
                    <xdr:row>2636</xdr:row>
                    <xdr:rowOff>161925</xdr:rowOff>
                  </to>
                </anchor>
              </controlPr>
            </control>
          </mc:Choice>
        </mc:AlternateContent>
        <mc:AlternateContent xmlns:mc="http://schemas.openxmlformats.org/markup-compatibility/2006">
          <mc:Choice Requires="x14">
            <control shapeId="1401" r:id="rId1501" name="Button 377">
              <controlPr defaultSize="0" autoFill="0" autoLine="0" autoPict="0" macro="[0]!Sheet1.deleteRow">
                <anchor moveWithCells="1" sizeWithCells="1">
                  <from>
                    <xdr:col>6</xdr:col>
                    <xdr:colOff>0</xdr:colOff>
                    <xdr:row>2637</xdr:row>
                    <xdr:rowOff>0</xdr:rowOff>
                  </from>
                  <to>
                    <xdr:col>7</xdr:col>
                    <xdr:colOff>0</xdr:colOff>
                    <xdr:row>2637</xdr:row>
                    <xdr:rowOff>161925</xdr:rowOff>
                  </to>
                </anchor>
              </controlPr>
            </control>
          </mc:Choice>
        </mc:AlternateContent>
        <mc:AlternateContent xmlns:mc="http://schemas.openxmlformats.org/markup-compatibility/2006">
          <mc:Choice Requires="x14">
            <control shapeId="1400" r:id="rId1502" name="Button 376">
              <controlPr defaultSize="0" autoFill="0" autoLine="0" autoPict="0" macro="[0]!Sheet1.deleteRow">
                <anchor moveWithCells="1" sizeWithCells="1">
                  <from>
                    <xdr:col>6</xdr:col>
                    <xdr:colOff>0</xdr:colOff>
                    <xdr:row>2638</xdr:row>
                    <xdr:rowOff>0</xdr:rowOff>
                  </from>
                  <to>
                    <xdr:col>7</xdr:col>
                    <xdr:colOff>0</xdr:colOff>
                    <xdr:row>2638</xdr:row>
                    <xdr:rowOff>161925</xdr:rowOff>
                  </to>
                </anchor>
              </controlPr>
            </control>
          </mc:Choice>
        </mc:AlternateContent>
        <mc:AlternateContent xmlns:mc="http://schemas.openxmlformats.org/markup-compatibility/2006">
          <mc:Choice Requires="x14">
            <control shapeId="1399" r:id="rId1503" name="Button 375">
              <controlPr defaultSize="0" autoFill="0" autoLine="0" autoPict="0" macro="[0]!Sheet1.deleteRow">
                <anchor moveWithCells="1" sizeWithCells="1">
                  <from>
                    <xdr:col>6</xdr:col>
                    <xdr:colOff>0</xdr:colOff>
                    <xdr:row>2639</xdr:row>
                    <xdr:rowOff>0</xdr:rowOff>
                  </from>
                  <to>
                    <xdr:col>7</xdr:col>
                    <xdr:colOff>0</xdr:colOff>
                    <xdr:row>2639</xdr:row>
                    <xdr:rowOff>161925</xdr:rowOff>
                  </to>
                </anchor>
              </controlPr>
            </control>
          </mc:Choice>
        </mc:AlternateContent>
        <mc:AlternateContent xmlns:mc="http://schemas.openxmlformats.org/markup-compatibility/2006">
          <mc:Choice Requires="x14">
            <control shapeId="1398" r:id="rId1504" name="Button 374">
              <controlPr defaultSize="0" autoFill="0" autoLine="0" autoPict="0" macro="[0]!Sheet1.deleteRow">
                <anchor moveWithCells="1" sizeWithCells="1">
                  <from>
                    <xdr:col>6</xdr:col>
                    <xdr:colOff>0</xdr:colOff>
                    <xdr:row>2640</xdr:row>
                    <xdr:rowOff>0</xdr:rowOff>
                  </from>
                  <to>
                    <xdr:col>7</xdr:col>
                    <xdr:colOff>0</xdr:colOff>
                    <xdr:row>2640</xdr:row>
                    <xdr:rowOff>161925</xdr:rowOff>
                  </to>
                </anchor>
              </controlPr>
            </control>
          </mc:Choice>
        </mc:AlternateContent>
        <mc:AlternateContent xmlns:mc="http://schemas.openxmlformats.org/markup-compatibility/2006">
          <mc:Choice Requires="x14">
            <control shapeId="1397" r:id="rId1505" name="Button 373">
              <controlPr defaultSize="0" autoFill="0" autoLine="0" autoPict="0" macro="[0]!Sheet1.deleteRow">
                <anchor moveWithCells="1" sizeWithCells="1">
                  <from>
                    <xdr:col>6</xdr:col>
                    <xdr:colOff>0</xdr:colOff>
                    <xdr:row>2641</xdr:row>
                    <xdr:rowOff>0</xdr:rowOff>
                  </from>
                  <to>
                    <xdr:col>7</xdr:col>
                    <xdr:colOff>0</xdr:colOff>
                    <xdr:row>2641</xdr:row>
                    <xdr:rowOff>161925</xdr:rowOff>
                  </to>
                </anchor>
              </controlPr>
            </control>
          </mc:Choice>
        </mc:AlternateContent>
        <mc:AlternateContent xmlns:mc="http://schemas.openxmlformats.org/markup-compatibility/2006">
          <mc:Choice Requires="x14">
            <control shapeId="1396" r:id="rId1506" name="Button 372">
              <controlPr defaultSize="0" autoFill="0" autoLine="0" autoPict="0" macro="[0]!Sheet1.deleteRow">
                <anchor moveWithCells="1" sizeWithCells="1">
                  <from>
                    <xdr:col>6</xdr:col>
                    <xdr:colOff>0</xdr:colOff>
                    <xdr:row>2642</xdr:row>
                    <xdr:rowOff>0</xdr:rowOff>
                  </from>
                  <to>
                    <xdr:col>7</xdr:col>
                    <xdr:colOff>0</xdr:colOff>
                    <xdr:row>2642</xdr:row>
                    <xdr:rowOff>161925</xdr:rowOff>
                  </to>
                </anchor>
              </controlPr>
            </control>
          </mc:Choice>
        </mc:AlternateContent>
        <mc:AlternateContent xmlns:mc="http://schemas.openxmlformats.org/markup-compatibility/2006">
          <mc:Choice Requires="x14">
            <control shapeId="1395" r:id="rId1507" name="Button 371">
              <controlPr defaultSize="0" autoFill="0" autoLine="0" autoPict="0" macro="[0]!Sheet1.deleteRow">
                <anchor moveWithCells="1" sizeWithCells="1">
                  <from>
                    <xdr:col>6</xdr:col>
                    <xdr:colOff>0</xdr:colOff>
                    <xdr:row>2643</xdr:row>
                    <xdr:rowOff>0</xdr:rowOff>
                  </from>
                  <to>
                    <xdr:col>7</xdr:col>
                    <xdr:colOff>0</xdr:colOff>
                    <xdr:row>2643</xdr:row>
                    <xdr:rowOff>161925</xdr:rowOff>
                  </to>
                </anchor>
              </controlPr>
            </control>
          </mc:Choice>
        </mc:AlternateContent>
        <mc:AlternateContent xmlns:mc="http://schemas.openxmlformats.org/markup-compatibility/2006">
          <mc:Choice Requires="x14">
            <control shapeId="1394" r:id="rId1508" name="Button 370">
              <controlPr defaultSize="0" autoFill="0" autoLine="0" autoPict="0" macro="[0]!Sheet1.deleteRow">
                <anchor moveWithCells="1" sizeWithCells="1">
                  <from>
                    <xdr:col>6</xdr:col>
                    <xdr:colOff>0</xdr:colOff>
                    <xdr:row>2644</xdr:row>
                    <xdr:rowOff>0</xdr:rowOff>
                  </from>
                  <to>
                    <xdr:col>7</xdr:col>
                    <xdr:colOff>0</xdr:colOff>
                    <xdr:row>2644</xdr:row>
                    <xdr:rowOff>161925</xdr:rowOff>
                  </to>
                </anchor>
              </controlPr>
            </control>
          </mc:Choice>
        </mc:AlternateContent>
        <mc:AlternateContent xmlns:mc="http://schemas.openxmlformats.org/markup-compatibility/2006">
          <mc:Choice Requires="x14">
            <control shapeId="1393" r:id="rId1509" name="Button 369">
              <controlPr defaultSize="0" autoFill="0" autoLine="0" autoPict="0" macro="[0]!Sheet1.deleteRow">
                <anchor moveWithCells="1" sizeWithCells="1">
                  <from>
                    <xdr:col>6</xdr:col>
                    <xdr:colOff>0</xdr:colOff>
                    <xdr:row>2645</xdr:row>
                    <xdr:rowOff>0</xdr:rowOff>
                  </from>
                  <to>
                    <xdr:col>7</xdr:col>
                    <xdr:colOff>0</xdr:colOff>
                    <xdr:row>2645</xdr:row>
                    <xdr:rowOff>161925</xdr:rowOff>
                  </to>
                </anchor>
              </controlPr>
            </control>
          </mc:Choice>
        </mc:AlternateContent>
        <mc:AlternateContent xmlns:mc="http://schemas.openxmlformats.org/markup-compatibility/2006">
          <mc:Choice Requires="x14">
            <control shapeId="1392" r:id="rId1510" name="Button 368">
              <controlPr defaultSize="0" autoFill="0" autoLine="0" autoPict="0" macro="[0]!Sheet1.deleteRow">
                <anchor moveWithCells="1" sizeWithCells="1">
                  <from>
                    <xdr:col>6</xdr:col>
                    <xdr:colOff>0</xdr:colOff>
                    <xdr:row>2646</xdr:row>
                    <xdr:rowOff>0</xdr:rowOff>
                  </from>
                  <to>
                    <xdr:col>7</xdr:col>
                    <xdr:colOff>0</xdr:colOff>
                    <xdr:row>2646</xdr:row>
                    <xdr:rowOff>161925</xdr:rowOff>
                  </to>
                </anchor>
              </controlPr>
            </control>
          </mc:Choice>
        </mc:AlternateContent>
        <mc:AlternateContent xmlns:mc="http://schemas.openxmlformats.org/markup-compatibility/2006">
          <mc:Choice Requires="x14">
            <control shapeId="1391" r:id="rId1511" name="Button 367">
              <controlPr defaultSize="0" autoFill="0" autoLine="0" autoPict="0" macro="[0]!Sheet1.deleteRow">
                <anchor moveWithCells="1" sizeWithCells="1">
                  <from>
                    <xdr:col>6</xdr:col>
                    <xdr:colOff>0</xdr:colOff>
                    <xdr:row>2647</xdr:row>
                    <xdr:rowOff>0</xdr:rowOff>
                  </from>
                  <to>
                    <xdr:col>7</xdr:col>
                    <xdr:colOff>0</xdr:colOff>
                    <xdr:row>2647</xdr:row>
                    <xdr:rowOff>161925</xdr:rowOff>
                  </to>
                </anchor>
              </controlPr>
            </control>
          </mc:Choice>
        </mc:AlternateContent>
        <mc:AlternateContent xmlns:mc="http://schemas.openxmlformats.org/markup-compatibility/2006">
          <mc:Choice Requires="x14">
            <control shapeId="1390" r:id="rId1512" name="Button 366">
              <controlPr defaultSize="0" autoFill="0" autoLine="0" autoPict="0" macro="[0]!Sheet1.deleteRow">
                <anchor moveWithCells="1" sizeWithCells="1">
                  <from>
                    <xdr:col>6</xdr:col>
                    <xdr:colOff>0</xdr:colOff>
                    <xdr:row>2648</xdr:row>
                    <xdr:rowOff>0</xdr:rowOff>
                  </from>
                  <to>
                    <xdr:col>7</xdr:col>
                    <xdr:colOff>0</xdr:colOff>
                    <xdr:row>2648</xdr:row>
                    <xdr:rowOff>161925</xdr:rowOff>
                  </to>
                </anchor>
              </controlPr>
            </control>
          </mc:Choice>
        </mc:AlternateContent>
        <mc:AlternateContent xmlns:mc="http://schemas.openxmlformats.org/markup-compatibility/2006">
          <mc:Choice Requires="x14">
            <control shapeId="1389" r:id="rId1513" name="Button 365">
              <controlPr defaultSize="0" autoFill="0" autoLine="0" autoPict="0" macro="[0]!Sheet1.deleteRow">
                <anchor moveWithCells="1" sizeWithCells="1">
                  <from>
                    <xdr:col>6</xdr:col>
                    <xdr:colOff>0</xdr:colOff>
                    <xdr:row>2649</xdr:row>
                    <xdr:rowOff>0</xdr:rowOff>
                  </from>
                  <to>
                    <xdr:col>7</xdr:col>
                    <xdr:colOff>0</xdr:colOff>
                    <xdr:row>2649</xdr:row>
                    <xdr:rowOff>161925</xdr:rowOff>
                  </to>
                </anchor>
              </controlPr>
            </control>
          </mc:Choice>
        </mc:AlternateContent>
        <mc:AlternateContent xmlns:mc="http://schemas.openxmlformats.org/markup-compatibility/2006">
          <mc:Choice Requires="x14">
            <control shapeId="1388" r:id="rId1514" name="Button 364">
              <controlPr defaultSize="0" autoFill="0" autoLine="0" autoPict="0" macro="[0]!Sheet1.deleteRow">
                <anchor moveWithCells="1" sizeWithCells="1">
                  <from>
                    <xdr:col>6</xdr:col>
                    <xdr:colOff>0</xdr:colOff>
                    <xdr:row>2650</xdr:row>
                    <xdr:rowOff>0</xdr:rowOff>
                  </from>
                  <to>
                    <xdr:col>7</xdr:col>
                    <xdr:colOff>0</xdr:colOff>
                    <xdr:row>2650</xdr:row>
                    <xdr:rowOff>161925</xdr:rowOff>
                  </to>
                </anchor>
              </controlPr>
            </control>
          </mc:Choice>
        </mc:AlternateContent>
        <mc:AlternateContent xmlns:mc="http://schemas.openxmlformats.org/markup-compatibility/2006">
          <mc:Choice Requires="x14">
            <control shapeId="1387" r:id="rId1515" name="Button 363">
              <controlPr defaultSize="0" autoFill="0" autoLine="0" autoPict="0" macro="[0]!Sheet1.deleteRow">
                <anchor moveWithCells="1" sizeWithCells="1">
                  <from>
                    <xdr:col>6</xdr:col>
                    <xdr:colOff>0</xdr:colOff>
                    <xdr:row>2651</xdr:row>
                    <xdr:rowOff>0</xdr:rowOff>
                  </from>
                  <to>
                    <xdr:col>7</xdr:col>
                    <xdr:colOff>0</xdr:colOff>
                    <xdr:row>2651</xdr:row>
                    <xdr:rowOff>161925</xdr:rowOff>
                  </to>
                </anchor>
              </controlPr>
            </control>
          </mc:Choice>
        </mc:AlternateContent>
        <mc:AlternateContent xmlns:mc="http://schemas.openxmlformats.org/markup-compatibility/2006">
          <mc:Choice Requires="x14">
            <control shapeId="1386" r:id="rId1516" name="Button 362">
              <controlPr defaultSize="0" autoFill="0" autoLine="0" autoPict="0" macro="[0]!Sheet1.deleteRow">
                <anchor moveWithCells="1" sizeWithCells="1">
                  <from>
                    <xdr:col>6</xdr:col>
                    <xdr:colOff>0</xdr:colOff>
                    <xdr:row>2652</xdr:row>
                    <xdr:rowOff>0</xdr:rowOff>
                  </from>
                  <to>
                    <xdr:col>7</xdr:col>
                    <xdr:colOff>0</xdr:colOff>
                    <xdr:row>2652</xdr:row>
                    <xdr:rowOff>161925</xdr:rowOff>
                  </to>
                </anchor>
              </controlPr>
            </control>
          </mc:Choice>
        </mc:AlternateContent>
        <mc:AlternateContent xmlns:mc="http://schemas.openxmlformats.org/markup-compatibility/2006">
          <mc:Choice Requires="x14">
            <control shapeId="1385" r:id="rId1517" name="Button 361">
              <controlPr defaultSize="0" autoFill="0" autoLine="0" autoPict="0" macro="[0]!Sheet1.deleteRow">
                <anchor moveWithCells="1" sizeWithCells="1">
                  <from>
                    <xdr:col>6</xdr:col>
                    <xdr:colOff>0</xdr:colOff>
                    <xdr:row>2653</xdr:row>
                    <xdr:rowOff>0</xdr:rowOff>
                  </from>
                  <to>
                    <xdr:col>7</xdr:col>
                    <xdr:colOff>0</xdr:colOff>
                    <xdr:row>2653</xdr:row>
                    <xdr:rowOff>161925</xdr:rowOff>
                  </to>
                </anchor>
              </controlPr>
            </control>
          </mc:Choice>
        </mc:AlternateContent>
        <mc:AlternateContent xmlns:mc="http://schemas.openxmlformats.org/markup-compatibility/2006">
          <mc:Choice Requires="x14">
            <control shapeId="1384" r:id="rId1518" name="Button 360">
              <controlPr defaultSize="0" autoFill="0" autoLine="0" autoPict="0" macro="[0]!Sheet1.deleteRow">
                <anchor moveWithCells="1" sizeWithCells="1">
                  <from>
                    <xdr:col>6</xdr:col>
                    <xdr:colOff>0</xdr:colOff>
                    <xdr:row>2654</xdr:row>
                    <xdr:rowOff>0</xdr:rowOff>
                  </from>
                  <to>
                    <xdr:col>7</xdr:col>
                    <xdr:colOff>0</xdr:colOff>
                    <xdr:row>2654</xdr:row>
                    <xdr:rowOff>161925</xdr:rowOff>
                  </to>
                </anchor>
              </controlPr>
            </control>
          </mc:Choice>
        </mc:AlternateContent>
        <mc:AlternateContent xmlns:mc="http://schemas.openxmlformats.org/markup-compatibility/2006">
          <mc:Choice Requires="x14">
            <control shapeId="1383" r:id="rId1519" name="Button 359">
              <controlPr defaultSize="0" autoFill="0" autoLine="0" autoPict="0" macro="[0]!Sheet1.deleteRow">
                <anchor moveWithCells="1" sizeWithCells="1">
                  <from>
                    <xdr:col>6</xdr:col>
                    <xdr:colOff>0</xdr:colOff>
                    <xdr:row>2655</xdr:row>
                    <xdr:rowOff>0</xdr:rowOff>
                  </from>
                  <to>
                    <xdr:col>7</xdr:col>
                    <xdr:colOff>0</xdr:colOff>
                    <xdr:row>2655</xdr:row>
                    <xdr:rowOff>161925</xdr:rowOff>
                  </to>
                </anchor>
              </controlPr>
            </control>
          </mc:Choice>
        </mc:AlternateContent>
        <mc:AlternateContent xmlns:mc="http://schemas.openxmlformats.org/markup-compatibility/2006">
          <mc:Choice Requires="x14">
            <control shapeId="1382" r:id="rId1520" name="Button 358">
              <controlPr defaultSize="0" autoFill="0" autoLine="0" autoPict="0" macro="[0]!Sheet1.deleteRow">
                <anchor moveWithCells="1" sizeWithCells="1">
                  <from>
                    <xdr:col>6</xdr:col>
                    <xdr:colOff>0</xdr:colOff>
                    <xdr:row>2656</xdr:row>
                    <xdr:rowOff>0</xdr:rowOff>
                  </from>
                  <to>
                    <xdr:col>7</xdr:col>
                    <xdr:colOff>0</xdr:colOff>
                    <xdr:row>2656</xdr:row>
                    <xdr:rowOff>161925</xdr:rowOff>
                  </to>
                </anchor>
              </controlPr>
            </control>
          </mc:Choice>
        </mc:AlternateContent>
        <mc:AlternateContent xmlns:mc="http://schemas.openxmlformats.org/markup-compatibility/2006">
          <mc:Choice Requires="x14">
            <control shapeId="1381" r:id="rId1521" name="Button 357">
              <controlPr defaultSize="0" autoFill="0" autoLine="0" autoPict="0" macro="[0]!Sheet1.deleteRow">
                <anchor moveWithCells="1" sizeWithCells="1">
                  <from>
                    <xdr:col>6</xdr:col>
                    <xdr:colOff>0</xdr:colOff>
                    <xdr:row>2657</xdr:row>
                    <xdr:rowOff>0</xdr:rowOff>
                  </from>
                  <to>
                    <xdr:col>7</xdr:col>
                    <xdr:colOff>0</xdr:colOff>
                    <xdr:row>2657</xdr:row>
                    <xdr:rowOff>161925</xdr:rowOff>
                  </to>
                </anchor>
              </controlPr>
            </control>
          </mc:Choice>
        </mc:AlternateContent>
        <mc:AlternateContent xmlns:mc="http://schemas.openxmlformats.org/markup-compatibility/2006">
          <mc:Choice Requires="x14">
            <control shapeId="1380" r:id="rId1522" name="Button 356">
              <controlPr defaultSize="0" autoFill="0" autoLine="0" autoPict="0" macro="[0]!Sheet1.deleteRow">
                <anchor moveWithCells="1" sizeWithCells="1">
                  <from>
                    <xdr:col>6</xdr:col>
                    <xdr:colOff>0</xdr:colOff>
                    <xdr:row>2658</xdr:row>
                    <xdr:rowOff>0</xdr:rowOff>
                  </from>
                  <to>
                    <xdr:col>7</xdr:col>
                    <xdr:colOff>0</xdr:colOff>
                    <xdr:row>2658</xdr:row>
                    <xdr:rowOff>161925</xdr:rowOff>
                  </to>
                </anchor>
              </controlPr>
            </control>
          </mc:Choice>
        </mc:AlternateContent>
        <mc:AlternateContent xmlns:mc="http://schemas.openxmlformats.org/markup-compatibility/2006">
          <mc:Choice Requires="x14">
            <control shapeId="1379" r:id="rId1523" name="Button 355">
              <controlPr defaultSize="0" autoFill="0" autoLine="0" autoPict="0" macro="[0]!Sheet1.deleteRow">
                <anchor moveWithCells="1" sizeWithCells="1">
                  <from>
                    <xdr:col>6</xdr:col>
                    <xdr:colOff>0</xdr:colOff>
                    <xdr:row>2659</xdr:row>
                    <xdr:rowOff>0</xdr:rowOff>
                  </from>
                  <to>
                    <xdr:col>7</xdr:col>
                    <xdr:colOff>0</xdr:colOff>
                    <xdr:row>2659</xdr:row>
                    <xdr:rowOff>161925</xdr:rowOff>
                  </to>
                </anchor>
              </controlPr>
            </control>
          </mc:Choice>
        </mc:AlternateContent>
        <mc:AlternateContent xmlns:mc="http://schemas.openxmlformats.org/markup-compatibility/2006">
          <mc:Choice Requires="x14">
            <control shapeId="1378" r:id="rId1524" name="Button 354">
              <controlPr defaultSize="0" autoFill="0" autoLine="0" autoPict="0" macro="[0]!Sheet1.deleteRow">
                <anchor moveWithCells="1" sizeWithCells="1">
                  <from>
                    <xdr:col>6</xdr:col>
                    <xdr:colOff>0</xdr:colOff>
                    <xdr:row>2660</xdr:row>
                    <xdr:rowOff>0</xdr:rowOff>
                  </from>
                  <to>
                    <xdr:col>7</xdr:col>
                    <xdr:colOff>0</xdr:colOff>
                    <xdr:row>2660</xdr:row>
                    <xdr:rowOff>161925</xdr:rowOff>
                  </to>
                </anchor>
              </controlPr>
            </control>
          </mc:Choice>
        </mc:AlternateContent>
        <mc:AlternateContent xmlns:mc="http://schemas.openxmlformats.org/markup-compatibility/2006">
          <mc:Choice Requires="x14">
            <control shapeId="1377" r:id="rId1525" name="Button 353">
              <controlPr defaultSize="0" autoFill="0" autoLine="0" autoPict="0" macro="[0]!Sheet1.deleteRow">
                <anchor moveWithCells="1" sizeWithCells="1">
                  <from>
                    <xdr:col>6</xdr:col>
                    <xdr:colOff>0</xdr:colOff>
                    <xdr:row>2661</xdr:row>
                    <xdr:rowOff>0</xdr:rowOff>
                  </from>
                  <to>
                    <xdr:col>7</xdr:col>
                    <xdr:colOff>0</xdr:colOff>
                    <xdr:row>2661</xdr:row>
                    <xdr:rowOff>161925</xdr:rowOff>
                  </to>
                </anchor>
              </controlPr>
            </control>
          </mc:Choice>
        </mc:AlternateContent>
        <mc:AlternateContent xmlns:mc="http://schemas.openxmlformats.org/markup-compatibility/2006">
          <mc:Choice Requires="x14">
            <control shapeId="1376" r:id="rId1526" name="Button 352">
              <controlPr defaultSize="0" autoFill="0" autoLine="0" autoPict="0" macro="[0]!Sheet1.deleteRow">
                <anchor moveWithCells="1" sizeWithCells="1">
                  <from>
                    <xdr:col>6</xdr:col>
                    <xdr:colOff>0</xdr:colOff>
                    <xdr:row>2662</xdr:row>
                    <xdr:rowOff>0</xdr:rowOff>
                  </from>
                  <to>
                    <xdr:col>7</xdr:col>
                    <xdr:colOff>0</xdr:colOff>
                    <xdr:row>2662</xdr:row>
                    <xdr:rowOff>161925</xdr:rowOff>
                  </to>
                </anchor>
              </controlPr>
            </control>
          </mc:Choice>
        </mc:AlternateContent>
        <mc:AlternateContent xmlns:mc="http://schemas.openxmlformats.org/markup-compatibility/2006">
          <mc:Choice Requires="x14">
            <control shapeId="1375" r:id="rId1527" name="Button 351">
              <controlPr defaultSize="0" autoFill="0" autoLine="0" autoPict="0" macro="[0]!Sheet1.deleteRow">
                <anchor moveWithCells="1" sizeWithCells="1">
                  <from>
                    <xdr:col>6</xdr:col>
                    <xdr:colOff>0</xdr:colOff>
                    <xdr:row>2663</xdr:row>
                    <xdr:rowOff>0</xdr:rowOff>
                  </from>
                  <to>
                    <xdr:col>7</xdr:col>
                    <xdr:colOff>0</xdr:colOff>
                    <xdr:row>2663</xdr:row>
                    <xdr:rowOff>161925</xdr:rowOff>
                  </to>
                </anchor>
              </controlPr>
            </control>
          </mc:Choice>
        </mc:AlternateContent>
        <mc:AlternateContent xmlns:mc="http://schemas.openxmlformats.org/markup-compatibility/2006">
          <mc:Choice Requires="x14">
            <control shapeId="1374" r:id="rId1528" name="Button 350">
              <controlPr defaultSize="0" autoFill="0" autoLine="0" autoPict="0" macro="[0]!Sheet1.deleteRow">
                <anchor moveWithCells="1" sizeWithCells="1">
                  <from>
                    <xdr:col>6</xdr:col>
                    <xdr:colOff>0</xdr:colOff>
                    <xdr:row>2664</xdr:row>
                    <xdr:rowOff>0</xdr:rowOff>
                  </from>
                  <to>
                    <xdr:col>7</xdr:col>
                    <xdr:colOff>0</xdr:colOff>
                    <xdr:row>2664</xdr:row>
                    <xdr:rowOff>161925</xdr:rowOff>
                  </to>
                </anchor>
              </controlPr>
            </control>
          </mc:Choice>
        </mc:AlternateContent>
        <mc:AlternateContent xmlns:mc="http://schemas.openxmlformats.org/markup-compatibility/2006">
          <mc:Choice Requires="x14">
            <control shapeId="1373" r:id="rId1529" name="Button 349">
              <controlPr defaultSize="0" autoFill="0" autoLine="0" autoPict="0" macro="[0]!Sheet1.deleteRow">
                <anchor moveWithCells="1" sizeWithCells="1">
                  <from>
                    <xdr:col>6</xdr:col>
                    <xdr:colOff>0</xdr:colOff>
                    <xdr:row>2665</xdr:row>
                    <xdr:rowOff>0</xdr:rowOff>
                  </from>
                  <to>
                    <xdr:col>7</xdr:col>
                    <xdr:colOff>0</xdr:colOff>
                    <xdr:row>2665</xdr:row>
                    <xdr:rowOff>161925</xdr:rowOff>
                  </to>
                </anchor>
              </controlPr>
            </control>
          </mc:Choice>
        </mc:AlternateContent>
        <mc:AlternateContent xmlns:mc="http://schemas.openxmlformats.org/markup-compatibility/2006">
          <mc:Choice Requires="x14">
            <control shapeId="1372" r:id="rId1530" name="Button 348">
              <controlPr defaultSize="0" autoFill="0" autoLine="0" autoPict="0" macro="[0]!Sheet1.deleteRow">
                <anchor moveWithCells="1" sizeWithCells="1">
                  <from>
                    <xdr:col>6</xdr:col>
                    <xdr:colOff>0</xdr:colOff>
                    <xdr:row>2666</xdr:row>
                    <xdr:rowOff>0</xdr:rowOff>
                  </from>
                  <to>
                    <xdr:col>7</xdr:col>
                    <xdr:colOff>0</xdr:colOff>
                    <xdr:row>2666</xdr:row>
                    <xdr:rowOff>161925</xdr:rowOff>
                  </to>
                </anchor>
              </controlPr>
            </control>
          </mc:Choice>
        </mc:AlternateContent>
        <mc:AlternateContent xmlns:mc="http://schemas.openxmlformats.org/markup-compatibility/2006">
          <mc:Choice Requires="x14">
            <control shapeId="1371" r:id="rId1531" name="Button 347">
              <controlPr defaultSize="0" autoFill="0" autoLine="0" autoPict="0" macro="[0]!Sheet1.deleteRow">
                <anchor moveWithCells="1" sizeWithCells="1">
                  <from>
                    <xdr:col>6</xdr:col>
                    <xdr:colOff>0</xdr:colOff>
                    <xdr:row>2667</xdr:row>
                    <xdr:rowOff>0</xdr:rowOff>
                  </from>
                  <to>
                    <xdr:col>7</xdr:col>
                    <xdr:colOff>0</xdr:colOff>
                    <xdr:row>2667</xdr:row>
                    <xdr:rowOff>161925</xdr:rowOff>
                  </to>
                </anchor>
              </controlPr>
            </control>
          </mc:Choice>
        </mc:AlternateContent>
        <mc:AlternateContent xmlns:mc="http://schemas.openxmlformats.org/markup-compatibility/2006">
          <mc:Choice Requires="x14">
            <control shapeId="1370" r:id="rId1532" name="Button 346">
              <controlPr defaultSize="0" autoFill="0" autoLine="0" autoPict="0" macro="[0]!Sheet1.deleteRow">
                <anchor moveWithCells="1" sizeWithCells="1">
                  <from>
                    <xdr:col>6</xdr:col>
                    <xdr:colOff>0</xdr:colOff>
                    <xdr:row>2668</xdr:row>
                    <xdr:rowOff>0</xdr:rowOff>
                  </from>
                  <to>
                    <xdr:col>7</xdr:col>
                    <xdr:colOff>0</xdr:colOff>
                    <xdr:row>2668</xdr:row>
                    <xdr:rowOff>161925</xdr:rowOff>
                  </to>
                </anchor>
              </controlPr>
            </control>
          </mc:Choice>
        </mc:AlternateContent>
        <mc:AlternateContent xmlns:mc="http://schemas.openxmlformats.org/markup-compatibility/2006">
          <mc:Choice Requires="x14">
            <control shapeId="1369" r:id="rId1533" name="Button 345">
              <controlPr defaultSize="0" autoFill="0" autoLine="0" autoPict="0" macro="[0]!Sheet1.deleteRow">
                <anchor moveWithCells="1" sizeWithCells="1">
                  <from>
                    <xdr:col>6</xdr:col>
                    <xdr:colOff>0</xdr:colOff>
                    <xdr:row>2669</xdr:row>
                    <xdr:rowOff>0</xdr:rowOff>
                  </from>
                  <to>
                    <xdr:col>7</xdr:col>
                    <xdr:colOff>0</xdr:colOff>
                    <xdr:row>2669</xdr:row>
                    <xdr:rowOff>161925</xdr:rowOff>
                  </to>
                </anchor>
              </controlPr>
            </control>
          </mc:Choice>
        </mc:AlternateContent>
        <mc:AlternateContent xmlns:mc="http://schemas.openxmlformats.org/markup-compatibility/2006">
          <mc:Choice Requires="x14">
            <control shapeId="1368" r:id="rId1534" name="Button 344">
              <controlPr defaultSize="0" autoFill="0" autoLine="0" autoPict="0" macro="[0]!Sheet1.deleteRow">
                <anchor moveWithCells="1" sizeWithCells="1">
                  <from>
                    <xdr:col>6</xdr:col>
                    <xdr:colOff>0</xdr:colOff>
                    <xdr:row>2670</xdr:row>
                    <xdr:rowOff>0</xdr:rowOff>
                  </from>
                  <to>
                    <xdr:col>7</xdr:col>
                    <xdr:colOff>0</xdr:colOff>
                    <xdr:row>2670</xdr:row>
                    <xdr:rowOff>161925</xdr:rowOff>
                  </to>
                </anchor>
              </controlPr>
            </control>
          </mc:Choice>
        </mc:AlternateContent>
        <mc:AlternateContent xmlns:mc="http://schemas.openxmlformats.org/markup-compatibility/2006">
          <mc:Choice Requires="x14">
            <control shapeId="1367" r:id="rId1535" name="Button 343">
              <controlPr defaultSize="0" autoFill="0" autoLine="0" autoPict="0" macro="[0]!Sheet1.deleteRow">
                <anchor moveWithCells="1" sizeWithCells="1">
                  <from>
                    <xdr:col>6</xdr:col>
                    <xdr:colOff>0</xdr:colOff>
                    <xdr:row>2671</xdr:row>
                    <xdr:rowOff>0</xdr:rowOff>
                  </from>
                  <to>
                    <xdr:col>7</xdr:col>
                    <xdr:colOff>0</xdr:colOff>
                    <xdr:row>2671</xdr:row>
                    <xdr:rowOff>161925</xdr:rowOff>
                  </to>
                </anchor>
              </controlPr>
            </control>
          </mc:Choice>
        </mc:AlternateContent>
        <mc:AlternateContent xmlns:mc="http://schemas.openxmlformats.org/markup-compatibility/2006">
          <mc:Choice Requires="x14">
            <control shapeId="1366" r:id="rId1536" name="Button 342">
              <controlPr defaultSize="0" autoFill="0" autoLine="0" autoPict="0" macro="[0]!Sheet1.deleteRow">
                <anchor moveWithCells="1" sizeWithCells="1">
                  <from>
                    <xdr:col>6</xdr:col>
                    <xdr:colOff>0</xdr:colOff>
                    <xdr:row>2672</xdr:row>
                    <xdr:rowOff>0</xdr:rowOff>
                  </from>
                  <to>
                    <xdr:col>7</xdr:col>
                    <xdr:colOff>0</xdr:colOff>
                    <xdr:row>2672</xdr:row>
                    <xdr:rowOff>161925</xdr:rowOff>
                  </to>
                </anchor>
              </controlPr>
            </control>
          </mc:Choice>
        </mc:AlternateContent>
        <mc:AlternateContent xmlns:mc="http://schemas.openxmlformats.org/markup-compatibility/2006">
          <mc:Choice Requires="x14">
            <control shapeId="1365" r:id="rId1537" name="Button 341">
              <controlPr defaultSize="0" autoFill="0" autoLine="0" autoPict="0" macro="[0]!Sheet1.deleteRow">
                <anchor moveWithCells="1" sizeWithCells="1">
                  <from>
                    <xdr:col>6</xdr:col>
                    <xdr:colOff>0</xdr:colOff>
                    <xdr:row>2673</xdr:row>
                    <xdr:rowOff>0</xdr:rowOff>
                  </from>
                  <to>
                    <xdr:col>7</xdr:col>
                    <xdr:colOff>0</xdr:colOff>
                    <xdr:row>2673</xdr:row>
                    <xdr:rowOff>161925</xdr:rowOff>
                  </to>
                </anchor>
              </controlPr>
            </control>
          </mc:Choice>
        </mc:AlternateContent>
        <mc:AlternateContent xmlns:mc="http://schemas.openxmlformats.org/markup-compatibility/2006">
          <mc:Choice Requires="x14">
            <control shapeId="1364" r:id="rId1538" name="Button 340">
              <controlPr defaultSize="0" autoFill="0" autoLine="0" autoPict="0" macro="[0]!Sheet1.deleteRow">
                <anchor moveWithCells="1" sizeWithCells="1">
                  <from>
                    <xdr:col>6</xdr:col>
                    <xdr:colOff>0</xdr:colOff>
                    <xdr:row>2674</xdr:row>
                    <xdr:rowOff>0</xdr:rowOff>
                  </from>
                  <to>
                    <xdr:col>7</xdr:col>
                    <xdr:colOff>0</xdr:colOff>
                    <xdr:row>2674</xdr:row>
                    <xdr:rowOff>161925</xdr:rowOff>
                  </to>
                </anchor>
              </controlPr>
            </control>
          </mc:Choice>
        </mc:AlternateContent>
        <mc:AlternateContent xmlns:mc="http://schemas.openxmlformats.org/markup-compatibility/2006">
          <mc:Choice Requires="x14">
            <control shapeId="1363" r:id="rId1539" name="Button 339">
              <controlPr defaultSize="0" autoFill="0" autoLine="0" autoPict="0" macro="[0]!Sheet1.deleteRow">
                <anchor moveWithCells="1" sizeWithCells="1">
                  <from>
                    <xdr:col>6</xdr:col>
                    <xdr:colOff>0</xdr:colOff>
                    <xdr:row>2675</xdr:row>
                    <xdr:rowOff>0</xdr:rowOff>
                  </from>
                  <to>
                    <xdr:col>7</xdr:col>
                    <xdr:colOff>0</xdr:colOff>
                    <xdr:row>2675</xdr:row>
                    <xdr:rowOff>161925</xdr:rowOff>
                  </to>
                </anchor>
              </controlPr>
            </control>
          </mc:Choice>
        </mc:AlternateContent>
        <mc:AlternateContent xmlns:mc="http://schemas.openxmlformats.org/markup-compatibility/2006">
          <mc:Choice Requires="x14">
            <control shapeId="1362" r:id="rId1540" name="Button 338">
              <controlPr defaultSize="0" autoFill="0" autoLine="0" autoPict="0" macro="[0]!Sheet1.deleteRow">
                <anchor moveWithCells="1" sizeWithCells="1">
                  <from>
                    <xdr:col>6</xdr:col>
                    <xdr:colOff>0</xdr:colOff>
                    <xdr:row>2676</xdr:row>
                    <xdr:rowOff>0</xdr:rowOff>
                  </from>
                  <to>
                    <xdr:col>7</xdr:col>
                    <xdr:colOff>0</xdr:colOff>
                    <xdr:row>2676</xdr:row>
                    <xdr:rowOff>161925</xdr:rowOff>
                  </to>
                </anchor>
              </controlPr>
            </control>
          </mc:Choice>
        </mc:AlternateContent>
        <mc:AlternateContent xmlns:mc="http://schemas.openxmlformats.org/markup-compatibility/2006">
          <mc:Choice Requires="x14">
            <control shapeId="1361" r:id="rId1541" name="Button 337">
              <controlPr defaultSize="0" autoFill="0" autoLine="0" autoPict="0" macro="[0]!Sheet1.deleteRow">
                <anchor moveWithCells="1" sizeWithCells="1">
                  <from>
                    <xdr:col>6</xdr:col>
                    <xdr:colOff>0</xdr:colOff>
                    <xdr:row>2677</xdr:row>
                    <xdr:rowOff>0</xdr:rowOff>
                  </from>
                  <to>
                    <xdr:col>7</xdr:col>
                    <xdr:colOff>0</xdr:colOff>
                    <xdr:row>2677</xdr:row>
                    <xdr:rowOff>161925</xdr:rowOff>
                  </to>
                </anchor>
              </controlPr>
            </control>
          </mc:Choice>
        </mc:AlternateContent>
        <mc:AlternateContent xmlns:mc="http://schemas.openxmlformats.org/markup-compatibility/2006">
          <mc:Choice Requires="x14">
            <control shapeId="1360" r:id="rId1542" name="Button 336">
              <controlPr defaultSize="0" autoFill="0" autoLine="0" autoPict="0" macro="[0]!Sheet1.deleteRow">
                <anchor moveWithCells="1" sizeWithCells="1">
                  <from>
                    <xdr:col>6</xdr:col>
                    <xdr:colOff>0</xdr:colOff>
                    <xdr:row>2678</xdr:row>
                    <xdr:rowOff>0</xdr:rowOff>
                  </from>
                  <to>
                    <xdr:col>7</xdr:col>
                    <xdr:colOff>0</xdr:colOff>
                    <xdr:row>2678</xdr:row>
                    <xdr:rowOff>161925</xdr:rowOff>
                  </to>
                </anchor>
              </controlPr>
            </control>
          </mc:Choice>
        </mc:AlternateContent>
        <mc:AlternateContent xmlns:mc="http://schemas.openxmlformats.org/markup-compatibility/2006">
          <mc:Choice Requires="x14">
            <control shapeId="1359" r:id="rId1543" name="Button 335">
              <controlPr defaultSize="0" autoFill="0" autoLine="0" autoPict="0" macro="[0]!Sheet1.deleteRow">
                <anchor moveWithCells="1" sizeWithCells="1">
                  <from>
                    <xdr:col>6</xdr:col>
                    <xdr:colOff>0</xdr:colOff>
                    <xdr:row>2679</xdr:row>
                    <xdr:rowOff>0</xdr:rowOff>
                  </from>
                  <to>
                    <xdr:col>7</xdr:col>
                    <xdr:colOff>0</xdr:colOff>
                    <xdr:row>2679</xdr:row>
                    <xdr:rowOff>161925</xdr:rowOff>
                  </to>
                </anchor>
              </controlPr>
            </control>
          </mc:Choice>
        </mc:AlternateContent>
        <mc:AlternateContent xmlns:mc="http://schemas.openxmlformats.org/markup-compatibility/2006">
          <mc:Choice Requires="x14">
            <control shapeId="1358" r:id="rId1544" name="Button 334">
              <controlPr defaultSize="0" autoFill="0" autoLine="0" autoPict="0" macro="[0]!Sheet1.deleteRow">
                <anchor moveWithCells="1" sizeWithCells="1">
                  <from>
                    <xdr:col>6</xdr:col>
                    <xdr:colOff>0</xdr:colOff>
                    <xdr:row>2680</xdr:row>
                    <xdr:rowOff>0</xdr:rowOff>
                  </from>
                  <to>
                    <xdr:col>7</xdr:col>
                    <xdr:colOff>0</xdr:colOff>
                    <xdr:row>2680</xdr:row>
                    <xdr:rowOff>161925</xdr:rowOff>
                  </to>
                </anchor>
              </controlPr>
            </control>
          </mc:Choice>
        </mc:AlternateContent>
        <mc:AlternateContent xmlns:mc="http://schemas.openxmlformats.org/markup-compatibility/2006">
          <mc:Choice Requires="x14">
            <control shapeId="1357" r:id="rId1545" name="Button 333">
              <controlPr defaultSize="0" autoFill="0" autoLine="0" autoPict="0" macro="[0]!Sheet1.deleteRow">
                <anchor moveWithCells="1" sizeWithCells="1">
                  <from>
                    <xdr:col>6</xdr:col>
                    <xdr:colOff>0</xdr:colOff>
                    <xdr:row>2681</xdr:row>
                    <xdr:rowOff>0</xdr:rowOff>
                  </from>
                  <to>
                    <xdr:col>7</xdr:col>
                    <xdr:colOff>0</xdr:colOff>
                    <xdr:row>2681</xdr:row>
                    <xdr:rowOff>161925</xdr:rowOff>
                  </to>
                </anchor>
              </controlPr>
            </control>
          </mc:Choice>
        </mc:AlternateContent>
        <mc:AlternateContent xmlns:mc="http://schemas.openxmlformats.org/markup-compatibility/2006">
          <mc:Choice Requires="x14">
            <control shapeId="1356" r:id="rId1546" name="Button 332">
              <controlPr defaultSize="0" autoFill="0" autoLine="0" autoPict="0" macro="[0]!Sheet1.deleteRow">
                <anchor moveWithCells="1" sizeWithCells="1">
                  <from>
                    <xdr:col>6</xdr:col>
                    <xdr:colOff>0</xdr:colOff>
                    <xdr:row>2682</xdr:row>
                    <xdr:rowOff>0</xdr:rowOff>
                  </from>
                  <to>
                    <xdr:col>7</xdr:col>
                    <xdr:colOff>0</xdr:colOff>
                    <xdr:row>2682</xdr:row>
                    <xdr:rowOff>161925</xdr:rowOff>
                  </to>
                </anchor>
              </controlPr>
            </control>
          </mc:Choice>
        </mc:AlternateContent>
        <mc:AlternateContent xmlns:mc="http://schemas.openxmlformats.org/markup-compatibility/2006">
          <mc:Choice Requires="x14">
            <control shapeId="1355" r:id="rId1547" name="Button 331">
              <controlPr defaultSize="0" autoFill="0" autoLine="0" autoPict="0" macro="[0]!Sheet1.deleteRow">
                <anchor moveWithCells="1" sizeWithCells="1">
                  <from>
                    <xdr:col>6</xdr:col>
                    <xdr:colOff>0</xdr:colOff>
                    <xdr:row>2683</xdr:row>
                    <xdr:rowOff>0</xdr:rowOff>
                  </from>
                  <to>
                    <xdr:col>7</xdr:col>
                    <xdr:colOff>0</xdr:colOff>
                    <xdr:row>2683</xdr:row>
                    <xdr:rowOff>161925</xdr:rowOff>
                  </to>
                </anchor>
              </controlPr>
            </control>
          </mc:Choice>
        </mc:AlternateContent>
        <mc:AlternateContent xmlns:mc="http://schemas.openxmlformats.org/markup-compatibility/2006">
          <mc:Choice Requires="x14">
            <control shapeId="1354" r:id="rId1548" name="Button 330">
              <controlPr defaultSize="0" autoFill="0" autoLine="0" autoPict="0" macro="[0]!Sheet1.deleteRow">
                <anchor moveWithCells="1" sizeWithCells="1">
                  <from>
                    <xdr:col>6</xdr:col>
                    <xdr:colOff>0</xdr:colOff>
                    <xdr:row>2684</xdr:row>
                    <xdr:rowOff>0</xdr:rowOff>
                  </from>
                  <to>
                    <xdr:col>7</xdr:col>
                    <xdr:colOff>0</xdr:colOff>
                    <xdr:row>2684</xdr:row>
                    <xdr:rowOff>161925</xdr:rowOff>
                  </to>
                </anchor>
              </controlPr>
            </control>
          </mc:Choice>
        </mc:AlternateContent>
        <mc:AlternateContent xmlns:mc="http://schemas.openxmlformats.org/markup-compatibility/2006">
          <mc:Choice Requires="x14">
            <control shapeId="1353" r:id="rId1549" name="Button 329">
              <controlPr defaultSize="0" autoFill="0" autoLine="0" autoPict="0" macro="[0]!Sheet1.deleteRow">
                <anchor moveWithCells="1" sizeWithCells="1">
                  <from>
                    <xdr:col>6</xdr:col>
                    <xdr:colOff>0</xdr:colOff>
                    <xdr:row>2685</xdr:row>
                    <xdr:rowOff>0</xdr:rowOff>
                  </from>
                  <to>
                    <xdr:col>7</xdr:col>
                    <xdr:colOff>0</xdr:colOff>
                    <xdr:row>2685</xdr:row>
                    <xdr:rowOff>161925</xdr:rowOff>
                  </to>
                </anchor>
              </controlPr>
            </control>
          </mc:Choice>
        </mc:AlternateContent>
        <mc:AlternateContent xmlns:mc="http://schemas.openxmlformats.org/markup-compatibility/2006">
          <mc:Choice Requires="x14">
            <control shapeId="1352" r:id="rId1550" name="Button 328">
              <controlPr defaultSize="0" autoFill="0" autoLine="0" autoPict="0" macro="[0]!Sheet1.deleteRow">
                <anchor moveWithCells="1" sizeWithCells="1">
                  <from>
                    <xdr:col>6</xdr:col>
                    <xdr:colOff>0</xdr:colOff>
                    <xdr:row>2686</xdr:row>
                    <xdr:rowOff>0</xdr:rowOff>
                  </from>
                  <to>
                    <xdr:col>7</xdr:col>
                    <xdr:colOff>0</xdr:colOff>
                    <xdr:row>2686</xdr:row>
                    <xdr:rowOff>161925</xdr:rowOff>
                  </to>
                </anchor>
              </controlPr>
            </control>
          </mc:Choice>
        </mc:AlternateContent>
        <mc:AlternateContent xmlns:mc="http://schemas.openxmlformats.org/markup-compatibility/2006">
          <mc:Choice Requires="x14">
            <control shapeId="1351" r:id="rId1551" name="Button 327">
              <controlPr defaultSize="0" autoFill="0" autoLine="0" autoPict="0" macro="[0]!Sheet1.deleteRow">
                <anchor moveWithCells="1" sizeWithCells="1">
                  <from>
                    <xdr:col>6</xdr:col>
                    <xdr:colOff>0</xdr:colOff>
                    <xdr:row>2687</xdr:row>
                    <xdr:rowOff>0</xdr:rowOff>
                  </from>
                  <to>
                    <xdr:col>7</xdr:col>
                    <xdr:colOff>0</xdr:colOff>
                    <xdr:row>2687</xdr:row>
                    <xdr:rowOff>161925</xdr:rowOff>
                  </to>
                </anchor>
              </controlPr>
            </control>
          </mc:Choice>
        </mc:AlternateContent>
        <mc:AlternateContent xmlns:mc="http://schemas.openxmlformats.org/markup-compatibility/2006">
          <mc:Choice Requires="x14">
            <control shapeId="1350" r:id="rId1552" name="Button 326">
              <controlPr defaultSize="0" autoFill="0" autoLine="0" autoPict="0" macro="[0]!Sheet1.deleteRow">
                <anchor moveWithCells="1" sizeWithCells="1">
                  <from>
                    <xdr:col>6</xdr:col>
                    <xdr:colOff>0</xdr:colOff>
                    <xdr:row>2688</xdr:row>
                    <xdr:rowOff>0</xdr:rowOff>
                  </from>
                  <to>
                    <xdr:col>7</xdr:col>
                    <xdr:colOff>0</xdr:colOff>
                    <xdr:row>2688</xdr:row>
                    <xdr:rowOff>161925</xdr:rowOff>
                  </to>
                </anchor>
              </controlPr>
            </control>
          </mc:Choice>
        </mc:AlternateContent>
        <mc:AlternateContent xmlns:mc="http://schemas.openxmlformats.org/markup-compatibility/2006">
          <mc:Choice Requires="x14">
            <control shapeId="1349" r:id="rId1553" name="Button 325">
              <controlPr defaultSize="0" autoFill="0" autoLine="0" autoPict="0" macro="[0]!Sheet1.deleteProcedure">
                <anchor moveWithCells="1" sizeWithCells="1">
                  <from>
                    <xdr:col>6</xdr:col>
                    <xdr:colOff>0</xdr:colOff>
                    <xdr:row>2691</xdr:row>
                    <xdr:rowOff>0</xdr:rowOff>
                  </from>
                  <to>
                    <xdr:col>7</xdr:col>
                    <xdr:colOff>0</xdr:colOff>
                    <xdr:row>2692</xdr:row>
                    <xdr:rowOff>0</xdr:rowOff>
                  </to>
                </anchor>
              </controlPr>
            </control>
          </mc:Choice>
        </mc:AlternateContent>
        <mc:AlternateContent xmlns:mc="http://schemas.openxmlformats.org/markup-compatibility/2006">
          <mc:Choice Requires="x14">
            <control shapeId="1348" r:id="rId1554" name="Button 324">
              <controlPr defaultSize="0" autoFill="0" autoLine="0" autoPict="0" macro="[0]!Sheet1.InsertNewTableRow">
                <anchor moveWithCells="1" sizeWithCells="1">
                  <from>
                    <xdr:col>6</xdr:col>
                    <xdr:colOff>0</xdr:colOff>
                    <xdr:row>2698</xdr:row>
                    <xdr:rowOff>0</xdr:rowOff>
                  </from>
                  <to>
                    <xdr:col>7</xdr:col>
                    <xdr:colOff>0</xdr:colOff>
                    <xdr:row>2698</xdr:row>
                    <xdr:rowOff>38100</xdr:rowOff>
                  </to>
                </anchor>
              </controlPr>
            </control>
          </mc:Choice>
        </mc:AlternateContent>
        <mc:AlternateContent xmlns:mc="http://schemas.openxmlformats.org/markup-compatibility/2006">
          <mc:Choice Requires="x14">
            <control shapeId="1347" r:id="rId1555" name="Button 323">
              <controlPr defaultSize="0" autoFill="0" autoLine="0" autoPict="0" macro="[0]!Sheet1.deleteRow">
                <anchor moveWithCells="1" sizeWithCells="1">
                  <from>
                    <xdr:col>6</xdr:col>
                    <xdr:colOff>0</xdr:colOff>
                    <xdr:row>2699</xdr:row>
                    <xdr:rowOff>0</xdr:rowOff>
                  </from>
                  <to>
                    <xdr:col>7</xdr:col>
                    <xdr:colOff>0</xdr:colOff>
                    <xdr:row>2699</xdr:row>
                    <xdr:rowOff>161925</xdr:rowOff>
                  </to>
                </anchor>
              </controlPr>
            </control>
          </mc:Choice>
        </mc:AlternateContent>
        <mc:AlternateContent xmlns:mc="http://schemas.openxmlformats.org/markup-compatibility/2006">
          <mc:Choice Requires="x14">
            <control shapeId="1346" r:id="rId1556" name="Button 322">
              <controlPr defaultSize="0" autoFill="0" autoLine="0" autoPict="0" macro="[0]!Sheet1.deleteRow">
                <anchor moveWithCells="1" sizeWithCells="1">
                  <from>
                    <xdr:col>6</xdr:col>
                    <xdr:colOff>0</xdr:colOff>
                    <xdr:row>2700</xdr:row>
                    <xdr:rowOff>0</xdr:rowOff>
                  </from>
                  <to>
                    <xdr:col>7</xdr:col>
                    <xdr:colOff>0</xdr:colOff>
                    <xdr:row>2700</xdr:row>
                    <xdr:rowOff>161925</xdr:rowOff>
                  </to>
                </anchor>
              </controlPr>
            </control>
          </mc:Choice>
        </mc:AlternateContent>
        <mc:AlternateContent xmlns:mc="http://schemas.openxmlformats.org/markup-compatibility/2006">
          <mc:Choice Requires="x14">
            <control shapeId="1345" r:id="rId1557" name="Button 321">
              <controlPr defaultSize="0" autoFill="0" autoLine="0" autoPict="0" macro="[0]!Sheet1.deleteRow">
                <anchor moveWithCells="1" sizeWithCells="1">
                  <from>
                    <xdr:col>6</xdr:col>
                    <xdr:colOff>0</xdr:colOff>
                    <xdr:row>2701</xdr:row>
                    <xdr:rowOff>0</xdr:rowOff>
                  </from>
                  <to>
                    <xdr:col>7</xdr:col>
                    <xdr:colOff>0</xdr:colOff>
                    <xdr:row>2701</xdr:row>
                    <xdr:rowOff>161925</xdr:rowOff>
                  </to>
                </anchor>
              </controlPr>
            </control>
          </mc:Choice>
        </mc:AlternateContent>
        <mc:AlternateContent xmlns:mc="http://schemas.openxmlformats.org/markup-compatibility/2006">
          <mc:Choice Requires="x14">
            <control shapeId="1344" r:id="rId1558" name="Button 320">
              <controlPr defaultSize="0" autoFill="0" autoLine="0" autoPict="0" macro="[0]!Sheet1.deleteProcedure">
                <anchor moveWithCells="1" sizeWithCells="1">
                  <from>
                    <xdr:col>6</xdr:col>
                    <xdr:colOff>0</xdr:colOff>
                    <xdr:row>2704</xdr:row>
                    <xdr:rowOff>0</xdr:rowOff>
                  </from>
                  <to>
                    <xdr:col>7</xdr:col>
                    <xdr:colOff>0</xdr:colOff>
                    <xdr:row>2705</xdr:row>
                    <xdr:rowOff>0</xdr:rowOff>
                  </to>
                </anchor>
              </controlPr>
            </control>
          </mc:Choice>
        </mc:AlternateContent>
        <mc:AlternateContent xmlns:mc="http://schemas.openxmlformats.org/markup-compatibility/2006">
          <mc:Choice Requires="x14">
            <control shapeId="1343" r:id="rId1559" name="Button 319">
              <controlPr defaultSize="0" autoFill="0" autoLine="0" autoPict="0" macro="[0]!Sheet1.InsertNewTableRow">
                <anchor moveWithCells="1" sizeWithCells="1">
                  <from>
                    <xdr:col>6</xdr:col>
                    <xdr:colOff>0</xdr:colOff>
                    <xdr:row>2711</xdr:row>
                    <xdr:rowOff>0</xdr:rowOff>
                  </from>
                  <to>
                    <xdr:col>7</xdr:col>
                    <xdr:colOff>0</xdr:colOff>
                    <xdr:row>2711</xdr:row>
                    <xdr:rowOff>38100</xdr:rowOff>
                  </to>
                </anchor>
              </controlPr>
            </control>
          </mc:Choice>
        </mc:AlternateContent>
        <mc:AlternateContent xmlns:mc="http://schemas.openxmlformats.org/markup-compatibility/2006">
          <mc:Choice Requires="x14">
            <control shapeId="1342" r:id="rId1560" name="Button 318">
              <controlPr defaultSize="0" autoFill="0" autoLine="0" autoPict="0" macro="[0]!Sheet1.deleteRow">
                <anchor moveWithCells="1" sizeWithCells="1">
                  <from>
                    <xdr:col>6</xdr:col>
                    <xdr:colOff>0</xdr:colOff>
                    <xdr:row>2712</xdr:row>
                    <xdr:rowOff>0</xdr:rowOff>
                  </from>
                  <to>
                    <xdr:col>7</xdr:col>
                    <xdr:colOff>0</xdr:colOff>
                    <xdr:row>2712</xdr:row>
                    <xdr:rowOff>161925</xdr:rowOff>
                  </to>
                </anchor>
              </controlPr>
            </control>
          </mc:Choice>
        </mc:AlternateContent>
        <mc:AlternateContent xmlns:mc="http://schemas.openxmlformats.org/markup-compatibility/2006">
          <mc:Choice Requires="x14">
            <control shapeId="1341" r:id="rId1561" name="Button 317">
              <controlPr defaultSize="0" autoFill="0" autoLine="0" autoPict="0" macro="[0]!Sheet1.deleteRow">
                <anchor moveWithCells="1" sizeWithCells="1">
                  <from>
                    <xdr:col>6</xdr:col>
                    <xdr:colOff>0</xdr:colOff>
                    <xdr:row>2713</xdr:row>
                    <xdr:rowOff>0</xdr:rowOff>
                  </from>
                  <to>
                    <xdr:col>7</xdr:col>
                    <xdr:colOff>0</xdr:colOff>
                    <xdr:row>2713</xdr:row>
                    <xdr:rowOff>161925</xdr:rowOff>
                  </to>
                </anchor>
              </controlPr>
            </control>
          </mc:Choice>
        </mc:AlternateContent>
        <mc:AlternateContent xmlns:mc="http://schemas.openxmlformats.org/markup-compatibility/2006">
          <mc:Choice Requires="x14">
            <control shapeId="1340" r:id="rId1562" name="Button 316">
              <controlPr defaultSize="0" autoFill="0" autoLine="0" autoPict="0" macro="[0]!Sheet1.deleteRow">
                <anchor moveWithCells="1" sizeWithCells="1">
                  <from>
                    <xdr:col>6</xdr:col>
                    <xdr:colOff>0</xdr:colOff>
                    <xdr:row>2714</xdr:row>
                    <xdr:rowOff>0</xdr:rowOff>
                  </from>
                  <to>
                    <xdr:col>7</xdr:col>
                    <xdr:colOff>0</xdr:colOff>
                    <xdr:row>2714</xdr:row>
                    <xdr:rowOff>161925</xdr:rowOff>
                  </to>
                </anchor>
              </controlPr>
            </control>
          </mc:Choice>
        </mc:AlternateContent>
        <mc:AlternateContent xmlns:mc="http://schemas.openxmlformats.org/markup-compatibility/2006">
          <mc:Choice Requires="x14">
            <control shapeId="1339" r:id="rId1563" name="Button 315">
              <controlPr defaultSize="0" autoFill="0" autoLine="0" autoPict="0" macro="[0]!Sheet1.deleteProcedure">
                <anchor moveWithCells="1" sizeWithCells="1">
                  <from>
                    <xdr:col>6</xdr:col>
                    <xdr:colOff>0</xdr:colOff>
                    <xdr:row>2717</xdr:row>
                    <xdr:rowOff>0</xdr:rowOff>
                  </from>
                  <to>
                    <xdr:col>7</xdr:col>
                    <xdr:colOff>0</xdr:colOff>
                    <xdr:row>2718</xdr:row>
                    <xdr:rowOff>0</xdr:rowOff>
                  </to>
                </anchor>
              </controlPr>
            </control>
          </mc:Choice>
        </mc:AlternateContent>
        <mc:AlternateContent xmlns:mc="http://schemas.openxmlformats.org/markup-compatibility/2006">
          <mc:Choice Requires="x14">
            <control shapeId="1338" r:id="rId1564" name="Button 314">
              <controlPr defaultSize="0" autoFill="0" autoLine="0" autoPict="0" macro="[0]!Sheet1.InsertNewTableRow">
                <anchor moveWithCells="1" sizeWithCells="1">
                  <from>
                    <xdr:col>6</xdr:col>
                    <xdr:colOff>0</xdr:colOff>
                    <xdr:row>2724</xdr:row>
                    <xdr:rowOff>0</xdr:rowOff>
                  </from>
                  <to>
                    <xdr:col>7</xdr:col>
                    <xdr:colOff>0</xdr:colOff>
                    <xdr:row>2724</xdr:row>
                    <xdr:rowOff>38100</xdr:rowOff>
                  </to>
                </anchor>
              </controlPr>
            </control>
          </mc:Choice>
        </mc:AlternateContent>
        <mc:AlternateContent xmlns:mc="http://schemas.openxmlformats.org/markup-compatibility/2006">
          <mc:Choice Requires="x14">
            <control shapeId="1337" r:id="rId1565" name="Button 313">
              <controlPr defaultSize="0" autoFill="0" autoLine="0" autoPict="0" macro="[0]!Sheet1.deleteRow">
                <anchor moveWithCells="1" sizeWithCells="1">
                  <from>
                    <xdr:col>6</xdr:col>
                    <xdr:colOff>0</xdr:colOff>
                    <xdr:row>2725</xdr:row>
                    <xdr:rowOff>0</xdr:rowOff>
                  </from>
                  <to>
                    <xdr:col>7</xdr:col>
                    <xdr:colOff>0</xdr:colOff>
                    <xdr:row>2725</xdr:row>
                    <xdr:rowOff>161925</xdr:rowOff>
                  </to>
                </anchor>
              </controlPr>
            </control>
          </mc:Choice>
        </mc:AlternateContent>
        <mc:AlternateContent xmlns:mc="http://schemas.openxmlformats.org/markup-compatibility/2006">
          <mc:Choice Requires="x14">
            <control shapeId="1336" r:id="rId1566" name="Button 312">
              <controlPr defaultSize="0" autoFill="0" autoLine="0" autoPict="0" macro="[0]!Sheet1.deleteProcedure">
                <anchor moveWithCells="1" sizeWithCells="1">
                  <from>
                    <xdr:col>6</xdr:col>
                    <xdr:colOff>0</xdr:colOff>
                    <xdr:row>2728</xdr:row>
                    <xdr:rowOff>0</xdr:rowOff>
                  </from>
                  <to>
                    <xdr:col>7</xdr:col>
                    <xdr:colOff>0</xdr:colOff>
                    <xdr:row>2729</xdr:row>
                    <xdr:rowOff>0</xdr:rowOff>
                  </to>
                </anchor>
              </controlPr>
            </control>
          </mc:Choice>
        </mc:AlternateContent>
        <mc:AlternateContent xmlns:mc="http://schemas.openxmlformats.org/markup-compatibility/2006">
          <mc:Choice Requires="x14">
            <control shapeId="1335" r:id="rId1567" name="Button 311">
              <controlPr defaultSize="0" autoFill="0" autoLine="0" autoPict="0" macro="[0]!Sheet1.InsertNewTableRow">
                <anchor moveWithCells="1" sizeWithCells="1">
                  <from>
                    <xdr:col>6</xdr:col>
                    <xdr:colOff>0</xdr:colOff>
                    <xdr:row>2735</xdr:row>
                    <xdr:rowOff>0</xdr:rowOff>
                  </from>
                  <to>
                    <xdr:col>7</xdr:col>
                    <xdr:colOff>0</xdr:colOff>
                    <xdr:row>2735</xdr:row>
                    <xdr:rowOff>38100</xdr:rowOff>
                  </to>
                </anchor>
              </controlPr>
            </control>
          </mc:Choice>
        </mc:AlternateContent>
        <mc:AlternateContent xmlns:mc="http://schemas.openxmlformats.org/markup-compatibility/2006">
          <mc:Choice Requires="x14">
            <control shapeId="1334" r:id="rId1568" name="Button 310">
              <controlPr defaultSize="0" autoFill="0" autoLine="0" autoPict="0" macro="[0]!Sheet1.deleteRow">
                <anchor moveWithCells="1" sizeWithCells="1">
                  <from>
                    <xdr:col>6</xdr:col>
                    <xdr:colOff>0</xdr:colOff>
                    <xdr:row>2736</xdr:row>
                    <xdr:rowOff>0</xdr:rowOff>
                  </from>
                  <to>
                    <xdr:col>7</xdr:col>
                    <xdr:colOff>0</xdr:colOff>
                    <xdr:row>2736</xdr:row>
                    <xdr:rowOff>161925</xdr:rowOff>
                  </to>
                </anchor>
              </controlPr>
            </control>
          </mc:Choice>
        </mc:AlternateContent>
        <mc:AlternateContent xmlns:mc="http://schemas.openxmlformats.org/markup-compatibility/2006">
          <mc:Choice Requires="x14">
            <control shapeId="1333" r:id="rId1569" name="Button 309">
              <controlPr defaultSize="0" autoFill="0" autoLine="0" autoPict="0" macro="[0]!Sheet1.deleteProcedure">
                <anchor moveWithCells="1" sizeWithCells="1">
                  <from>
                    <xdr:col>6</xdr:col>
                    <xdr:colOff>0</xdr:colOff>
                    <xdr:row>2739</xdr:row>
                    <xdr:rowOff>0</xdr:rowOff>
                  </from>
                  <to>
                    <xdr:col>7</xdr:col>
                    <xdr:colOff>0</xdr:colOff>
                    <xdr:row>2740</xdr:row>
                    <xdr:rowOff>0</xdr:rowOff>
                  </to>
                </anchor>
              </controlPr>
            </control>
          </mc:Choice>
        </mc:AlternateContent>
        <mc:AlternateContent xmlns:mc="http://schemas.openxmlformats.org/markup-compatibility/2006">
          <mc:Choice Requires="x14">
            <control shapeId="1332" r:id="rId1570" name="Button 308">
              <controlPr defaultSize="0" autoFill="0" autoLine="0" autoPict="0" macro="[0]!Sheet1.InsertNewTableRow">
                <anchor moveWithCells="1" sizeWithCells="1">
                  <from>
                    <xdr:col>6</xdr:col>
                    <xdr:colOff>0</xdr:colOff>
                    <xdr:row>2746</xdr:row>
                    <xdr:rowOff>0</xdr:rowOff>
                  </from>
                  <to>
                    <xdr:col>7</xdr:col>
                    <xdr:colOff>0</xdr:colOff>
                    <xdr:row>2746</xdr:row>
                    <xdr:rowOff>38100</xdr:rowOff>
                  </to>
                </anchor>
              </controlPr>
            </control>
          </mc:Choice>
        </mc:AlternateContent>
        <mc:AlternateContent xmlns:mc="http://schemas.openxmlformats.org/markup-compatibility/2006">
          <mc:Choice Requires="x14">
            <control shapeId="1331" r:id="rId1571" name="Button 307">
              <controlPr defaultSize="0" autoFill="0" autoLine="0" autoPict="0" macro="[0]!Sheet1.deleteRow">
                <anchor moveWithCells="1" sizeWithCells="1">
                  <from>
                    <xdr:col>6</xdr:col>
                    <xdr:colOff>0</xdr:colOff>
                    <xdr:row>2747</xdr:row>
                    <xdr:rowOff>0</xdr:rowOff>
                  </from>
                  <to>
                    <xdr:col>7</xdr:col>
                    <xdr:colOff>0</xdr:colOff>
                    <xdr:row>2747</xdr:row>
                    <xdr:rowOff>161925</xdr:rowOff>
                  </to>
                </anchor>
              </controlPr>
            </control>
          </mc:Choice>
        </mc:AlternateContent>
        <mc:AlternateContent xmlns:mc="http://schemas.openxmlformats.org/markup-compatibility/2006">
          <mc:Choice Requires="x14">
            <control shapeId="1330" r:id="rId1572" name="Button 306">
              <controlPr defaultSize="0" autoFill="0" autoLine="0" autoPict="0" macro="[0]!Sheet1.deleteRow">
                <anchor moveWithCells="1" sizeWithCells="1">
                  <from>
                    <xdr:col>6</xdr:col>
                    <xdr:colOff>0</xdr:colOff>
                    <xdr:row>2748</xdr:row>
                    <xdr:rowOff>0</xdr:rowOff>
                  </from>
                  <to>
                    <xdr:col>7</xdr:col>
                    <xdr:colOff>0</xdr:colOff>
                    <xdr:row>2748</xdr:row>
                    <xdr:rowOff>161925</xdr:rowOff>
                  </to>
                </anchor>
              </controlPr>
            </control>
          </mc:Choice>
        </mc:AlternateContent>
        <mc:AlternateContent xmlns:mc="http://schemas.openxmlformats.org/markup-compatibility/2006">
          <mc:Choice Requires="x14">
            <control shapeId="1329" r:id="rId1573" name="Button 305">
              <controlPr defaultSize="0" autoFill="0" autoLine="0" autoPict="0" macro="[0]!Sheet1.deleteRow">
                <anchor moveWithCells="1" sizeWithCells="1">
                  <from>
                    <xdr:col>6</xdr:col>
                    <xdr:colOff>0</xdr:colOff>
                    <xdr:row>2749</xdr:row>
                    <xdr:rowOff>0</xdr:rowOff>
                  </from>
                  <to>
                    <xdr:col>7</xdr:col>
                    <xdr:colOff>0</xdr:colOff>
                    <xdr:row>2749</xdr:row>
                    <xdr:rowOff>161925</xdr:rowOff>
                  </to>
                </anchor>
              </controlPr>
            </control>
          </mc:Choice>
        </mc:AlternateContent>
        <mc:AlternateContent xmlns:mc="http://schemas.openxmlformats.org/markup-compatibility/2006">
          <mc:Choice Requires="x14">
            <control shapeId="1328" r:id="rId1574" name="Button 304">
              <controlPr defaultSize="0" autoFill="0" autoLine="0" autoPict="0" macro="[0]!Sheet1.deleteRow">
                <anchor moveWithCells="1" sizeWithCells="1">
                  <from>
                    <xdr:col>6</xdr:col>
                    <xdr:colOff>0</xdr:colOff>
                    <xdr:row>2750</xdr:row>
                    <xdr:rowOff>0</xdr:rowOff>
                  </from>
                  <to>
                    <xdr:col>7</xdr:col>
                    <xdr:colOff>0</xdr:colOff>
                    <xdr:row>2750</xdr:row>
                    <xdr:rowOff>161925</xdr:rowOff>
                  </to>
                </anchor>
              </controlPr>
            </control>
          </mc:Choice>
        </mc:AlternateContent>
        <mc:AlternateContent xmlns:mc="http://schemas.openxmlformats.org/markup-compatibility/2006">
          <mc:Choice Requires="x14">
            <control shapeId="1327" r:id="rId1575" name="Button 303">
              <controlPr defaultSize="0" autoFill="0" autoLine="0" autoPict="0" macro="[0]!Sheet1.deleteRow">
                <anchor moveWithCells="1" sizeWithCells="1">
                  <from>
                    <xdr:col>6</xdr:col>
                    <xdr:colOff>0</xdr:colOff>
                    <xdr:row>2751</xdr:row>
                    <xdr:rowOff>0</xdr:rowOff>
                  </from>
                  <to>
                    <xdr:col>7</xdr:col>
                    <xdr:colOff>0</xdr:colOff>
                    <xdr:row>2751</xdr:row>
                    <xdr:rowOff>161925</xdr:rowOff>
                  </to>
                </anchor>
              </controlPr>
            </control>
          </mc:Choice>
        </mc:AlternateContent>
        <mc:AlternateContent xmlns:mc="http://schemas.openxmlformats.org/markup-compatibility/2006">
          <mc:Choice Requires="x14">
            <control shapeId="1326" r:id="rId1576" name="Button 302">
              <controlPr defaultSize="0" autoFill="0" autoLine="0" autoPict="0" macro="[0]!Sheet1.deleteRow">
                <anchor moveWithCells="1" sizeWithCells="1">
                  <from>
                    <xdr:col>6</xdr:col>
                    <xdr:colOff>0</xdr:colOff>
                    <xdr:row>2752</xdr:row>
                    <xdr:rowOff>0</xdr:rowOff>
                  </from>
                  <to>
                    <xdr:col>7</xdr:col>
                    <xdr:colOff>0</xdr:colOff>
                    <xdr:row>2752</xdr:row>
                    <xdr:rowOff>161925</xdr:rowOff>
                  </to>
                </anchor>
              </controlPr>
            </control>
          </mc:Choice>
        </mc:AlternateContent>
        <mc:AlternateContent xmlns:mc="http://schemas.openxmlformats.org/markup-compatibility/2006">
          <mc:Choice Requires="x14">
            <control shapeId="1325" r:id="rId1577" name="Button 301">
              <controlPr defaultSize="0" autoFill="0" autoLine="0" autoPict="0" macro="[0]!Sheet1.deleteRow">
                <anchor moveWithCells="1" sizeWithCells="1">
                  <from>
                    <xdr:col>6</xdr:col>
                    <xdr:colOff>0</xdr:colOff>
                    <xdr:row>2753</xdr:row>
                    <xdr:rowOff>0</xdr:rowOff>
                  </from>
                  <to>
                    <xdr:col>7</xdr:col>
                    <xdr:colOff>0</xdr:colOff>
                    <xdr:row>2753</xdr:row>
                    <xdr:rowOff>161925</xdr:rowOff>
                  </to>
                </anchor>
              </controlPr>
            </control>
          </mc:Choice>
        </mc:AlternateContent>
        <mc:AlternateContent xmlns:mc="http://schemas.openxmlformats.org/markup-compatibility/2006">
          <mc:Choice Requires="x14">
            <control shapeId="1324" r:id="rId1578" name="Button 300">
              <controlPr defaultSize="0" autoFill="0" autoLine="0" autoPict="0" macro="[0]!Sheet1.deleteRow">
                <anchor moveWithCells="1" sizeWithCells="1">
                  <from>
                    <xdr:col>6</xdr:col>
                    <xdr:colOff>0</xdr:colOff>
                    <xdr:row>2754</xdr:row>
                    <xdr:rowOff>0</xdr:rowOff>
                  </from>
                  <to>
                    <xdr:col>7</xdr:col>
                    <xdr:colOff>0</xdr:colOff>
                    <xdr:row>2754</xdr:row>
                    <xdr:rowOff>161925</xdr:rowOff>
                  </to>
                </anchor>
              </controlPr>
            </control>
          </mc:Choice>
        </mc:AlternateContent>
        <mc:AlternateContent xmlns:mc="http://schemas.openxmlformats.org/markup-compatibility/2006">
          <mc:Choice Requires="x14">
            <control shapeId="1323" r:id="rId1579" name="Button 299">
              <controlPr defaultSize="0" autoFill="0" autoLine="0" autoPict="0" macro="[0]!Sheet1.deleteRow">
                <anchor moveWithCells="1" sizeWithCells="1">
                  <from>
                    <xdr:col>6</xdr:col>
                    <xdr:colOff>0</xdr:colOff>
                    <xdr:row>2755</xdr:row>
                    <xdr:rowOff>0</xdr:rowOff>
                  </from>
                  <to>
                    <xdr:col>7</xdr:col>
                    <xdr:colOff>0</xdr:colOff>
                    <xdr:row>2755</xdr:row>
                    <xdr:rowOff>161925</xdr:rowOff>
                  </to>
                </anchor>
              </controlPr>
            </control>
          </mc:Choice>
        </mc:AlternateContent>
        <mc:AlternateContent xmlns:mc="http://schemas.openxmlformats.org/markup-compatibility/2006">
          <mc:Choice Requires="x14">
            <control shapeId="1322" r:id="rId1580" name="Button 298">
              <controlPr defaultSize="0" autoFill="0" autoLine="0" autoPict="0" macro="[0]!Sheet1.deleteRow">
                <anchor moveWithCells="1" sizeWithCells="1">
                  <from>
                    <xdr:col>6</xdr:col>
                    <xdr:colOff>0</xdr:colOff>
                    <xdr:row>2756</xdr:row>
                    <xdr:rowOff>0</xdr:rowOff>
                  </from>
                  <to>
                    <xdr:col>7</xdr:col>
                    <xdr:colOff>0</xdr:colOff>
                    <xdr:row>2756</xdr:row>
                    <xdr:rowOff>161925</xdr:rowOff>
                  </to>
                </anchor>
              </controlPr>
            </control>
          </mc:Choice>
        </mc:AlternateContent>
        <mc:AlternateContent xmlns:mc="http://schemas.openxmlformats.org/markup-compatibility/2006">
          <mc:Choice Requires="x14">
            <control shapeId="1321" r:id="rId1581" name="Button 297">
              <controlPr defaultSize="0" autoFill="0" autoLine="0" autoPict="0" macro="[0]!Sheet1.deleteRow">
                <anchor moveWithCells="1" sizeWithCells="1">
                  <from>
                    <xdr:col>6</xdr:col>
                    <xdr:colOff>0</xdr:colOff>
                    <xdr:row>2757</xdr:row>
                    <xdr:rowOff>0</xdr:rowOff>
                  </from>
                  <to>
                    <xdr:col>7</xdr:col>
                    <xdr:colOff>0</xdr:colOff>
                    <xdr:row>2757</xdr:row>
                    <xdr:rowOff>161925</xdr:rowOff>
                  </to>
                </anchor>
              </controlPr>
            </control>
          </mc:Choice>
        </mc:AlternateContent>
        <mc:AlternateContent xmlns:mc="http://schemas.openxmlformats.org/markup-compatibility/2006">
          <mc:Choice Requires="x14">
            <control shapeId="1320" r:id="rId1582" name="Button 296">
              <controlPr defaultSize="0" autoFill="0" autoLine="0" autoPict="0" macro="[0]!Sheet1.deleteRow">
                <anchor moveWithCells="1" sizeWithCells="1">
                  <from>
                    <xdr:col>6</xdr:col>
                    <xdr:colOff>0</xdr:colOff>
                    <xdr:row>2758</xdr:row>
                    <xdr:rowOff>0</xdr:rowOff>
                  </from>
                  <to>
                    <xdr:col>7</xdr:col>
                    <xdr:colOff>0</xdr:colOff>
                    <xdr:row>2758</xdr:row>
                    <xdr:rowOff>161925</xdr:rowOff>
                  </to>
                </anchor>
              </controlPr>
            </control>
          </mc:Choice>
        </mc:AlternateContent>
        <mc:AlternateContent xmlns:mc="http://schemas.openxmlformats.org/markup-compatibility/2006">
          <mc:Choice Requires="x14">
            <control shapeId="1319" r:id="rId1583" name="Button 295">
              <controlPr defaultSize="0" autoFill="0" autoLine="0" autoPict="0" macro="[0]!Sheet1.deleteRow">
                <anchor moveWithCells="1" sizeWithCells="1">
                  <from>
                    <xdr:col>6</xdr:col>
                    <xdr:colOff>0</xdr:colOff>
                    <xdr:row>2759</xdr:row>
                    <xdr:rowOff>0</xdr:rowOff>
                  </from>
                  <to>
                    <xdr:col>7</xdr:col>
                    <xdr:colOff>0</xdr:colOff>
                    <xdr:row>2759</xdr:row>
                    <xdr:rowOff>161925</xdr:rowOff>
                  </to>
                </anchor>
              </controlPr>
            </control>
          </mc:Choice>
        </mc:AlternateContent>
        <mc:AlternateContent xmlns:mc="http://schemas.openxmlformats.org/markup-compatibility/2006">
          <mc:Choice Requires="x14">
            <control shapeId="1318" r:id="rId1584" name="Button 294">
              <controlPr defaultSize="0" autoFill="0" autoLine="0" autoPict="0" macro="[0]!Sheet1.deleteRow">
                <anchor moveWithCells="1" sizeWithCells="1">
                  <from>
                    <xdr:col>6</xdr:col>
                    <xdr:colOff>0</xdr:colOff>
                    <xdr:row>2760</xdr:row>
                    <xdr:rowOff>0</xdr:rowOff>
                  </from>
                  <to>
                    <xdr:col>7</xdr:col>
                    <xdr:colOff>0</xdr:colOff>
                    <xdr:row>2760</xdr:row>
                    <xdr:rowOff>161925</xdr:rowOff>
                  </to>
                </anchor>
              </controlPr>
            </control>
          </mc:Choice>
        </mc:AlternateContent>
        <mc:AlternateContent xmlns:mc="http://schemas.openxmlformats.org/markup-compatibility/2006">
          <mc:Choice Requires="x14">
            <control shapeId="1317" r:id="rId1585" name="Button 293">
              <controlPr defaultSize="0" autoFill="0" autoLine="0" autoPict="0" macro="[0]!Sheet1.deleteRow">
                <anchor moveWithCells="1" sizeWithCells="1">
                  <from>
                    <xdr:col>6</xdr:col>
                    <xdr:colOff>0</xdr:colOff>
                    <xdr:row>2761</xdr:row>
                    <xdr:rowOff>0</xdr:rowOff>
                  </from>
                  <to>
                    <xdr:col>7</xdr:col>
                    <xdr:colOff>0</xdr:colOff>
                    <xdr:row>2761</xdr:row>
                    <xdr:rowOff>161925</xdr:rowOff>
                  </to>
                </anchor>
              </controlPr>
            </control>
          </mc:Choice>
        </mc:AlternateContent>
        <mc:AlternateContent xmlns:mc="http://schemas.openxmlformats.org/markup-compatibility/2006">
          <mc:Choice Requires="x14">
            <control shapeId="1316" r:id="rId1586" name="Button 292">
              <controlPr defaultSize="0" autoFill="0" autoLine="0" autoPict="0" macro="[0]!Sheet1.deleteRow">
                <anchor moveWithCells="1" sizeWithCells="1">
                  <from>
                    <xdr:col>6</xdr:col>
                    <xdr:colOff>0</xdr:colOff>
                    <xdr:row>2762</xdr:row>
                    <xdr:rowOff>0</xdr:rowOff>
                  </from>
                  <to>
                    <xdr:col>7</xdr:col>
                    <xdr:colOff>0</xdr:colOff>
                    <xdr:row>2762</xdr:row>
                    <xdr:rowOff>161925</xdr:rowOff>
                  </to>
                </anchor>
              </controlPr>
            </control>
          </mc:Choice>
        </mc:AlternateContent>
        <mc:AlternateContent xmlns:mc="http://schemas.openxmlformats.org/markup-compatibility/2006">
          <mc:Choice Requires="x14">
            <control shapeId="1315" r:id="rId1587" name="Button 291">
              <controlPr defaultSize="0" autoFill="0" autoLine="0" autoPict="0" macro="[0]!Sheet1.deleteRow">
                <anchor moveWithCells="1" sizeWithCells="1">
                  <from>
                    <xdr:col>6</xdr:col>
                    <xdr:colOff>0</xdr:colOff>
                    <xdr:row>2763</xdr:row>
                    <xdr:rowOff>0</xdr:rowOff>
                  </from>
                  <to>
                    <xdr:col>7</xdr:col>
                    <xdr:colOff>0</xdr:colOff>
                    <xdr:row>2763</xdr:row>
                    <xdr:rowOff>161925</xdr:rowOff>
                  </to>
                </anchor>
              </controlPr>
            </control>
          </mc:Choice>
        </mc:AlternateContent>
        <mc:AlternateContent xmlns:mc="http://schemas.openxmlformats.org/markup-compatibility/2006">
          <mc:Choice Requires="x14">
            <control shapeId="1314" r:id="rId1588" name="Button 290">
              <controlPr defaultSize="0" autoFill="0" autoLine="0" autoPict="0" macro="[0]!Sheet1.deleteRow">
                <anchor moveWithCells="1" sizeWithCells="1">
                  <from>
                    <xdr:col>6</xdr:col>
                    <xdr:colOff>0</xdr:colOff>
                    <xdr:row>2764</xdr:row>
                    <xdr:rowOff>0</xdr:rowOff>
                  </from>
                  <to>
                    <xdr:col>7</xdr:col>
                    <xdr:colOff>0</xdr:colOff>
                    <xdr:row>2764</xdr:row>
                    <xdr:rowOff>161925</xdr:rowOff>
                  </to>
                </anchor>
              </controlPr>
            </control>
          </mc:Choice>
        </mc:AlternateContent>
        <mc:AlternateContent xmlns:mc="http://schemas.openxmlformats.org/markup-compatibility/2006">
          <mc:Choice Requires="x14">
            <control shapeId="1313" r:id="rId1589" name="Button 289">
              <controlPr defaultSize="0" autoFill="0" autoLine="0" autoPict="0" macro="[0]!Sheet1.deleteRow">
                <anchor moveWithCells="1" sizeWithCells="1">
                  <from>
                    <xdr:col>6</xdr:col>
                    <xdr:colOff>0</xdr:colOff>
                    <xdr:row>2765</xdr:row>
                    <xdr:rowOff>0</xdr:rowOff>
                  </from>
                  <to>
                    <xdr:col>7</xdr:col>
                    <xdr:colOff>0</xdr:colOff>
                    <xdr:row>2765</xdr:row>
                    <xdr:rowOff>161925</xdr:rowOff>
                  </to>
                </anchor>
              </controlPr>
            </control>
          </mc:Choice>
        </mc:AlternateContent>
        <mc:AlternateContent xmlns:mc="http://schemas.openxmlformats.org/markup-compatibility/2006">
          <mc:Choice Requires="x14">
            <control shapeId="1312" r:id="rId1590" name="Button 288">
              <controlPr defaultSize="0" autoFill="0" autoLine="0" autoPict="0" macro="[0]!Sheet1.deleteRow">
                <anchor moveWithCells="1" sizeWithCells="1">
                  <from>
                    <xdr:col>6</xdr:col>
                    <xdr:colOff>0</xdr:colOff>
                    <xdr:row>2766</xdr:row>
                    <xdr:rowOff>0</xdr:rowOff>
                  </from>
                  <to>
                    <xdr:col>7</xdr:col>
                    <xdr:colOff>0</xdr:colOff>
                    <xdr:row>2766</xdr:row>
                    <xdr:rowOff>161925</xdr:rowOff>
                  </to>
                </anchor>
              </controlPr>
            </control>
          </mc:Choice>
        </mc:AlternateContent>
        <mc:AlternateContent xmlns:mc="http://schemas.openxmlformats.org/markup-compatibility/2006">
          <mc:Choice Requires="x14">
            <control shapeId="1311" r:id="rId1591" name="Button 287">
              <controlPr defaultSize="0" autoFill="0" autoLine="0" autoPict="0" macro="[0]!Sheet1.deleteRow">
                <anchor moveWithCells="1" sizeWithCells="1">
                  <from>
                    <xdr:col>6</xdr:col>
                    <xdr:colOff>0</xdr:colOff>
                    <xdr:row>2767</xdr:row>
                    <xdr:rowOff>0</xdr:rowOff>
                  </from>
                  <to>
                    <xdr:col>7</xdr:col>
                    <xdr:colOff>0</xdr:colOff>
                    <xdr:row>2767</xdr:row>
                    <xdr:rowOff>161925</xdr:rowOff>
                  </to>
                </anchor>
              </controlPr>
            </control>
          </mc:Choice>
        </mc:AlternateContent>
        <mc:AlternateContent xmlns:mc="http://schemas.openxmlformats.org/markup-compatibility/2006">
          <mc:Choice Requires="x14">
            <control shapeId="1310" r:id="rId1592" name="Button 286">
              <controlPr defaultSize="0" autoFill="0" autoLine="0" autoPict="0" macro="[0]!Sheet1.deleteRow">
                <anchor moveWithCells="1" sizeWithCells="1">
                  <from>
                    <xdr:col>6</xdr:col>
                    <xdr:colOff>0</xdr:colOff>
                    <xdr:row>2768</xdr:row>
                    <xdr:rowOff>0</xdr:rowOff>
                  </from>
                  <to>
                    <xdr:col>7</xdr:col>
                    <xdr:colOff>0</xdr:colOff>
                    <xdr:row>2768</xdr:row>
                    <xdr:rowOff>161925</xdr:rowOff>
                  </to>
                </anchor>
              </controlPr>
            </control>
          </mc:Choice>
        </mc:AlternateContent>
        <mc:AlternateContent xmlns:mc="http://schemas.openxmlformats.org/markup-compatibility/2006">
          <mc:Choice Requires="x14">
            <control shapeId="1309" r:id="rId1593" name="Button 285">
              <controlPr defaultSize="0" autoFill="0" autoLine="0" autoPict="0" macro="[0]!Sheet1.deleteRow">
                <anchor moveWithCells="1" sizeWithCells="1">
                  <from>
                    <xdr:col>6</xdr:col>
                    <xdr:colOff>0</xdr:colOff>
                    <xdr:row>2769</xdr:row>
                    <xdr:rowOff>0</xdr:rowOff>
                  </from>
                  <to>
                    <xdr:col>7</xdr:col>
                    <xdr:colOff>0</xdr:colOff>
                    <xdr:row>2769</xdr:row>
                    <xdr:rowOff>161925</xdr:rowOff>
                  </to>
                </anchor>
              </controlPr>
            </control>
          </mc:Choice>
        </mc:AlternateContent>
        <mc:AlternateContent xmlns:mc="http://schemas.openxmlformats.org/markup-compatibility/2006">
          <mc:Choice Requires="x14">
            <control shapeId="1308" r:id="rId1594" name="Button 284">
              <controlPr defaultSize="0" autoFill="0" autoLine="0" autoPict="0" macro="[0]!Sheet1.deleteRow">
                <anchor moveWithCells="1" sizeWithCells="1">
                  <from>
                    <xdr:col>6</xdr:col>
                    <xdr:colOff>0</xdr:colOff>
                    <xdr:row>2770</xdr:row>
                    <xdr:rowOff>0</xdr:rowOff>
                  </from>
                  <to>
                    <xdr:col>7</xdr:col>
                    <xdr:colOff>0</xdr:colOff>
                    <xdr:row>2770</xdr:row>
                    <xdr:rowOff>161925</xdr:rowOff>
                  </to>
                </anchor>
              </controlPr>
            </control>
          </mc:Choice>
        </mc:AlternateContent>
        <mc:AlternateContent xmlns:mc="http://schemas.openxmlformats.org/markup-compatibility/2006">
          <mc:Choice Requires="x14">
            <control shapeId="1307" r:id="rId1595" name="Button 283">
              <controlPr defaultSize="0" autoFill="0" autoLine="0" autoPict="0" macro="[0]!Sheet1.deleteProcedure">
                <anchor moveWithCells="1" sizeWithCells="1">
                  <from>
                    <xdr:col>6</xdr:col>
                    <xdr:colOff>0</xdr:colOff>
                    <xdr:row>2773</xdr:row>
                    <xdr:rowOff>0</xdr:rowOff>
                  </from>
                  <to>
                    <xdr:col>7</xdr:col>
                    <xdr:colOff>0</xdr:colOff>
                    <xdr:row>2774</xdr:row>
                    <xdr:rowOff>0</xdr:rowOff>
                  </to>
                </anchor>
              </controlPr>
            </control>
          </mc:Choice>
        </mc:AlternateContent>
        <mc:AlternateContent xmlns:mc="http://schemas.openxmlformats.org/markup-compatibility/2006">
          <mc:Choice Requires="x14">
            <control shapeId="1306" r:id="rId1596" name="Button 282">
              <controlPr defaultSize="0" autoFill="0" autoLine="0" autoPict="0" macro="[0]!Sheet1.InsertNewTableRow">
                <anchor moveWithCells="1" sizeWithCells="1">
                  <from>
                    <xdr:col>6</xdr:col>
                    <xdr:colOff>0</xdr:colOff>
                    <xdr:row>2780</xdr:row>
                    <xdr:rowOff>0</xdr:rowOff>
                  </from>
                  <to>
                    <xdr:col>7</xdr:col>
                    <xdr:colOff>0</xdr:colOff>
                    <xdr:row>2780</xdr:row>
                    <xdr:rowOff>38100</xdr:rowOff>
                  </to>
                </anchor>
              </controlPr>
            </control>
          </mc:Choice>
        </mc:AlternateContent>
        <mc:AlternateContent xmlns:mc="http://schemas.openxmlformats.org/markup-compatibility/2006">
          <mc:Choice Requires="x14">
            <control shapeId="1305" r:id="rId1597" name="Button 281">
              <controlPr defaultSize="0" autoFill="0" autoLine="0" autoPict="0" macro="[0]!Sheet1.deleteRow">
                <anchor moveWithCells="1" sizeWithCells="1">
                  <from>
                    <xdr:col>6</xdr:col>
                    <xdr:colOff>0</xdr:colOff>
                    <xdr:row>2781</xdr:row>
                    <xdr:rowOff>0</xdr:rowOff>
                  </from>
                  <to>
                    <xdr:col>7</xdr:col>
                    <xdr:colOff>0</xdr:colOff>
                    <xdr:row>2781</xdr:row>
                    <xdr:rowOff>161925</xdr:rowOff>
                  </to>
                </anchor>
              </controlPr>
            </control>
          </mc:Choice>
        </mc:AlternateContent>
        <mc:AlternateContent xmlns:mc="http://schemas.openxmlformats.org/markup-compatibility/2006">
          <mc:Choice Requires="x14">
            <control shapeId="1304" r:id="rId1598" name="Button 280">
              <controlPr defaultSize="0" autoFill="0" autoLine="0" autoPict="0" macro="[0]!Sheet1.deleteProcedure">
                <anchor moveWithCells="1" sizeWithCells="1">
                  <from>
                    <xdr:col>6</xdr:col>
                    <xdr:colOff>0</xdr:colOff>
                    <xdr:row>2784</xdr:row>
                    <xdr:rowOff>0</xdr:rowOff>
                  </from>
                  <to>
                    <xdr:col>7</xdr:col>
                    <xdr:colOff>0</xdr:colOff>
                    <xdr:row>2785</xdr:row>
                    <xdr:rowOff>0</xdr:rowOff>
                  </to>
                </anchor>
              </controlPr>
            </control>
          </mc:Choice>
        </mc:AlternateContent>
        <mc:AlternateContent xmlns:mc="http://schemas.openxmlformats.org/markup-compatibility/2006">
          <mc:Choice Requires="x14">
            <control shapeId="1303" r:id="rId1599" name="Button 279">
              <controlPr defaultSize="0" autoFill="0" autoLine="0" autoPict="0" macro="[0]!Sheet1.InsertNewTableRow">
                <anchor moveWithCells="1" sizeWithCells="1">
                  <from>
                    <xdr:col>6</xdr:col>
                    <xdr:colOff>0</xdr:colOff>
                    <xdr:row>2791</xdr:row>
                    <xdr:rowOff>0</xdr:rowOff>
                  </from>
                  <to>
                    <xdr:col>7</xdr:col>
                    <xdr:colOff>0</xdr:colOff>
                    <xdr:row>2791</xdr:row>
                    <xdr:rowOff>38100</xdr:rowOff>
                  </to>
                </anchor>
              </controlPr>
            </control>
          </mc:Choice>
        </mc:AlternateContent>
        <mc:AlternateContent xmlns:mc="http://schemas.openxmlformats.org/markup-compatibility/2006">
          <mc:Choice Requires="x14">
            <control shapeId="1302" r:id="rId1600" name="Button 278">
              <controlPr defaultSize="0" autoFill="0" autoLine="0" autoPict="0" macro="[0]!Sheet1.deleteRow">
                <anchor moveWithCells="1" sizeWithCells="1">
                  <from>
                    <xdr:col>6</xdr:col>
                    <xdr:colOff>0</xdr:colOff>
                    <xdr:row>2792</xdr:row>
                    <xdr:rowOff>0</xdr:rowOff>
                  </from>
                  <to>
                    <xdr:col>7</xdr:col>
                    <xdr:colOff>0</xdr:colOff>
                    <xdr:row>2792</xdr:row>
                    <xdr:rowOff>161925</xdr:rowOff>
                  </to>
                </anchor>
              </controlPr>
            </control>
          </mc:Choice>
        </mc:AlternateContent>
        <mc:AlternateContent xmlns:mc="http://schemas.openxmlformats.org/markup-compatibility/2006">
          <mc:Choice Requires="x14">
            <control shapeId="1301" r:id="rId1601" name="Button 277">
              <controlPr defaultSize="0" autoFill="0" autoLine="0" autoPict="0" macro="[0]!Sheet1.deleteProcedure">
                <anchor moveWithCells="1" sizeWithCells="1">
                  <from>
                    <xdr:col>6</xdr:col>
                    <xdr:colOff>0</xdr:colOff>
                    <xdr:row>2795</xdr:row>
                    <xdr:rowOff>0</xdr:rowOff>
                  </from>
                  <to>
                    <xdr:col>7</xdr:col>
                    <xdr:colOff>0</xdr:colOff>
                    <xdr:row>2796</xdr:row>
                    <xdr:rowOff>0</xdr:rowOff>
                  </to>
                </anchor>
              </controlPr>
            </control>
          </mc:Choice>
        </mc:AlternateContent>
        <mc:AlternateContent xmlns:mc="http://schemas.openxmlformats.org/markup-compatibility/2006">
          <mc:Choice Requires="x14">
            <control shapeId="1300" r:id="rId1602" name="Button 276">
              <controlPr defaultSize="0" autoFill="0" autoLine="0" autoPict="0" macro="[0]!Sheet1.InsertNewTableRow">
                <anchor moveWithCells="1" sizeWithCells="1">
                  <from>
                    <xdr:col>6</xdr:col>
                    <xdr:colOff>0</xdr:colOff>
                    <xdr:row>2802</xdr:row>
                    <xdr:rowOff>0</xdr:rowOff>
                  </from>
                  <to>
                    <xdr:col>7</xdr:col>
                    <xdr:colOff>0</xdr:colOff>
                    <xdr:row>2802</xdr:row>
                    <xdr:rowOff>38100</xdr:rowOff>
                  </to>
                </anchor>
              </controlPr>
            </control>
          </mc:Choice>
        </mc:AlternateContent>
        <mc:AlternateContent xmlns:mc="http://schemas.openxmlformats.org/markup-compatibility/2006">
          <mc:Choice Requires="x14">
            <control shapeId="1299" r:id="rId1603" name="Button 275">
              <controlPr defaultSize="0" autoFill="0" autoLine="0" autoPict="0" macro="[0]!Sheet1.deleteRow">
                <anchor moveWithCells="1" sizeWithCells="1">
                  <from>
                    <xdr:col>6</xdr:col>
                    <xdr:colOff>0</xdr:colOff>
                    <xdr:row>2803</xdr:row>
                    <xdr:rowOff>0</xdr:rowOff>
                  </from>
                  <to>
                    <xdr:col>7</xdr:col>
                    <xdr:colOff>0</xdr:colOff>
                    <xdr:row>2803</xdr:row>
                    <xdr:rowOff>161925</xdr:rowOff>
                  </to>
                </anchor>
              </controlPr>
            </control>
          </mc:Choice>
        </mc:AlternateContent>
        <mc:AlternateContent xmlns:mc="http://schemas.openxmlformats.org/markup-compatibility/2006">
          <mc:Choice Requires="x14">
            <control shapeId="1298" r:id="rId1604" name="Button 274">
              <controlPr defaultSize="0" autoFill="0" autoLine="0" autoPict="0" macro="[0]!Sheet1.deleteRow">
                <anchor moveWithCells="1" sizeWithCells="1">
                  <from>
                    <xdr:col>6</xdr:col>
                    <xdr:colOff>0</xdr:colOff>
                    <xdr:row>2804</xdr:row>
                    <xdr:rowOff>0</xdr:rowOff>
                  </from>
                  <to>
                    <xdr:col>7</xdr:col>
                    <xdr:colOff>0</xdr:colOff>
                    <xdr:row>2804</xdr:row>
                    <xdr:rowOff>161925</xdr:rowOff>
                  </to>
                </anchor>
              </controlPr>
            </control>
          </mc:Choice>
        </mc:AlternateContent>
        <mc:AlternateContent xmlns:mc="http://schemas.openxmlformats.org/markup-compatibility/2006">
          <mc:Choice Requires="x14">
            <control shapeId="1297" r:id="rId1605" name="Button 273">
              <controlPr defaultSize="0" autoFill="0" autoLine="0" autoPict="0" macro="[0]!Sheet1.deleteProcedure">
                <anchor moveWithCells="1" sizeWithCells="1">
                  <from>
                    <xdr:col>6</xdr:col>
                    <xdr:colOff>0</xdr:colOff>
                    <xdr:row>2807</xdr:row>
                    <xdr:rowOff>0</xdr:rowOff>
                  </from>
                  <to>
                    <xdr:col>7</xdr:col>
                    <xdr:colOff>0</xdr:colOff>
                    <xdr:row>2808</xdr:row>
                    <xdr:rowOff>0</xdr:rowOff>
                  </to>
                </anchor>
              </controlPr>
            </control>
          </mc:Choice>
        </mc:AlternateContent>
        <mc:AlternateContent xmlns:mc="http://schemas.openxmlformats.org/markup-compatibility/2006">
          <mc:Choice Requires="x14">
            <control shapeId="1296" r:id="rId1606" name="Button 272">
              <controlPr defaultSize="0" autoFill="0" autoLine="0" autoPict="0" macro="[0]!Sheet1.InsertNewTableRow">
                <anchor moveWithCells="1" sizeWithCells="1">
                  <from>
                    <xdr:col>6</xdr:col>
                    <xdr:colOff>0</xdr:colOff>
                    <xdr:row>2814</xdr:row>
                    <xdr:rowOff>0</xdr:rowOff>
                  </from>
                  <to>
                    <xdr:col>7</xdr:col>
                    <xdr:colOff>0</xdr:colOff>
                    <xdr:row>2814</xdr:row>
                    <xdr:rowOff>38100</xdr:rowOff>
                  </to>
                </anchor>
              </controlPr>
            </control>
          </mc:Choice>
        </mc:AlternateContent>
        <mc:AlternateContent xmlns:mc="http://schemas.openxmlformats.org/markup-compatibility/2006">
          <mc:Choice Requires="x14">
            <control shapeId="1295" r:id="rId1607" name="Button 271">
              <controlPr defaultSize="0" autoFill="0" autoLine="0" autoPict="0" macro="[0]!Sheet1.deleteRow">
                <anchor moveWithCells="1" sizeWithCells="1">
                  <from>
                    <xdr:col>6</xdr:col>
                    <xdr:colOff>0</xdr:colOff>
                    <xdr:row>2815</xdr:row>
                    <xdr:rowOff>0</xdr:rowOff>
                  </from>
                  <to>
                    <xdr:col>7</xdr:col>
                    <xdr:colOff>0</xdr:colOff>
                    <xdr:row>2815</xdr:row>
                    <xdr:rowOff>161925</xdr:rowOff>
                  </to>
                </anchor>
              </controlPr>
            </control>
          </mc:Choice>
        </mc:AlternateContent>
        <mc:AlternateContent xmlns:mc="http://schemas.openxmlformats.org/markup-compatibility/2006">
          <mc:Choice Requires="x14">
            <control shapeId="1294" r:id="rId1608" name="Button 270">
              <controlPr defaultSize="0" autoFill="0" autoLine="0" autoPict="0" macro="[0]!Sheet1.deleteRow">
                <anchor moveWithCells="1" sizeWithCells="1">
                  <from>
                    <xdr:col>6</xdr:col>
                    <xdr:colOff>0</xdr:colOff>
                    <xdr:row>2816</xdr:row>
                    <xdr:rowOff>0</xdr:rowOff>
                  </from>
                  <to>
                    <xdr:col>7</xdr:col>
                    <xdr:colOff>0</xdr:colOff>
                    <xdr:row>2816</xdr:row>
                    <xdr:rowOff>161925</xdr:rowOff>
                  </to>
                </anchor>
              </controlPr>
            </control>
          </mc:Choice>
        </mc:AlternateContent>
        <mc:AlternateContent xmlns:mc="http://schemas.openxmlformats.org/markup-compatibility/2006">
          <mc:Choice Requires="x14">
            <control shapeId="1293" r:id="rId1609" name="Button 269">
              <controlPr defaultSize="0" autoFill="0" autoLine="0" autoPict="0" macro="[0]!Sheet1.deleteRow">
                <anchor moveWithCells="1" sizeWithCells="1">
                  <from>
                    <xdr:col>6</xdr:col>
                    <xdr:colOff>0</xdr:colOff>
                    <xdr:row>2817</xdr:row>
                    <xdr:rowOff>0</xdr:rowOff>
                  </from>
                  <to>
                    <xdr:col>7</xdr:col>
                    <xdr:colOff>0</xdr:colOff>
                    <xdr:row>2817</xdr:row>
                    <xdr:rowOff>161925</xdr:rowOff>
                  </to>
                </anchor>
              </controlPr>
            </control>
          </mc:Choice>
        </mc:AlternateContent>
        <mc:AlternateContent xmlns:mc="http://schemas.openxmlformats.org/markup-compatibility/2006">
          <mc:Choice Requires="x14">
            <control shapeId="1292" r:id="rId1610" name="Button 268">
              <controlPr defaultSize="0" autoFill="0" autoLine="0" autoPict="0" macro="[0]!Sheet1.deleteRow">
                <anchor moveWithCells="1" sizeWithCells="1">
                  <from>
                    <xdr:col>6</xdr:col>
                    <xdr:colOff>0</xdr:colOff>
                    <xdr:row>2818</xdr:row>
                    <xdr:rowOff>0</xdr:rowOff>
                  </from>
                  <to>
                    <xdr:col>7</xdr:col>
                    <xdr:colOff>0</xdr:colOff>
                    <xdr:row>2818</xdr:row>
                    <xdr:rowOff>161925</xdr:rowOff>
                  </to>
                </anchor>
              </controlPr>
            </control>
          </mc:Choice>
        </mc:AlternateContent>
        <mc:AlternateContent xmlns:mc="http://schemas.openxmlformats.org/markup-compatibility/2006">
          <mc:Choice Requires="x14">
            <control shapeId="1291" r:id="rId1611" name="Button 267">
              <controlPr defaultSize="0" autoFill="0" autoLine="0" autoPict="0" macro="[0]!Sheet1.deleteRow">
                <anchor moveWithCells="1" sizeWithCells="1">
                  <from>
                    <xdr:col>6</xdr:col>
                    <xdr:colOff>0</xdr:colOff>
                    <xdr:row>2819</xdr:row>
                    <xdr:rowOff>0</xdr:rowOff>
                  </from>
                  <to>
                    <xdr:col>7</xdr:col>
                    <xdr:colOff>0</xdr:colOff>
                    <xdr:row>2819</xdr:row>
                    <xdr:rowOff>161925</xdr:rowOff>
                  </to>
                </anchor>
              </controlPr>
            </control>
          </mc:Choice>
        </mc:AlternateContent>
        <mc:AlternateContent xmlns:mc="http://schemas.openxmlformats.org/markup-compatibility/2006">
          <mc:Choice Requires="x14">
            <control shapeId="1290" r:id="rId1612" name="Button 266">
              <controlPr defaultSize="0" autoFill="0" autoLine="0" autoPict="0" macro="[0]!Sheet1.deleteRow">
                <anchor moveWithCells="1" sizeWithCells="1">
                  <from>
                    <xdr:col>6</xdr:col>
                    <xdr:colOff>0</xdr:colOff>
                    <xdr:row>2820</xdr:row>
                    <xdr:rowOff>0</xdr:rowOff>
                  </from>
                  <to>
                    <xdr:col>7</xdr:col>
                    <xdr:colOff>0</xdr:colOff>
                    <xdr:row>2820</xdr:row>
                    <xdr:rowOff>161925</xdr:rowOff>
                  </to>
                </anchor>
              </controlPr>
            </control>
          </mc:Choice>
        </mc:AlternateContent>
        <mc:AlternateContent xmlns:mc="http://schemas.openxmlformats.org/markup-compatibility/2006">
          <mc:Choice Requires="x14">
            <control shapeId="1289" r:id="rId1613" name="Button 265">
              <controlPr defaultSize="0" autoFill="0" autoLine="0" autoPict="0" macro="[0]!Sheet1.deleteProcedure">
                <anchor moveWithCells="1" sizeWithCells="1">
                  <from>
                    <xdr:col>6</xdr:col>
                    <xdr:colOff>0</xdr:colOff>
                    <xdr:row>2823</xdr:row>
                    <xdr:rowOff>0</xdr:rowOff>
                  </from>
                  <to>
                    <xdr:col>7</xdr:col>
                    <xdr:colOff>0</xdr:colOff>
                    <xdr:row>2824</xdr:row>
                    <xdr:rowOff>0</xdr:rowOff>
                  </to>
                </anchor>
              </controlPr>
            </control>
          </mc:Choice>
        </mc:AlternateContent>
        <mc:AlternateContent xmlns:mc="http://schemas.openxmlformats.org/markup-compatibility/2006">
          <mc:Choice Requires="x14">
            <control shapeId="1288" r:id="rId1614" name="Button 264">
              <controlPr defaultSize="0" autoFill="0" autoLine="0" autoPict="0" macro="[0]!Sheet1.InsertNewTableRow">
                <anchor moveWithCells="1" sizeWithCells="1">
                  <from>
                    <xdr:col>6</xdr:col>
                    <xdr:colOff>0</xdr:colOff>
                    <xdr:row>2830</xdr:row>
                    <xdr:rowOff>0</xdr:rowOff>
                  </from>
                  <to>
                    <xdr:col>7</xdr:col>
                    <xdr:colOff>0</xdr:colOff>
                    <xdr:row>2830</xdr:row>
                    <xdr:rowOff>38100</xdr:rowOff>
                  </to>
                </anchor>
              </controlPr>
            </control>
          </mc:Choice>
        </mc:AlternateContent>
        <mc:AlternateContent xmlns:mc="http://schemas.openxmlformats.org/markup-compatibility/2006">
          <mc:Choice Requires="x14">
            <control shapeId="1287" r:id="rId1615" name="Button 263">
              <controlPr defaultSize="0" autoFill="0" autoLine="0" autoPict="0" macro="[0]!Sheet1.deleteRow">
                <anchor moveWithCells="1" sizeWithCells="1">
                  <from>
                    <xdr:col>6</xdr:col>
                    <xdr:colOff>0</xdr:colOff>
                    <xdr:row>2831</xdr:row>
                    <xdr:rowOff>0</xdr:rowOff>
                  </from>
                  <to>
                    <xdr:col>7</xdr:col>
                    <xdr:colOff>0</xdr:colOff>
                    <xdr:row>2831</xdr:row>
                    <xdr:rowOff>161925</xdr:rowOff>
                  </to>
                </anchor>
              </controlPr>
            </control>
          </mc:Choice>
        </mc:AlternateContent>
        <mc:AlternateContent xmlns:mc="http://schemas.openxmlformats.org/markup-compatibility/2006">
          <mc:Choice Requires="x14">
            <control shapeId="1286" r:id="rId1616" name="Button 262">
              <controlPr defaultSize="0" autoFill="0" autoLine="0" autoPict="0" macro="[0]!Sheet1.deleteProcedure">
                <anchor moveWithCells="1" sizeWithCells="1">
                  <from>
                    <xdr:col>6</xdr:col>
                    <xdr:colOff>0</xdr:colOff>
                    <xdr:row>2834</xdr:row>
                    <xdr:rowOff>0</xdr:rowOff>
                  </from>
                  <to>
                    <xdr:col>7</xdr:col>
                    <xdr:colOff>0</xdr:colOff>
                    <xdr:row>2835</xdr:row>
                    <xdr:rowOff>0</xdr:rowOff>
                  </to>
                </anchor>
              </controlPr>
            </control>
          </mc:Choice>
        </mc:AlternateContent>
        <mc:AlternateContent xmlns:mc="http://schemas.openxmlformats.org/markup-compatibility/2006">
          <mc:Choice Requires="x14">
            <control shapeId="1285" r:id="rId1617" name="Button 261">
              <controlPr defaultSize="0" autoFill="0" autoLine="0" autoPict="0" macro="[0]!Sheet1.InsertNewTableRow">
                <anchor moveWithCells="1" sizeWithCells="1">
                  <from>
                    <xdr:col>6</xdr:col>
                    <xdr:colOff>0</xdr:colOff>
                    <xdr:row>2841</xdr:row>
                    <xdr:rowOff>0</xdr:rowOff>
                  </from>
                  <to>
                    <xdr:col>7</xdr:col>
                    <xdr:colOff>0</xdr:colOff>
                    <xdr:row>2841</xdr:row>
                    <xdr:rowOff>38100</xdr:rowOff>
                  </to>
                </anchor>
              </controlPr>
            </control>
          </mc:Choice>
        </mc:AlternateContent>
        <mc:AlternateContent xmlns:mc="http://schemas.openxmlformats.org/markup-compatibility/2006">
          <mc:Choice Requires="x14">
            <control shapeId="1284" r:id="rId1618" name="Button 260">
              <controlPr defaultSize="0" autoFill="0" autoLine="0" autoPict="0" macro="[0]!Sheet1.deleteRow">
                <anchor moveWithCells="1" sizeWithCells="1">
                  <from>
                    <xdr:col>6</xdr:col>
                    <xdr:colOff>0</xdr:colOff>
                    <xdr:row>2842</xdr:row>
                    <xdr:rowOff>0</xdr:rowOff>
                  </from>
                  <to>
                    <xdr:col>7</xdr:col>
                    <xdr:colOff>0</xdr:colOff>
                    <xdr:row>2842</xdr:row>
                    <xdr:rowOff>161925</xdr:rowOff>
                  </to>
                </anchor>
              </controlPr>
            </control>
          </mc:Choice>
        </mc:AlternateContent>
        <mc:AlternateContent xmlns:mc="http://schemas.openxmlformats.org/markup-compatibility/2006">
          <mc:Choice Requires="x14">
            <control shapeId="1283" r:id="rId1619" name="Button 259">
              <controlPr defaultSize="0" autoFill="0" autoLine="0" autoPict="0" macro="[0]!Sheet1.deleteRow">
                <anchor moveWithCells="1" sizeWithCells="1">
                  <from>
                    <xdr:col>6</xdr:col>
                    <xdr:colOff>0</xdr:colOff>
                    <xdr:row>2843</xdr:row>
                    <xdr:rowOff>0</xdr:rowOff>
                  </from>
                  <to>
                    <xdr:col>7</xdr:col>
                    <xdr:colOff>0</xdr:colOff>
                    <xdr:row>2843</xdr:row>
                    <xdr:rowOff>161925</xdr:rowOff>
                  </to>
                </anchor>
              </controlPr>
            </control>
          </mc:Choice>
        </mc:AlternateContent>
        <mc:AlternateContent xmlns:mc="http://schemas.openxmlformats.org/markup-compatibility/2006">
          <mc:Choice Requires="x14">
            <control shapeId="1282" r:id="rId1620" name="Button 258">
              <controlPr defaultSize="0" autoFill="0" autoLine="0" autoPict="0" macro="[0]!Sheet1.deleteRow">
                <anchor moveWithCells="1" sizeWithCells="1">
                  <from>
                    <xdr:col>6</xdr:col>
                    <xdr:colOff>0</xdr:colOff>
                    <xdr:row>2844</xdr:row>
                    <xdr:rowOff>0</xdr:rowOff>
                  </from>
                  <to>
                    <xdr:col>7</xdr:col>
                    <xdr:colOff>0</xdr:colOff>
                    <xdr:row>2844</xdr:row>
                    <xdr:rowOff>161925</xdr:rowOff>
                  </to>
                </anchor>
              </controlPr>
            </control>
          </mc:Choice>
        </mc:AlternateContent>
        <mc:AlternateContent xmlns:mc="http://schemas.openxmlformats.org/markup-compatibility/2006">
          <mc:Choice Requires="x14">
            <control shapeId="1281" r:id="rId1621" name="Button 257">
              <controlPr defaultSize="0" autoFill="0" autoLine="0" autoPict="0" macro="[0]!Sheet1.deleteProcedure">
                <anchor moveWithCells="1" sizeWithCells="1">
                  <from>
                    <xdr:col>6</xdr:col>
                    <xdr:colOff>0</xdr:colOff>
                    <xdr:row>2847</xdr:row>
                    <xdr:rowOff>0</xdr:rowOff>
                  </from>
                  <to>
                    <xdr:col>7</xdr:col>
                    <xdr:colOff>0</xdr:colOff>
                    <xdr:row>2848</xdr:row>
                    <xdr:rowOff>0</xdr:rowOff>
                  </to>
                </anchor>
              </controlPr>
            </control>
          </mc:Choice>
        </mc:AlternateContent>
        <mc:AlternateContent xmlns:mc="http://schemas.openxmlformats.org/markup-compatibility/2006">
          <mc:Choice Requires="x14">
            <control shapeId="1280" r:id="rId1622" name="Button 256">
              <controlPr defaultSize="0" autoFill="0" autoLine="0" autoPict="0" macro="[0]!Sheet1.InsertNewTableRow">
                <anchor moveWithCells="1" sizeWithCells="1">
                  <from>
                    <xdr:col>6</xdr:col>
                    <xdr:colOff>0</xdr:colOff>
                    <xdr:row>2854</xdr:row>
                    <xdr:rowOff>0</xdr:rowOff>
                  </from>
                  <to>
                    <xdr:col>7</xdr:col>
                    <xdr:colOff>0</xdr:colOff>
                    <xdr:row>2854</xdr:row>
                    <xdr:rowOff>38100</xdr:rowOff>
                  </to>
                </anchor>
              </controlPr>
            </control>
          </mc:Choice>
        </mc:AlternateContent>
        <mc:AlternateContent xmlns:mc="http://schemas.openxmlformats.org/markup-compatibility/2006">
          <mc:Choice Requires="x14">
            <control shapeId="1279" r:id="rId1623" name="Button 255">
              <controlPr defaultSize="0" autoFill="0" autoLine="0" autoPict="0" macro="[0]!Sheet1.deleteRow">
                <anchor moveWithCells="1" sizeWithCells="1">
                  <from>
                    <xdr:col>6</xdr:col>
                    <xdr:colOff>0</xdr:colOff>
                    <xdr:row>2855</xdr:row>
                    <xdr:rowOff>0</xdr:rowOff>
                  </from>
                  <to>
                    <xdr:col>7</xdr:col>
                    <xdr:colOff>0</xdr:colOff>
                    <xdr:row>2855</xdr:row>
                    <xdr:rowOff>161925</xdr:rowOff>
                  </to>
                </anchor>
              </controlPr>
            </control>
          </mc:Choice>
        </mc:AlternateContent>
        <mc:AlternateContent xmlns:mc="http://schemas.openxmlformats.org/markup-compatibility/2006">
          <mc:Choice Requires="x14">
            <control shapeId="1278" r:id="rId1624" name="Button 254">
              <controlPr defaultSize="0" autoFill="0" autoLine="0" autoPict="0" macro="[0]!Sheet1.deleteRow">
                <anchor moveWithCells="1" sizeWithCells="1">
                  <from>
                    <xdr:col>6</xdr:col>
                    <xdr:colOff>0</xdr:colOff>
                    <xdr:row>2856</xdr:row>
                    <xdr:rowOff>0</xdr:rowOff>
                  </from>
                  <to>
                    <xdr:col>7</xdr:col>
                    <xdr:colOff>0</xdr:colOff>
                    <xdr:row>2856</xdr:row>
                    <xdr:rowOff>161925</xdr:rowOff>
                  </to>
                </anchor>
              </controlPr>
            </control>
          </mc:Choice>
        </mc:AlternateContent>
        <mc:AlternateContent xmlns:mc="http://schemas.openxmlformats.org/markup-compatibility/2006">
          <mc:Choice Requires="x14">
            <control shapeId="1277" r:id="rId1625" name="Button 253">
              <controlPr defaultSize="0" autoFill="0" autoLine="0" autoPict="0" macro="[0]!Sheet1.deleteRow">
                <anchor moveWithCells="1" sizeWithCells="1">
                  <from>
                    <xdr:col>6</xdr:col>
                    <xdr:colOff>0</xdr:colOff>
                    <xdr:row>2857</xdr:row>
                    <xdr:rowOff>0</xdr:rowOff>
                  </from>
                  <to>
                    <xdr:col>7</xdr:col>
                    <xdr:colOff>0</xdr:colOff>
                    <xdr:row>2857</xdr:row>
                    <xdr:rowOff>161925</xdr:rowOff>
                  </to>
                </anchor>
              </controlPr>
            </control>
          </mc:Choice>
        </mc:AlternateContent>
        <mc:AlternateContent xmlns:mc="http://schemas.openxmlformats.org/markup-compatibility/2006">
          <mc:Choice Requires="x14">
            <control shapeId="1276" r:id="rId1626" name="Button 252">
              <controlPr defaultSize="0" autoFill="0" autoLine="0" autoPict="0" macro="[0]!Sheet1.deleteRow">
                <anchor moveWithCells="1" sizeWithCells="1">
                  <from>
                    <xdr:col>6</xdr:col>
                    <xdr:colOff>0</xdr:colOff>
                    <xdr:row>2858</xdr:row>
                    <xdr:rowOff>0</xdr:rowOff>
                  </from>
                  <to>
                    <xdr:col>7</xdr:col>
                    <xdr:colOff>0</xdr:colOff>
                    <xdr:row>2858</xdr:row>
                    <xdr:rowOff>161925</xdr:rowOff>
                  </to>
                </anchor>
              </controlPr>
            </control>
          </mc:Choice>
        </mc:AlternateContent>
        <mc:AlternateContent xmlns:mc="http://schemas.openxmlformats.org/markup-compatibility/2006">
          <mc:Choice Requires="x14">
            <control shapeId="1275" r:id="rId1627" name="Button 251">
              <controlPr defaultSize="0" autoFill="0" autoLine="0" autoPict="0" macro="[0]!Sheet1.deleteRow">
                <anchor moveWithCells="1" sizeWithCells="1">
                  <from>
                    <xdr:col>6</xdr:col>
                    <xdr:colOff>0</xdr:colOff>
                    <xdr:row>2859</xdr:row>
                    <xdr:rowOff>0</xdr:rowOff>
                  </from>
                  <to>
                    <xdr:col>7</xdr:col>
                    <xdr:colOff>0</xdr:colOff>
                    <xdr:row>2859</xdr:row>
                    <xdr:rowOff>161925</xdr:rowOff>
                  </to>
                </anchor>
              </controlPr>
            </control>
          </mc:Choice>
        </mc:AlternateContent>
        <mc:AlternateContent xmlns:mc="http://schemas.openxmlformats.org/markup-compatibility/2006">
          <mc:Choice Requires="x14">
            <control shapeId="1274" r:id="rId1628" name="Button 250">
              <controlPr defaultSize="0" autoFill="0" autoLine="0" autoPict="0" macro="[0]!Sheet1.deleteRow">
                <anchor moveWithCells="1" sizeWithCells="1">
                  <from>
                    <xdr:col>6</xdr:col>
                    <xdr:colOff>0</xdr:colOff>
                    <xdr:row>2860</xdr:row>
                    <xdr:rowOff>0</xdr:rowOff>
                  </from>
                  <to>
                    <xdr:col>7</xdr:col>
                    <xdr:colOff>0</xdr:colOff>
                    <xdr:row>2860</xdr:row>
                    <xdr:rowOff>161925</xdr:rowOff>
                  </to>
                </anchor>
              </controlPr>
            </control>
          </mc:Choice>
        </mc:AlternateContent>
        <mc:AlternateContent xmlns:mc="http://schemas.openxmlformats.org/markup-compatibility/2006">
          <mc:Choice Requires="x14">
            <control shapeId="1273" r:id="rId1629" name="Button 249">
              <controlPr defaultSize="0" autoFill="0" autoLine="0" autoPict="0" macro="[0]!Sheet1.deleteRow">
                <anchor moveWithCells="1" sizeWithCells="1">
                  <from>
                    <xdr:col>6</xdr:col>
                    <xdr:colOff>0</xdr:colOff>
                    <xdr:row>2861</xdr:row>
                    <xdr:rowOff>0</xdr:rowOff>
                  </from>
                  <to>
                    <xdr:col>7</xdr:col>
                    <xdr:colOff>0</xdr:colOff>
                    <xdr:row>2861</xdr:row>
                    <xdr:rowOff>161925</xdr:rowOff>
                  </to>
                </anchor>
              </controlPr>
            </control>
          </mc:Choice>
        </mc:AlternateContent>
        <mc:AlternateContent xmlns:mc="http://schemas.openxmlformats.org/markup-compatibility/2006">
          <mc:Choice Requires="x14">
            <control shapeId="1272" r:id="rId1630" name="Button 248">
              <controlPr defaultSize="0" autoFill="0" autoLine="0" autoPict="0" macro="[0]!Sheet1.deleteRow">
                <anchor moveWithCells="1" sizeWithCells="1">
                  <from>
                    <xdr:col>6</xdr:col>
                    <xdr:colOff>0</xdr:colOff>
                    <xdr:row>2862</xdr:row>
                    <xdr:rowOff>0</xdr:rowOff>
                  </from>
                  <to>
                    <xdr:col>7</xdr:col>
                    <xdr:colOff>0</xdr:colOff>
                    <xdr:row>2862</xdr:row>
                    <xdr:rowOff>161925</xdr:rowOff>
                  </to>
                </anchor>
              </controlPr>
            </control>
          </mc:Choice>
        </mc:AlternateContent>
        <mc:AlternateContent xmlns:mc="http://schemas.openxmlformats.org/markup-compatibility/2006">
          <mc:Choice Requires="x14">
            <control shapeId="1271" r:id="rId1631" name="Button 247">
              <controlPr defaultSize="0" autoFill="0" autoLine="0" autoPict="0" macro="[0]!Sheet1.deleteRow">
                <anchor moveWithCells="1" sizeWithCells="1">
                  <from>
                    <xdr:col>6</xdr:col>
                    <xdr:colOff>0</xdr:colOff>
                    <xdr:row>2863</xdr:row>
                    <xdr:rowOff>0</xdr:rowOff>
                  </from>
                  <to>
                    <xdr:col>7</xdr:col>
                    <xdr:colOff>0</xdr:colOff>
                    <xdr:row>2863</xdr:row>
                    <xdr:rowOff>161925</xdr:rowOff>
                  </to>
                </anchor>
              </controlPr>
            </control>
          </mc:Choice>
        </mc:AlternateContent>
        <mc:AlternateContent xmlns:mc="http://schemas.openxmlformats.org/markup-compatibility/2006">
          <mc:Choice Requires="x14">
            <control shapeId="1270" r:id="rId1632" name="Button 246">
              <controlPr defaultSize="0" autoFill="0" autoLine="0" autoPict="0" macro="[0]!Sheet1.deleteRow">
                <anchor moveWithCells="1" sizeWithCells="1">
                  <from>
                    <xdr:col>6</xdr:col>
                    <xdr:colOff>0</xdr:colOff>
                    <xdr:row>2864</xdr:row>
                    <xdr:rowOff>0</xdr:rowOff>
                  </from>
                  <to>
                    <xdr:col>7</xdr:col>
                    <xdr:colOff>0</xdr:colOff>
                    <xdr:row>2864</xdr:row>
                    <xdr:rowOff>161925</xdr:rowOff>
                  </to>
                </anchor>
              </controlPr>
            </control>
          </mc:Choice>
        </mc:AlternateContent>
        <mc:AlternateContent xmlns:mc="http://schemas.openxmlformats.org/markup-compatibility/2006">
          <mc:Choice Requires="x14">
            <control shapeId="1269" r:id="rId1633" name="Button 245">
              <controlPr defaultSize="0" autoFill="0" autoLine="0" autoPict="0" macro="[0]!Sheet1.deleteRow">
                <anchor moveWithCells="1" sizeWithCells="1">
                  <from>
                    <xdr:col>6</xdr:col>
                    <xdr:colOff>0</xdr:colOff>
                    <xdr:row>2865</xdr:row>
                    <xdr:rowOff>0</xdr:rowOff>
                  </from>
                  <to>
                    <xdr:col>7</xdr:col>
                    <xdr:colOff>0</xdr:colOff>
                    <xdr:row>2865</xdr:row>
                    <xdr:rowOff>161925</xdr:rowOff>
                  </to>
                </anchor>
              </controlPr>
            </control>
          </mc:Choice>
        </mc:AlternateContent>
        <mc:AlternateContent xmlns:mc="http://schemas.openxmlformats.org/markup-compatibility/2006">
          <mc:Choice Requires="x14">
            <control shapeId="1268" r:id="rId1634" name="Button 244">
              <controlPr defaultSize="0" autoFill="0" autoLine="0" autoPict="0" macro="[0]!Sheet1.deleteRow">
                <anchor moveWithCells="1" sizeWithCells="1">
                  <from>
                    <xdr:col>6</xdr:col>
                    <xdr:colOff>0</xdr:colOff>
                    <xdr:row>2866</xdr:row>
                    <xdr:rowOff>0</xdr:rowOff>
                  </from>
                  <to>
                    <xdr:col>7</xdr:col>
                    <xdr:colOff>0</xdr:colOff>
                    <xdr:row>2866</xdr:row>
                    <xdr:rowOff>161925</xdr:rowOff>
                  </to>
                </anchor>
              </controlPr>
            </control>
          </mc:Choice>
        </mc:AlternateContent>
        <mc:AlternateContent xmlns:mc="http://schemas.openxmlformats.org/markup-compatibility/2006">
          <mc:Choice Requires="x14">
            <control shapeId="1267" r:id="rId1635" name="Button 243">
              <controlPr defaultSize="0" autoFill="0" autoLine="0" autoPict="0" macro="[0]!Sheet1.deleteRow">
                <anchor moveWithCells="1" sizeWithCells="1">
                  <from>
                    <xdr:col>6</xdr:col>
                    <xdr:colOff>0</xdr:colOff>
                    <xdr:row>2867</xdr:row>
                    <xdr:rowOff>0</xdr:rowOff>
                  </from>
                  <to>
                    <xdr:col>7</xdr:col>
                    <xdr:colOff>0</xdr:colOff>
                    <xdr:row>2867</xdr:row>
                    <xdr:rowOff>161925</xdr:rowOff>
                  </to>
                </anchor>
              </controlPr>
            </control>
          </mc:Choice>
        </mc:AlternateContent>
        <mc:AlternateContent xmlns:mc="http://schemas.openxmlformats.org/markup-compatibility/2006">
          <mc:Choice Requires="x14">
            <control shapeId="1266" r:id="rId1636" name="Button 242">
              <controlPr defaultSize="0" autoFill="0" autoLine="0" autoPict="0" macro="[0]!Sheet1.deleteRow">
                <anchor moveWithCells="1" sizeWithCells="1">
                  <from>
                    <xdr:col>6</xdr:col>
                    <xdr:colOff>0</xdr:colOff>
                    <xdr:row>2868</xdr:row>
                    <xdr:rowOff>0</xdr:rowOff>
                  </from>
                  <to>
                    <xdr:col>7</xdr:col>
                    <xdr:colOff>0</xdr:colOff>
                    <xdr:row>2868</xdr:row>
                    <xdr:rowOff>161925</xdr:rowOff>
                  </to>
                </anchor>
              </controlPr>
            </control>
          </mc:Choice>
        </mc:AlternateContent>
        <mc:AlternateContent xmlns:mc="http://schemas.openxmlformats.org/markup-compatibility/2006">
          <mc:Choice Requires="x14">
            <control shapeId="1265" r:id="rId1637" name="Button 241">
              <controlPr defaultSize="0" autoFill="0" autoLine="0" autoPict="0" macro="[0]!Sheet1.deleteRow">
                <anchor moveWithCells="1" sizeWithCells="1">
                  <from>
                    <xdr:col>6</xdr:col>
                    <xdr:colOff>0</xdr:colOff>
                    <xdr:row>2869</xdr:row>
                    <xdr:rowOff>0</xdr:rowOff>
                  </from>
                  <to>
                    <xdr:col>7</xdr:col>
                    <xdr:colOff>0</xdr:colOff>
                    <xdr:row>2869</xdr:row>
                    <xdr:rowOff>161925</xdr:rowOff>
                  </to>
                </anchor>
              </controlPr>
            </control>
          </mc:Choice>
        </mc:AlternateContent>
        <mc:AlternateContent xmlns:mc="http://schemas.openxmlformats.org/markup-compatibility/2006">
          <mc:Choice Requires="x14">
            <control shapeId="1264" r:id="rId1638" name="Button 240">
              <controlPr defaultSize="0" autoFill="0" autoLine="0" autoPict="0" macro="[0]!Sheet1.deleteRow">
                <anchor moveWithCells="1" sizeWithCells="1">
                  <from>
                    <xdr:col>6</xdr:col>
                    <xdr:colOff>0</xdr:colOff>
                    <xdr:row>2870</xdr:row>
                    <xdr:rowOff>0</xdr:rowOff>
                  </from>
                  <to>
                    <xdr:col>7</xdr:col>
                    <xdr:colOff>0</xdr:colOff>
                    <xdr:row>2870</xdr:row>
                    <xdr:rowOff>161925</xdr:rowOff>
                  </to>
                </anchor>
              </controlPr>
            </control>
          </mc:Choice>
        </mc:AlternateContent>
        <mc:AlternateContent xmlns:mc="http://schemas.openxmlformats.org/markup-compatibility/2006">
          <mc:Choice Requires="x14">
            <control shapeId="1263" r:id="rId1639" name="Button 239">
              <controlPr defaultSize="0" autoFill="0" autoLine="0" autoPict="0" macro="[0]!Sheet1.deleteRow">
                <anchor moveWithCells="1" sizeWithCells="1">
                  <from>
                    <xdr:col>6</xdr:col>
                    <xdr:colOff>0</xdr:colOff>
                    <xdr:row>2871</xdr:row>
                    <xdr:rowOff>0</xdr:rowOff>
                  </from>
                  <to>
                    <xdr:col>7</xdr:col>
                    <xdr:colOff>0</xdr:colOff>
                    <xdr:row>2871</xdr:row>
                    <xdr:rowOff>161925</xdr:rowOff>
                  </to>
                </anchor>
              </controlPr>
            </control>
          </mc:Choice>
        </mc:AlternateContent>
        <mc:AlternateContent xmlns:mc="http://schemas.openxmlformats.org/markup-compatibility/2006">
          <mc:Choice Requires="x14">
            <control shapeId="1262" r:id="rId1640" name="Button 238">
              <controlPr defaultSize="0" autoFill="0" autoLine="0" autoPict="0" macro="[0]!Sheet1.deleteRow">
                <anchor moveWithCells="1" sizeWithCells="1">
                  <from>
                    <xdr:col>6</xdr:col>
                    <xdr:colOff>0</xdr:colOff>
                    <xdr:row>2872</xdr:row>
                    <xdr:rowOff>0</xdr:rowOff>
                  </from>
                  <to>
                    <xdr:col>7</xdr:col>
                    <xdr:colOff>0</xdr:colOff>
                    <xdr:row>2872</xdr:row>
                    <xdr:rowOff>161925</xdr:rowOff>
                  </to>
                </anchor>
              </controlPr>
            </control>
          </mc:Choice>
        </mc:AlternateContent>
        <mc:AlternateContent xmlns:mc="http://schemas.openxmlformats.org/markup-compatibility/2006">
          <mc:Choice Requires="x14">
            <control shapeId="1261" r:id="rId1641" name="Button 237">
              <controlPr defaultSize="0" autoFill="0" autoLine="0" autoPict="0" macro="[0]!Sheet1.deleteRow">
                <anchor moveWithCells="1" sizeWithCells="1">
                  <from>
                    <xdr:col>6</xdr:col>
                    <xdr:colOff>0</xdr:colOff>
                    <xdr:row>2873</xdr:row>
                    <xdr:rowOff>0</xdr:rowOff>
                  </from>
                  <to>
                    <xdr:col>7</xdr:col>
                    <xdr:colOff>0</xdr:colOff>
                    <xdr:row>2873</xdr:row>
                    <xdr:rowOff>161925</xdr:rowOff>
                  </to>
                </anchor>
              </controlPr>
            </control>
          </mc:Choice>
        </mc:AlternateContent>
        <mc:AlternateContent xmlns:mc="http://schemas.openxmlformats.org/markup-compatibility/2006">
          <mc:Choice Requires="x14">
            <control shapeId="1260" r:id="rId1642" name="Button 236">
              <controlPr defaultSize="0" autoFill="0" autoLine="0" autoPict="0" macro="[0]!Sheet1.deleteRow">
                <anchor moveWithCells="1" sizeWithCells="1">
                  <from>
                    <xdr:col>6</xdr:col>
                    <xdr:colOff>0</xdr:colOff>
                    <xdr:row>2874</xdr:row>
                    <xdr:rowOff>0</xdr:rowOff>
                  </from>
                  <to>
                    <xdr:col>7</xdr:col>
                    <xdr:colOff>0</xdr:colOff>
                    <xdr:row>2874</xdr:row>
                    <xdr:rowOff>161925</xdr:rowOff>
                  </to>
                </anchor>
              </controlPr>
            </control>
          </mc:Choice>
        </mc:AlternateContent>
        <mc:AlternateContent xmlns:mc="http://schemas.openxmlformats.org/markup-compatibility/2006">
          <mc:Choice Requires="x14">
            <control shapeId="1259" r:id="rId1643" name="Button 235">
              <controlPr defaultSize="0" autoFill="0" autoLine="0" autoPict="0" macro="[0]!Sheet1.deleteRow">
                <anchor moveWithCells="1" sizeWithCells="1">
                  <from>
                    <xdr:col>6</xdr:col>
                    <xdr:colOff>0</xdr:colOff>
                    <xdr:row>2875</xdr:row>
                    <xdr:rowOff>0</xdr:rowOff>
                  </from>
                  <to>
                    <xdr:col>7</xdr:col>
                    <xdr:colOff>0</xdr:colOff>
                    <xdr:row>2875</xdr:row>
                    <xdr:rowOff>161925</xdr:rowOff>
                  </to>
                </anchor>
              </controlPr>
            </control>
          </mc:Choice>
        </mc:AlternateContent>
        <mc:AlternateContent xmlns:mc="http://schemas.openxmlformats.org/markup-compatibility/2006">
          <mc:Choice Requires="x14">
            <control shapeId="1258" r:id="rId1644" name="Button 234">
              <controlPr defaultSize="0" autoFill="0" autoLine="0" autoPict="0" macro="[0]!Sheet1.deleteRow">
                <anchor moveWithCells="1" sizeWithCells="1">
                  <from>
                    <xdr:col>6</xdr:col>
                    <xdr:colOff>0</xdr:colOff>
                    <xdr:row>2876</xdr:row>
                    <xdr:rowOff>0</xdr:rowOff>
                  </from>
                  <to>
                    <xdr:col>7</xdr:col>
                    <xdr:colOff>0</xdr:colOff>
                    <xdr:row>2876</xdr:row>
                    <xdr:rowOff>161925</xdr:rowOff>
                  </to>
                </anchor>
              </controlPr>
            </control>
          </mc:Choice>
        </mc:AlternateContent>
        <mc:AlternateContent xmlns:mc="http://schemas.openxmlformats.org/markup-compatibility/2006">
          <mc:Choice Requires="x14">
            <control shapeId="1257" r:id="rId1645" name="Button 233">
              <controlPr defaultSize="0" autoFill="0" autoLine="0" autoPict="0" macro="[0]!Sheet1.deleteRow">
                <anchor moveWithCells="1" sizeWithCells="1">
                  <from>
                    <xdr:col>6</xdr:col>
                    <xdr:colOff>0</xdr:colOff>
                    <xdr:row>2877</xdr:row>
                    <xdr:rowOff>0</xdr:rowOff>
                  </from>
                  <to>
                    <xdr:col>7</xdr:col>
                    <xdr:colOff>0</xdr:colOff>
                    <xdr:row>2877</xdr:row>
                    <xdr:rowOff>161925</xdr:rowOff>
                  </to>
                </anchor>
              </controlPr>
            </control>
          </mc:Choice>
        </mc:AlternateContent>
        <mc:AlternateContent xmlns:mc="http://schemas.openxmlformats.org/markup-compatibility/2006">
          <mc:Choice Requires="x14">
            <control shapeId="1256" r:id="rId1646" name="Button 232">
              <controlPr defaultSize="0" autoFill="0" autoLine="0" autoPict="0" macro="[0]!Sheet1.deleteRow">
                <anchor moveWithCells="1" sizeWithCells="1">
                  <from>
                    <xdr:col>6</xdr:col>
                    <xdr:colOff>0</xdr:colOff>
                    <xdr:row>2878</xdr:row>
                    <xdr:rowOff>0</xdr:rowOff>
                  </from>
                  <to>
                    <xdr:col>7</xdr:col>
                    <xdr:colOff>0</xdr:colOff>
                    <xdr:row>2878</xdr:row>
                    <xdr:rowOff>161925</xdr:rowOff>
                  </to>
                </anchor>
              </controlPr>
            </control>
          </mc:Choice>
        </mc:AlternateContent>
        <mc:AlternateContent xmlns:mc="http://schemas.openxmlformats.org/markup-compatibility/2006">
          <mc:Choice Requires="x14">
            <control shapeId="1255" r:id="rId1647" name="Button 231">
              <controlPr defaultSize="0" autoFill="0" autoLine="0" autoPict="0" macro="[0]!Sheet1.deleteRow">
                <anchor moveWithCells="1" sizeWithCells="1">
                  <from>
                    <xdr:col>6</xdr:col>
                    <xdr:colOff>0</xdr:colOff>
                    <xdr:row>2879</xdr:row>
                    <xdr:rowOff>0</xdr:rowOff>
                  </from>
                  <to>
                    <xdr:col>7</xdr:col>
                    <xdr:colOff>0</xdr:colOff>
                    <xdr:row>2879</xdr:row>
                    <xdr:rowOff>161925</xdr:rowOff>
                  </to>
                </anchor>
              </controlPr>
            </control>
          </mc:Choice>
        </mc:AlternateContent>
        <mc:AlternateContent xmlns:mc="http://schemas.openxmlformats.org/markup-compatibility/2006">
          <mc:Choice Requires="x14">
            <control shapeId="1254" r:id="rId1648" name="Button 230">
              <controlPr defaultSize="0" autoFill="0" autoLine="0" autoPict="0" macro="[0]!Sheet1.deleteRow">
                <anchor moveWithCells="1" sizeWithCells="1">
                  <from>
                    <xdr:col>6</xdr:col>
                    <xdr:colOff>0</xdr:colOff>
                    <xdr:row>2880</xdr:row>
                    <xdr:rowOff>0</xdr:rowOff>
                  </from>
                  <to>
                    <xdr:col>7</xdr:col>
                    <xdr:colOff>0</xdr:colOff>
                    <xdr:row>2880</xdr:row>
                    <xdr:rowOff>161925</xdr:rowOff>
                  </to>
                </anchor>
              </controlPr>
            </control>
          </mc:Choice>
        </mc:AlternateContent>
        <mc:AlternateContent xmlns:mc="http://schemas.openxmlformats.org/markup-compatibility/2006">
          <mc:Choice Requires="x14">
            <control shapeId="1253" r:id="rId1649" name="Button 229">
              <controlPr defaultSize="0" autoFill="0" autoLine="0" autoPict="0" macro="[0]!Sheet1.deleteRow">
                <anchor moveWithCells="1" sizeWithCells="1">
                  <from>
                    <xdr:col>6</xdr:col>
                    <xdr:colOff>0</xdr:colOff>
                    <xdr:row>2881</xdr:row>
                    <xdr:rowOff>0</xdr:rowOff>
                  </from>
                  <to>
                    <xdr:col>7</xdr:col>
                    <xdr:colOff>0</xdr:colOff>
                    <xdr:row>2881</xdr:row>
                    <xdr:rowOff>161925</xdr:rowOff>
                  </to>
                </anchor>
              </controlPr>
            </control>
          </mc:Choice>
        </mc:AlternateContent>
        <mc:AlternateContent xmlns:mc="http://schemas.openxmlformats.org/markup-compatibility/2006">
          <mc:Choice Requires="x14">
            <control shapeId="1252" r:id="rId1650" name="Button 228">
              <controlPr defaultSize="0" autoFill="0" autoLine="0" autoPict="0" macro="[0]!Sheet1.deleteRow">
                <anchor moveWithCells="1" sizeWithCells="1">
                  <from>
                    <xdr:col>6</xdr:col>
                    <xdr:colOff>0</xdr:colOff>
                    <xdr:row>2882</xdr:row>
                    <xdr:rowOff>0</xdr:rowOff>
                  </from>
                  <to>
                    <xdr:col>7</xdr:col>
                    <xdr:colOff>0</xdr:colOff>
                    <xdr:row>2882</xdr:row>
                    <xdr:rowOff>161925</xdr:rowOff>
                  </to>
                </anchor>
              </controlPr>
            </control>
          </mc:Choice>
        </mc:AlternateContent>
        <mc:AlternateContent xmlns:mc="http://schemas.openxmlformats.org/markup-compatibility/2006">
          <mc:Choice Requires="x14">
            <control shapeId="1251" r:id="rId1651" name="Button 227">
              <controlPr defaultSize="0" autoFill="0" autoLine="0" autoPict="0" macro="[0]!Sheet1.deleteRow">
                <anchor moveWithCells="1" sizeWithCells="1">
                  <from>
                    <xdr:col>6</xdr:col>
                    <xdr:colOff>0</xdr:colOff>
                    <xdr:row>2883</xdr:row>
                    <xdr:rowOff>0</xdr:rowOff>
                  </from>
                  <to>
                    <xdr:col>7</xdr:col>
                    <xdr:colOff>0</xdr:colOff>
                    <xdr:row>2883</xdr:row>
                    <xdr:rowOff>161925</xdr:rowOff>
                  </to>
                </anchor>
              </controlPr>
            </control>
          </mc:Choice>
        </mc:AlternateContent>
        <mc:AlternateContent xmlns:mc="http://schemas.openxmlformats.org/markup-compatibility/2006">
          <mc:Choice Requires="x14">
            <control shapeId="1250" r:id="rId1652" name="Button 226">
              <controlPr defaultSize="0" autoFill="0" autoLine="0" autoPict="0" macro="[0]!Sheet1.deleteRow">
                <anchor moveWithCells="1" sizeWithCells="1">
                  <from>
                    <xdr:col>6</xdr:col>
                    <xdr:colOff>0</xdr:colOff>
                    <xdr:row>2884</xdr:row>
                    <xdr:rowOff>0</xdr:rowOff>
                  </from>
                  <to>
                    <xdr:col>7</xdr:col>
                    <xdr:colOff>0</xdr:colOff>
                    <xdr:row>2884</xdr:row>
                    <xdr:rowOff>161925</xdr:rowOff>
                  </to>
                </anchor>
              </controlPr>
            </control>
          </mc:Choice>
        </mc:AlternateContent>
        <mc:AlternateContent xmlns:mc="http://schemas.openxmlformats.org/markup-compatibility/2006">
          <mc:Choice Requires="x14">
            <control shapeId="1249" r:id="rId1653" name="Button 225">
              <controlPr defaultSize="0" autoFill="0" autoLine="0" autoPict="0" macro="[0]!Sheet1.deleteRow">
                <anchor moveWithCells="1" sizeWithCells="1">
                  <from>
                    <xdr:col>6</xdr:col>
                    <xdr:colOff>0</xdr:colOff>
                    <xdr:row>2885</xdr:row>
                    <xdr:rowOff>0</xdr:rowOff>
                  </from>
                  <to>
                    <xdr:col>7</xdr:col>
                    <xdr:colOff>0</xdr:colOff>
                    <xdr:row>2885</xdr:row>
                    <xdr:rowOff>161925</xdr:rowOff>
                  </to>
                </anchor>
              </controlPr>
            </control>
          </mc:Choice>
        </mc:AlternateContent>
        <mc:AlternateContent xmlns:mc="http://schemas.openxmlformats.org/markup-compatibility/2006">
          <mc:Choice Requires="x14">
            <control shapeId="1248" r:id="rId1654" name="Button 224">
              <controlPr defaultSize="0" autoFill="0" autoLine="0" autoPict="0" macro="[0]!Sheet1.deleteRow">
                <anchor moveWithCells="1" sizeWithCells="1">
                  <from>
                    <xdr:col>6</xdr:col>
                    <xdr:colOff>0</xdr:colOff>
                    <xdr:row>2886</xdr:row>
                    <xdr:rowOff>0</xdr:rowOff>
                  </from>
                  <to>
                    <xdr:col>7</xdr:col>
                    <xdr:colOff>0</xdr:colOff>
                    <xdr:row>2886</xdr:row>
                    <xdr:rowOff>161925</xdr:rowOff>
                  </to>
                </anchor>
              </controlPr>
            </control>
          </mc:Choice>
        </mc:AlternateContent>
        <mc:AlternateContent xmlns:mc="http://schemas.openxmlformats.org/markup-compatibility/2006">
          <mc:Choice Requires="x14">
            <control shapeId="1247" r:id="rId1655" name="Button 223">
              <controlPr defaultSize="0" autoFill="0" autoLine="0" autoPict="0" macro="[0]!Sheet1.deleteRow">
                <anchor moveWithCells="1" sizeWithCells="1">
                  <from>
                    <xdr:col>6</xdr:col>
                    <xdr:colOff>0</xdr:colOff>
                    <xdr:row>2887</xdr:row>
                    <xdr:rowOff>0</xdr:rowOff>
                  </from>
                  <to>
                    <xdr:col>7</xdr:col>
                    <xdr:colOff>0</xdr:colOff>
                    <xdr:row>2887</xdr:row>
                    <xdr:rowOff>161925</xdr:rowOff>
                  </to>
                </anchor>
              </controlPr>
            </control>
          </mc:Choice>
        </mc:AlternateContent>
        <mc:AlternateContent xmlns:mc="http://schemas.openxmlformats.org/markup-compatibility/2006">
          <mc:Choice Requires="x14">
            <control shapeId="1246" r:id="rId1656" name="Button 222">
              <controlPr defaultSize="0" autoFill="0" autoLine="0" autoPict="0" macro="[0]!Sheet1.deleteRow">
                <anchor moveWithCells="1" sizeWithCells="1">
                  <from>
                    <xdr:col>6</xdr:col>
                    <xdr:colOff>0</xdr:colOff>
                    <xdr:row>2888</xdr:row>
                    <xdr:rowOff>0</xdr:rowOff>
                  </from>
                  <to>
                    <xdr:col>7</xdr:col>
                    <xdr:colOff>0</xdr:colOff>
                    <xdr:row>2888</xdr:row>
                    <xdr:rowOff>161925</xdr:rowOff>
                  </to>
                </anchor>
              </controlPr>
            </control>
          </mc:Choice>
        </mc:AlternateContent>
        <mc:AlternateContent xmlns:mc="http://schemas.openxmlformats.org/markup-compatibility/2006">
          <mc:Choice Requires="x14">
            <control shapeId="1245" r:id="rId1657" name="Button 221">
              <controlPr defaultSize="0" autoFill="0" autoLine="0" autoPict="0" macro="[0]!Sheet1.deleteRow">
                <anchor moveWithCells="1" sizeWithCells="1">
                  <from>
                    <xdr:col>6</xdr:col>
                    <xdr:colOff>0</xdr:colOff>
                    <xdr:row>2889</xdr:row>
                    <xdr:rowOff>0</xdr:rowOff>
                  </from>
                  <to>
                    <xdr:col>7</xdr:col>
                    <xdr:colOff>0</xdr:colOff>
                    <xdr:row>2889</xdr:row>
                    <xdr:rowOff>161925</xdr:rowOff>
                  </to>
                </anchor>
              </controlPr>
            </control>
          </mc:Choice>
        </mc:AlternateContent>
        <mc:AlternateContent xmlns:mc="http://schemas.openxmlformats.org/markup-compatibility/2006">
          <mc:Choice Requires="x14">
            <control shapeId="1244" r:id="rId1658" name="Button 220">
              <controlPr defaultSize="0" autoFill="0" autoLine="0" autoPict="0" macro="[0]!Sheet1.deleteRow">
                <anchor moveWithCells="1" sizeWithCells="1">
                  <from>
                    <xdr:col>6</xdr:col>
                    <xdr:colOff>0</xdr:colOff>
                    <xdr:row>2890</xdr:row>
                    <xdr:rowOff>0</xdr:rowOff>
                  </from>
                  <to>
                    <xdr:col>7</xdr:col>
                    <xdr:colOff>0</xdr:colOff>
                    <xdr:row>2890</xdr:row>
                    <xdr:rowOff>161925</xdr:rowOff>
                  </to>
                </anchor>
              </controlPr>
            </control>
          </mc:Choice>
        </mc:AlternateContent>
        <mc:AlternateContent xmlns:mc="http://schemas.openxmlformats.org/markup-compatibility/2006">
          <mc:Choice Requires="x14">
            <control shapeId="1243" r:id="rId1659" name="Button 219">
              <controlPr defaultSize="0" autoFill="0" autoLine="0" autoPict="0" macro="[0]!Sheet1.deleteRow">
                <anchor moveWithCells="1" sizeWithCells="1">
                  <from>
                    <xdr:col>6</xdr:col>
                    <xdr:colOff>0</xdr:colOff>
                    <xdr:row>2891</xdr:row>
                    <xdr:rowOff>0</xdr:rowOff>
                  </from>
                  <to>
                    <xdr:col>7</xdr:col>
                    <xdr:colOff>0</xdr:colOff>
                    <xdr:row>2891</xdr:row>
                    <xdr:rowOff>161925</xdr:rowOff>
                  </to>
                </anchor>
              </controlPr>
            </control>
          </mc:Choice>
        </mc:AlternateContent>
        <mc:AlternateContent xmlns:mc="http://schemas.openxmlformats.org/markup-compatibility/2006">
          <mc:Choice Requires="x14">
            <control shapeId="1242" r:id="rId1660" name="Button 218">
              <controlPr defaultSize="0" autoFill="0" autoLine="0" autoPict="0" macro="[0]!Sheet1.deleteRow">
                <anchor moveWithCells="1" sizeWithCells="1">
                  <from>
                    <xdr:col>6</xdr:col>
                    <xdr:colOff>0</xdr:colOff>
                    <xdr:row>2892</xdr:row>
                    <xdr:rowOff>0</xdr:rowOff>
                  </from>
                  <to>
                    <xdr:col>7</xdr:col>
                    <xdr:colOff>0</xdr:colOff>
                    <xdr:row>2892</xdr:row>
                    <xdr:rowOff>161925</xdr:rowOff>
                  </to>
                </anchor>
              </controlPr>
            </control>
          </mc:Choice>
        </mc:AlternateContent>
        <mc:AlternateContent xmlns:mc="http://schemas.openxmlformats.org/markup-compatibility/2006">
          <mc:Choice Requires="x14">
            <control shapeId="1241" r:id="rId1661" name="Button 217">
              <controlPr defaultSize="0" autoFill="0" autoLine="0" autoPict="0" macro="[0]!Sheet1.deleteRow">
                <anchor moveWithCells="1" sizeWithCells="1">
                  <from>
                    <xdr:col>6</xdr:col>
                    <xdr:colOff>0</xdr:colOff>
                    <xdr:row>2893</xdr:row>
                    <xdr:rowOff>0</xdr:rowOff>
                  </from>
                  <to>
                    <xdr:col>7</xdr:col>
                    <xdr:colOff>0</xdr:colOff>
                    <xdr:row>2893</xdr:row>
                    <xdr:rowOff>161925</xdr:rowOff>
                  </to>
                </anchor>
              </controlPr>
            </control>
          </mc:Choice>
        </mc:AlternateContent>
        <mc:AlternateContent xmlns:mc="http://schemas.openxmlformats.org/markup-compatibility/2006">
          <mc:Choice Requires="x14">
            <control shapeId="1240" r:id="rId1662" name="Button 216">
              <controlPr defaultSize="0" autoFill="0" autoLine="0" autoPict="0" macro="[0]!Sheet1.deleteRow">
                <anchor moveWithCells="1" sizeWithCells="1">
                  <from>
                    <xdr:col>6</xdr:col>
                    <xdr:colOff>0</xdr:colOff>
                    <xdr:row>2894</xdr:row>
                    <xdr:rowOff>0</xdr:rowOff>
                  </from>
                  <to>
                    <xdr:col>7</xdr:col>
                    <xdr:colOff>0</xdr:colOff>
                    <xdr:row>2894</xdr:row>
                    <xdr:rowOff>161925</xdr:rowOff>
                  </to>
                </anchor>
              </controlPr>
            </control>
          </mc:Choice>
        </mc:AlternateContent>
        <mc:AlternateContent xmlns:mc="http://schemas.openxmlformats.org/markup-compatibility/2006">
          <mc:Choice Requires="x14">
            <control shapeId="1239" r:id="rId1663" name="Button 215">
              <controlPr defaultSize="0" autoFill="0" autoLine="0" autoPict="0" macro="[0]!Sheet1.deleteRow">
                <anchor moveWithCells="1" sizeWithCells="1">
                  <from>
                    <xdr:col>6</xdr:col>
                    <xdr:colOff>0</xdr:colOff>
                    <xdr:row>2895</xdr:row>
                    <xdr:rowOff>0</xdr:rowOff>
                  </from>
                  <to>
                    <xdr:col>7</xdr:col>
                    <xdr:colOff>0</xdr:colOff>
                    <xdr:row>2895</xdr:row>
                    <xdr:rowOff>161925</xdr:rowOff>
                  </to>
                </anchor>
              </controlPr>
            </control>
          </mc:Choice>
        </mc:AlternateContent>
        <mc:AlternateContent xmlns:mc="http://schemas.openxmlformats.org/markup-compatibility/2006">
          <mc:Choice Requires="x14">
            <control shapeId="1238" r:id="rId1664" name="Button 214">
              <controlPr defaultSize="0" autoFill="0" autoLine="0" autoPict="0" macro="[0]!Sheet1.deleteRow">
                <anchor moveWithCells="1" sizeWithCells="1">
                  <from>
                    <xdr:col>6</xdr:col>
                    <xdr:colOff>0</xdr:colOff>
                    <xdr:row>2896</xdr:row>
                    <xdr:rowOff>0</xdr:rowOff>
                  </from>
                  <to>
                    <xdr:col>7</xdr:col>
                    <xdr:colOff>0</xdr:colOff>
                    <xdr:row>2896</xdr:row>
                    <xdr:rowOff>161925</xdr:rowOff>
                  </to>
                </anchor>
              </controlPr>
            </control>
          </mc:Choice>
        </mc:AlternateContent>
        <mc:AlternateContent xmlns:mc="http://schemas.openxmlformats.org/markup-compatibility/2006">
          <mc:Choice Requires="x14">
            <control shapeId="1237" r:id="rId1665" name="Button 213">
              <controlPr defaultSize="0" autoFill="0" autoLine="0" autoPict="0" macro="[0]!Sheet1.deleteRow">
                <anchor moveWithCells="1" sizeWithCells="1">
                  <from>
                    <xdr:col>6</xdr:col>
                    <xdr:colOff>0</xdr:colOff>
                    <xdr:row>2897</xdr:row>
                    <xdr:rowOff>0</xdr:rowOff>
                  </from>
                  <to>
                    <xdr:col>7</xdr:col>
                    <xdr:colOff>0</xdr:colOff>
                    <xdr:row>2897</xdr:row>
                    <xdr:rowOff>161925</xdr:rowOff>
                  </to>
                </anchor>
              </controlPr>
            </control>
          </mc:Choice>
        </mc:AlternateContent>
        <mc:AlternateContent xmlns:mc="http://schemas.openxmlformats.org/markup-compatibility/2006">
          <mc:Choice Requires="x14">
            <control shapeId="1236" r:id="rId1666" name="Button 212">
              <controlPr defaultSize="0" autoFill="0" autoLine="0" autoPict="0" macro="[0]!Sheet1.deleteRow">
                <anchor moveWithCells="1" sizeWithCells="1">
                  <from>
                    <xdr:col>6</xdr:col>
                    <xdr:colOff>0</xdr:colOff>
                    <xdr:row>2898</xdr:row>
                    <xdr:rowOff>0</xdr:rowOff>
                  </from>
                  <to>
                    <xdr:col>7</xdr:col>
                    <xdr:colOff>0</xdr:colOff>
                    <xdr:row>2898</xdr:row>
                    <xdr:rowOff>161925</xdr:rowOff>
                  </to>
                </anchor>
              </controlPr>
            </control>
          </mc:Choice>
        </mc:AlternateContent>
        <mc:AlternateContent xmlns:mc="http://schemas.openxmlformats.org/markup-compatibility/2006">
          <mc:Choice Requires="x14">
            <control shapeId="1235" r:id="rId1667" name="Button 211">
              <controlPr defaultSize="0" autoFill="0" autoLine="0" autoPict="0" macro="[0]!Sheet1.deleteRow">
                <anchor moveWithCells="1" sizeWithCells="1">
                  <from>
                    <xdr:col>6</xdr:col>
                    <xdr:colOff>0</xdr:colOff>
                    <xdr:row>2899</xdr:row>
                    <xdr:rowOff>0</xdr:rowOff>
                  </from>
                  <to>
                    <xdr:col>7</xdr:col>
                    <xdr:colOff>0</xdr:colOff>
                    <xdr:row>2899</xdr:row>
                    <xdr:rowOff>161925</xdr:rowOff>
                  </to>
                </anchor>
              </controlPr>
            </control>
          </mc:Choice>
        </mc:AlternateContent>
        <mc:AlternateContent xmlns:mc="http://schemas.openxmlformats.org/markup-compatibility/2006">
          <mc:Choice Requires="x14">
            <control shapeId="1234" r:id="rId1668" name="Button 210">
              <controlPr defaultSize="0" autoFill="0" autoLine="0" autoPict="0" macro="[0]!Sheet1.deleteRow">
                <anchor moveWithCells="1" sizeWithCells="1">
                  <from>
                    <xdr:col>6</xdr:col>
                    <xdr:colOff>0</xdr:colOff>
                    <xdr:row>2900</xdr:row>
                    <xdr:rowOff>0</xdr:rowOff>
                  </from>
                  <to>
                    <xdr:col>7</xdr:col>
                    <xdr:colOff>0</xdr:colOff>
                    <xdr:row>2900</xdr:row>
                    <xdr:rowOff>161925</xdr:rowOff>
                  </to>
                </anchor>
              </controlPr>
            </control>
          </mc:Choice>
        </mc:AlternateContent>
        <mc:AlternateContent xmlns:mc="http://schemas.openxmlformats.org/markup-compatibility/2006">
          <mc:Choice Requires="x14">
            <control shapeId="1233" r:id="rId1669" name="Button 209">
              <controlPr defaultSize="0" autoFill="0" autoLine="0" autoPict="0" macro="[0]!Sheet1.deleteRow">
                <anchor moveWithCells="1" sizeWithCells="1">
                  <from>
                    <xdr:col>6</xdr:col>
                    <xdr:colOff>0</xdr:colOff>
                    <xdr:row>2901</xdr:row>
                    <xdr:rowOff>0</xdr:rowOff>
                  </from>
                  <to>
                    <xdr:col>7</xdr:col>
                    <xdr:colOff>0</xdr:colOff>
                    <xdr:row>2901</xdr:row>
                    <xdr:rowOff>161925</xdr:rowOff>
                  </to>
                </anchor>
              </controlPr>
            </control>
          </mc:Choice>
        </mc:AlternateContent>
        <mc:AlternateContent xmlns:mc="http://schemas.openxmlformats.org/markup-compatibility/2006">
          <mc:Choice Requires="x14">
            <control shapeId="1232" r:id="rId1670" name="Button 208">
              <controlPr defaultSize="0" autoFill="0" autoLine="0" autoPict="0" macro="[0]!Sheet1.deleteRow">
                <anchor moveWithCells="1" sizeWithCells="1">
                  <from>
                    <xdr:col>6</xdr:col>
                    <xdr:colOff>0</xdr:colOff>
                    <xdr:row>2902</xdr:row>
                    <xdr:rowOff>0</xdr:rowOff>
                  </from>
                  <to>
                    <xdr:col>7</xdr:col>
                    <xdr:colOff>0</xdr:colOff>
                    <xdr:row>2902</xdr:row>
                    <xdr:rowOff>161925</xdr:rowOff>
                  </to>
                </anchor>
              </controlPr>
            </control>
          </mc:Choice>
        </mc:AlternateContent>
        <mc:AlternateContent xmlns:mc="http://schemas.openxmlformats.org/markup-compatibility/2006">
          <mc:Choice Requires="x14">
            <control shapeId="13311" r:id="rId1671" name="Button 2047">
              <controlPr defaultSize="0" autoFill="0" autoLine="0" autoPict="0" macro="[0]!Sheet1.deleteRow">
                <anchor moveWithCells="1" sizeWithCells="1">
                  <from>
                    <xdr:col>6</xdr:col>
                    <xdr:colOff>0</xdr:colOff>
                    <xdr:row>2903</xdr:row>
                    <xdr:rowOff>0</xdr:rowOff>
                  </from>
                  <to>
                    <xdr:col>7</xdr:col>
                    <xdr:colOff>0</xdr:colOff>
                    <xdr:row>2903</xdr:row>
                    <xdr:rowOff>161925</xdr:rowOff>
                  </to>
                </anchor>
              </controlPr>
            </control>
          </mc:Choice>
        </mc:AlternateContent>
        <mc:AlternateContent xmlns:mc="http://schemas.openxmlformats.org/markup-compatibility/2006">
          <mc:Choice Requires="x14">
            <control shapeId="13310" r:id="rId1672" name="Button 2046">
              <controlPr defaultSize="0" autoFill="0" autoLine="0" autoPict="0" macro="[0]!Sheet1.deleteRow">
                <anchor moveWithCells="1" sizeWithCells="1">
                  <from>
                    <xdr:col>6</xdr:col>
                    <xdr:colOff>0</xdr:colOff>
                    <xdr:row>2904</xdr:row>
                    <xdr:rowOff>0</xdr:rowOff>
                  </from>
                  <to>
                    <xdr:col>7</xdr:col>
                    <xdr:colOff>0</xdr:colOff>
                    <xdr:row>2904</xdr:row>
                    <xdr:rowOff>161925</xdr:rowOff>
                  </to>
                </anchor>
              </controlPr>
            </control>
          </mc:Choice>
        </mc:AlternateContent>
        <mc:AlternateContent xmlns:mc="http://schemas.openxmlformats.org/markup-compatibility/2006">
          <mc:Choice Requires="x14">
            <control shapeId="13309" r:id="rId1673" name="Button 2045">
              <controlPr defaultSize="0" autoFill="0" autoLine="0" autoPict="0" macro="[0]!Sheet1.deleteRow">
                <anchor moveWithCells="1" sizeWithCells="1">
                  <from>
                    <xdr:col>6</xdr:col>
                    <xdr:colOff>0</xdr:colOff>
                    <xdr:row>2905</xdr:row>
                    <xdr:rowOff>0</xdr:rowOff>
                  </from>
                  <to>
                    <xdr:col>7</xdr:col>
                    <xdr:colOff>0</xdr:colOff>
                    <xdr:row>2905</xdr:row>
                    <xdr:rowOff>161925</xdr:rowOff>
                  </to>
                </anchor>
              </controlPr>
            </control>
          </mc:Choice>
        </mc:AlternateContent>
        <mc:AlternateContent xmlns:mc="http://schemas.openxmlformats.org/markup-compatibility/2006">
          <mc:Choice Requires="x14">
            <control shapeId="13308" r:id="rId1674" name="Button 2044">
              <controlPr defaultSize="0" autoFill="0" autoLine="0" autoPict="0" macro="[0]!Sheet1.deleteRow">
                <anchor moveWithCells="1" sizeWithCells="1">
                  <from>
                    <xdr:col>6</xdr:col>
                    <xdr:colOff>0</xdr:colOff>
                    <xdr:row>2906</xdr:row>
                    <xdr:rowOff>0</xdr:rowOff>
                  </from>
                  <to>
                    <xdr:col>7</xdr:col>
                    <xdr:colOff>0</xdr:colOff>
                    <xdr:row>2906</xdr:row>
                    <xdr:rowOff>161925</xdr:rowOff>
                  </to>
                </anchor>
              </controlPr>
            </control>
          </mc:Choice>
        </mc:AlternateContent>
        <mc:AlternateContent xmlns:mc="http://schemas.openxmlformats.org/markup-compatibility/2006">
          <mc:Choice Requires="x14">
            <control shapeId="13307" r:id="rId1675" name="Button 2043">
              <controlPr defaultSize="0" autoFill="0" autoLine="0" autoPict="0" macro="[0]!Sheet1.deleteRow">
                <anchor moveWithCells="1" sizeWithCells="1">
                  <from>
                    <xdr:col>6</xdr:col>
                    <xdr:colOff>0</xdr:colOff>
                    <xdr:row>2907</xdr:row>
                    <xdr:rowOff>0</xdr:rowOff>
                  </from>
                  <to>
                    <xdr:col>7</xdr:col>
                    <xdr:colOff>0</xdr:colOff>
                    <xdr:row>2907</xdr:row>
                    <xdr:rowOff>161925</xdr:rowOff>
                  </to>
                </anchor>
              </controlPr>
            </control>
          </mc:Choice>
        </mc:AlternateContent>
        <mc:AlternateContent xmlns:mc="http://schemas.openxmlformats.org/markup-compatibility/2006">
          <mc:Choice Requires="x14">
            <control shapeId="13306" r:id="rId1676" name="Button 2042">
              <controlPr defaultSize="0" autoFill="0" autoLine="0" autoPict="0" macro="[0]!Sheet1.deleteRow">
                <anchor moveWithCells="1" sizeWithCells="1">
                  <from>
                    <xdr:col>6</xdr:col>
                    <xdr:colOff>0</xdr:colOff>
                    <xdr:row>2908</xdr:row>
                    <xdr:rowOff>0</xdr:rowOff>
                  </from>
                  <to>
                    <xdr:col>7</xdr:col>
                    <xdr:colOff>0</xdr:colOff>
                    <xdr:row>2908</xdr:row>
                    <xdr:rowOff>161925</xdr:rowOff>
                  </to>
                </anchor>
              </controlPr>
            </control>
          </mc:Choice>
        </mc:AlternateContent>
        <mc:AlternateContent xmlns:mc="http://schemas.openxmlformats.org/markup-compatibility/2006">
          <mc:Choice Requires="x14">
            <control shapeId="13305" r:id="rId1677" name="Button 2041">
              <controlPr defaultSize="0" autoFill="0" autoLine="0" autoPict="0" macro="[0]!Sheet1.deleteRow">
                <anchor moveWithCells="1" sizeWithCells="1">
                  <from>
                    <xdr:col>6</xdr:col>
                    <xdr:colOff>0</xdr:colOff>
                    <xdr:row>2909</xdr:row>
                    <xdr:rowOff>0</xdr:rowOff>
                  </from>
                  <to>
                    <xdr:col>7</xdr:col>
                    <xdr:colOff>0</xdr:colOff>
                    <xdr:row>2909</xdr:row>
                    <xdr:rowOff>161925</xdr:rowOff>
                  </to>
                </anchor>
              </controlPr>
            </control>
          </mc:Choice>
        </mc:AlternateContent>
        <mc:AlternateContent xmlns:mc="http://schemas.openxmlformats.org/markup-compatibility/2006">
          <mc:Choice Requires="x14">
            <control shapeId="13304" r:id="rId1678" name="Button 2040">
              <controlPr defaultSize="0" autoFill="0" autoLine="0" autoPict="0" macro="[0]!Sheet1.deleteProcedure">
                <anchor moveWithCells="1" sizeWithCells="1">
                  <from>
                    <xdr:col>6</xdr:col>
                    <xdr:colOff>0</xdr:colOff>
                    <xdr:row>2912</xdr:row>
                    <xdr:rowOff>0</xdr:rowOff>
                  </from>
                  <to>
                    <xdr:col>7</xdr:col>
                    <xdr:colOff>0</xdr:colOff>
                    <xdr:row>2913</xdr:row>
                    <xdr:rowOff>0</xdr:rowOff>
                  </to>
                </anchor>
              </controlPr>
            </control>
          </mc:Choice>
        </mc:AlternateContent>
        <mc:AlternateContent xmlns:mc="http://schemas.openxmlformats.org/markup-compatibility/2006">
          <mc:Choice Requires="x14">
            <control shapeId="13303" r:id="rId1679" name="Button 2039">
              <controlPr defaultSize="0" autoFill="0" autoLine="0" autoPict="0" macro="[0]!Sheet1.InsertNewTableRow">
                <anchor moveWithCells="1" sizeWithCells="1">
                  <from>
                    <xdr:col>6</xdr:col>
                    <xdr:colOff>0</xdr:colOff>
                    <xdr:row>2919</xdr:row>
                    <xdr:rowOff>0</xdr:rowOff>
                  </from>
                  <to>
                    <xdr:col>7</xdr:col>
                    <xdr:colOff>0</xdr:colOff>
                    <xdr:row>2919</xdr:row>
                    <xdr:rowOff>38100</xdr:rowOff>
                  </to>
                </anchor>
              </controlPr>
            </control>
          </mc:Choice>
        </mc:AlternateContent>
        <mc:AlternateContent xmlns:mc="http://schemas.openxmlformats.org/markup-compatibility/2006">
          <mc:Choice Requires="x14">
            <control shapeId="13302" r:id="rId1680" name="Button 2038">
              <controlPr defaultSize="0" autoFill="0" autoLine="0" autoPict="0" macro="[0]!Sheet1.deleteRow">
                <anchor moveWithCells="1" sizeWithCells="1">
                  <from>
                    <xdr:col>6</xdr:col>
                    <xdr:colOff>0</xdr:colOff>
                    <xdr:row>2920</xdr:row>
                    <xdr:rowOff>0</xdr:rowOff>
                  </from>
                  <to>
                    <xdr:col>7</xdr:col>
                    <xdr:colOff>0</xdr:colOff>
                    <xdr:row>2920</xdr:row>
                    <xdr:rowOff>161925</xdr:rowOff>
                  </to>
                </anchor>
              </controlPr>
            </control>
          </mc:Choice>
        </mc:AlternateContent>
        <mc:AlternateContent xmlns:mc="http://schemas.openxmlformats.org/markup-compatibility/2006">
          <mc:Choice Requires="x14">
            <control shapeId="13301" r:id="rId1681" name="Button 2037">
              <controlPr defaultSize="0" autoFill="0" autoLine="0" autoPict="0" macro="[0]!Sheet1.deleteRow">
                <anchor moveWithCells="1" sizeWithCells="1">
                  <from>
                    <xdr:col>6</xdr:col>
                    <xdr:colOff>0</xdr:colOff>
                    <xdr:row>2921</xdr:row>
                    <xdr:rowOff>0</xdr:rowOff>
                  </from>
                  <to>
                    <xdr:col>7</xdr:col>
                    <xdr:colOff>0</xdr:colOff>
                    <xdr:row>2921</xdr:row>
                    <xdr:rowOff>161925</xdr:rowOff>
                  </to>
                </anchor>
              </controlPr>
            </control>
          </mc:Choice>
        </mc:AlternateContent>
        <mc:AlternateContent xmlns:mc="http://schemas.openxmlformats.org/markup-compatibility/2006">
          <mc:Choice Requires="x14">
            <control shapeId="13300" r:id="rId1682" name="Button 2036">
              <controlPr defaultSize="0" autoFill="0" autoLine="0" autoPict="0" macro="[0]!Sheet1.deleteRow">
                <anchor moveWithCells="1" sizeWithCells="1">
                  <from>
                    <xdr:col>6</xdr:col>
                    <xdr:colOff>0</xdr:colOff>
                    <xdr:row>2922</xdr:row>
                    <xdr:rowOff>0</xdr:rowOff>
                  </from>
                  <to>
                    <xdr:col>7</xdr:col>
                    <xdr:colOff>0</xdr:colOff>
                    <xdr:row>2922</xdr:row>
                    <xdr:rowOff>161925</xdr:rowOff>
                  </to>
                </anchor>
              </controlPr>
            </control>
          </mc:Choice>
        </mc:AlternateContent>
        <mc:AlternateContent xmlns:mc="http://schemas.openxmlformats.org/markup-compatibility/2006">
          <mc:Choice Requires="x14">
            <control shapeId="13299" r:id="rId1683" name="Button 2035">
              <controlPr defaultSize="0" autoFill="0" autoLine="0" autoPict="0" macro="[0]!Sheet1.deleteRow">
                <anchor moveWithCells="1" sizeWithCells="1">
                  <from>
                    <xdr:col>6</xdr:col>
                    <xdr:colOff>0</xdr:colOff>
                    <xdr:row>2923</xdr:row>
                    <xdr:rowOff>0</xdr:rowOff>
                  </from>
                  <to>
                    <xdr:col>7</xdr:col>
                    <xdr:colOff>0</xdr:colOff>
                    <xdr:row>2923</xdr:row>
                    <xdr:rowOff>161925</xdr:rowOff>
                  </to>
                </anchor>
              </controlPr>
            </control>
          </mc:Choice>
        </mc:AlternateContent>
        <mc:AlternateContent xmlns:mc="http://schemas.openxmlformats.org/markup-compatibility/2006">
          <mc:Choice Requires="x14">
            <control shapeId="13298" r:id="rId1684" name="Button 2034">
              <controlPr defaultSize="0" autoFill="0" autoLine="0" autoPict="0" macro="[0]!Sheet1.deleteRow">
                <anchor moveWithCells="1" sizeWithCells="1">
                  <from>
                    <xdr:col>6</xdr:col>
                    <xdr:colOff>0</xdr:colOff>
                    <xdr:row>2924</xdr:row>
                    <xdr:rowOff>0</xdr:rowOff>
                  </from>
                  <to>
                    <xdr:col>7</xdr:col>
                    <xdr:colOff>0</xdr:colOff>
                    <xdr:row>2924</xdr:row>
                    <xdr:rowOff>161925</xdr:rowOff>
                  </to>
                </anchor>
              </controlPr>
            </control>
          </mc:Choice>
        </mc:AlternateContent>
        <mc:AlternateContent xmlns:mc="http://schemas.openxmlformats.org/markup-compatibility/2006">
          <mc:Choice Requires="x14">
            <control shapeId="13297" r:id="rId1685" name="Button 2033">
              <controlPr defaultSize="0" autoFill="0" autoLine="0" autoPict="0" macro="[0]!Sheet1.deleteRow">
                <anchor moveWithCells="1" sizeWithCells="1">
                  <from>
                    <xdr:col>6</xdr:col>
                    <xdr:colOff>0</xdr:colOff>
                    <xdr:row>2925</xdr:row>
                    <xdr:rowOff>0</xdr:rowOff>
                  </from>
                  <to>
                    <xdr:col>7</xdr:col>
                    <xdr:colOff>0</xdr:colOff>
                    <xdr:row>2925</xdr:row>
                    <xdr:rowOff>161925</xdr:rowOff>
                  </to>
                </anchor>
              </controlPr>
            </control>
          </mc:Choice>
        </mc:AlternateContent>
        <mc:AlternateContent xmlns:mc="http://schemas.openxmlformats.org/markup-compatibility/2006">
          <mc:Choice Requires="x14">
            <control shapeId="13296" r:id="rId1686" name="Button 2032">
              <controlPr defaultSize="0" autoFill="0" autoLine="0" autoPict="0" macro="[0]!Sheet1.deleteRow">
                <anchor moveWithCells="1" sizeWithCells="1">
                  <from>
                    <xdr:col>6</xdr:col>
                    <xdr:colOff>0</xdr:colOff>
                    <xdr:row>2926</xdr:row>
                    <xdr:rowOff>0</xdr:rowOff>
                  </from>
                  <to>
                    <xdr:col>7</xdr:col>
                    <xdr:colOff>0</xdr:colOff>
                    <xdr:row>2926</xdr:row>
                    <xdr:rowOff>161925</xdr:rowOff>
                  </to>
                </anchor>
              </controlPr>
            </control>
          </mc:Choice>
        </mc:AlternateContent>
        <mc:AlternateContent xmlns:mc="http://schemas.openxmlformats.org/markup-compatibility/2006">
          <mc:Choice Requires="x14">
            <control shapeId="13295" r:id="rId1687" name="Button 2031">
              <controlPr defaultSize="0" autoFill="0" autoLine="0" autoPict="0" macro="[0]!Sheet1.deleteRow">
                <anchor moveWithCells="1" sizeWithCells="1">
                  <from>
                    <xdr:col>6</xdr:col>
                    <xdr:colOff>0</xdr:colOff>
                    <xdr:row>2927</xdr:row>
                    <xdr:rowOff>0</xdr:rowOff>
                  </from>
                  <to>
                    <xdr:col>7</xdr:col>
                    <xdr:colOff>0</xdr:colOff>
                    <xdr:row>2927</xdr:row>
                    <xdr:rowOff>161925</xdr:rowOff>
                  </to>
                </anchor>
              </controlPr>
            </control>
          </mc:Choice>
        </mc:AlternateContent>
        <mc:AlternateContent xmlns:mc="http://schemas.openxmlformats.org/markup-compatibility/2006">
          <mc:Choice Requires="x14">
            <control shapeId="13294" r:id="rId1688" name="Button 2030">
              <controlPr defaultSize="0" autoFill="0" autoLine="0" autoPict="0" macro="[0]!Sheet1.deleteRow">
                <anchor moveWithCells="1" sizeWithCells="1">
                  <from>
                    <xdr:col>6</xdr:col>
                    <xdr:colOff>0</xdr:colOff>
                    <xdr:row>2928</xdr:row>
                    <xdr:rowOff>0</xdr:rowOff>
                  </from>
                  <to>
                    <xdr:col>7</xdr:col>
                    <xdr:colOff>0</xdr:colOff>
                    <xdr:row>2928</xdr:row>
                    <xdr:rowOff>161925</xdr:rowOff>
                  </to>
                </anchor>
              </controlPr>
            </control>
          </mc:Choice>
        </mc:AlternateContent>
        <mc:AlternateContent xmlns:mc="http://schemas.openxmlformats.org/markup-compatibility/2006">
          <mc:Choice Requires="x14">
            <control shapeId="13293" r:id="rId1689" name="Button 2029">
              <controlPr defaultSize="0" autoFill="0" autoLine="0" autoPict="0" macro="[0]!Sheet1.deleteRow">
                <anchor moveWithCells="1" sizeWithCells="1">
                  <from>
                    <xdr:col>6</xdr:col>
                    <xdr:colOff>0</xdr:colOff>
                    <xdr:row>2929</xdr:row>
                    <xdr:rowOff>0</xdr:rowOff>
                  </from>
                  <to>
                    <xdr:col>7</xdr:col>
                    <xdr:colOff>0</xdr:colOff>
                    <xdr:row>2929</xdr:row>
                    <xdr:rowOff>161925</xdr:rowOff>
                  </to>
                </anchor>
              </controlPr>
            </control>
          </mc:Choice>
        </mc:AlternateContent>
        <mc:AlternateContent xmlns:mc="http://schemas.openxmlformats.org/markup-compatibility/2006">
          <mc:Choice Requires="x14">
            <control shapeId="13292" r:id="rId1690" name="Button 2028">
              <controlPr defaultSize="0" autoFill="0" autoLine="0" autoPict="0" macro="[0]!Sheet1.deleteRow">
                <anchor moveWithCells="1" sizeWithCells="1">
                  <from>
                    <xdr:col>6</xdr:col>
                    <xdr:colOff>0</xdr:colOff>
                    <xdr:row>2930</xdr:row>
                    <xdr:rowOff>0</xdr:rowOff>
                  </from>
                  <to>
                    <xdr:col>7</xdr:col>
                    <xdr:colOff>0</xdr:colOff>
                    <xdr:row>2930</xdr:row>
                    <xdr:rowOff>161925</xdr:rowOff>
                  </to>
                </anchor>
              </controlPr>
            </control>
          </mc:Choice>
        </mc:AlternateContent>
        <mc:AlternateContent xmlns:mc="http://schemas.openxmlformats.org/markup-compatibility/2006">
          <mc:Choice Requires="x14">
            <control shapeId="13291" r:id="rId1691" name="Button 2027">
              <controlPr defaultSize="0" autoFill="0" autoLine="0" autoPict="0" macro="[0]!Sheet1.deleteRow">
                <anchor moveWithCells="1" sizeWithCells="1">
                  <from>
                    <xdr:col>6</xdr:col>
                    <xdr:colOff>0</xdr:colOff>
                    <xdr:row>2931</xdr:row>
                    <xdr:rowOff>0</xdr:rowOff>
                  </from>
                  <to>
                    <xdr:col>7</xdr:col>
                    <xdr:colOff>0</xdr:colOff>
                    <xdr:row>2931</xdr:row>
                    <xdr:rowOff>161925</xdr:rowOff>
                  </to>
                </anchor>
              </controlPr>
            </control>
          </mc:Choice>
        </mc:AlternateContent>
        <mc:AlternateContent xmlns:mc="http://schemas.openxmlformats.org/markup-compatibility/2006">
          <mc:Choice Requires="x14">
            <control shapeId="13290" r:id="rId1692" name="Button 2026">
              <controlPr defaultSize="0" autoFill="0" autoLine="0" autoPict="0" macro="[0]!Sheet1.deleteRow">
                <anchor moveWithCells="1" sizeWithCells="1">
                  <from>
                    <xdr:col>6</xdr:col>
                    <xdr:colOff>0</xdr:colOff>
                    <xdr:row>2932</xdr:row>
                    <xdr:rowOff>0</xdr:rowOff>
                  </from>
                  <to>
                    <xdr:col>7</xdr:col>
                    <xdr:colOff>0</xdr:colOff>
                    <xdr:row>2932</xdr:row>
                    <xdr:rowOff>161925</xdr:rowOff>
                  </to>
                </anchor>
              </controlPr>
            </control>
          </mc:Choice>
        </mc:AlternateContent>
        <mc:AlternateContent xmlns:mc="http://schemas.openxmlformats.org/markup-compatibility/2006">
          <mc:Choice Requires="x14">
            <control shapeId="13289" r:id="rId1693" name="Button 2025">
              <controlPr defaultSize="0" autoFill="0" autoLine="0" autoPict="0" macro="[0]!Sheet1.deleteRow">
                <anchor moveWithCells="1" sizeWithCells="1">
                  <from>
                    <xdr:col>6</xdr:col>
                    <xdr:colOff>0</xdr:colOff>
                    <xdr:row>2933</xdr:row>
                    <xdr:rowOff>0</xdr:rowOff>
                  </from>
                  <to>
                    <xdr:col>7</xdr:col>
                    <xdr:colOff>0</xdr:colOff>
                    <xdr:row>2933</xdr:row>
                    <xdr:rowOff>161925</xdr:rowOff>
                  </to>
                </anchor>
              </controlPr>
            </control>
          </mc:Choice>
        </mc:AlternateContent>
        <mc:AlternateContent xmlns:mc="http://schemas.openxmlformats.org/markup-compatibility/2006">
          <mc:Choice Requires="x14">
            <control shapeId="13288" r:id="rId1694" name="Button 2024">
              <controlPr defaultSize="0" autoFill="0" autoLine="0" autoPict="0" macro="[0]!Sheet1.deleteRow">
                <anchor moveWithCells="1" sizeWithCells="1">
                  <from>
                    <xdr:col>6</xdr:col>
                    <xdr:colOff>0</xdr:colOff>
                    <xdr:row>2934</xdr:row>
                    <xdr:rowOff>0</xdr:rowOff>
                  </from>
                  <to>
                    <xdr:col>7</xdr:col>
                    <xdr:colOff>0</xdr:colOff>
                    <xdr:row>2934</xdr:row>
                    <xdr:rowOff>161925</xdr:rowOff>
                  </to>
                </anchor>
              </controlPr>
            </control>
          </mc:Choice>
        </mc:AlternateContent>
        <mc:AlternateContent xmlns:mc="http://schemas.openxmlformats.org/markup-compatibility/2006">
          <mc:Choice Requires="x14">
            <control shapeId="13287" r:id="rId1695" name="Button 2023">
              <controlPr defaultSize="0" autoFill="0" autoLine="0" autoPict="0" macro="[0]!Sheet1.deleteRow">
                <anchor moveWithCells="1" sizeWithCells="1">
                  <from>
                    <xdr:col>6</xdr:col>
                    <xdr:colOff>0</xdr:colOff>
                    <xdr:row>2935</xdr:row>
                    <xdr:rowOff>0</xdr:rowOff>
                  </from>
                  <to>
                    <xdr:col>7</xdr:col>
                    <xdr:colOff>0</xdr:colOff>
                    <xdr:row>2935</xdr:row>
                    <xdr:rowOff>161925</xdr:rowOff>
                  </to>
                </anchor>
              </controlPr>
            </control>
          </mc:Choice>
        </mc:AlternateContent>
        <mc:AlternateContent xmlns:mc="http://schemas.openxmlformats.org/markup-compatibility/2006">
          <mc:Choice Requires="x14">
            <control shapeId="13286" r:id="rId1696" name="Button 2022">
              <controlPr defaultSize="0" autoFill="0" autoLine="0" autoPict="0" macro="[0]!Sheet1.deleteProcedure">
                <anchor moveWithCells="1" sizeWithCells="1">
                  <from>
                    <xdr:col>6</xdr:col>
                    <xdr:colOff>0</xdr:colOff>
                    <xdr:row>2938</xdr:row>
                    <xdr:rowOff>0</xdr:rowOff>
                  </from>
                  <to>
                    <xdr:col>7</xdr:col>
                    <xdr:colOff>0</xdr:colOff>
                    <xdr:row>2939</xdr:row>
                    <xdr:rowOff>0</xdr:rowOff>
                  </to>
                </anchor>
              </controlPr>
            </control>
          </mc:Choice>
        </mc:AlternateContent>
        <mc:AlternateContent xmlns:mc="http://schemas.openxmlformats.org/markup-compatibility/2006">
          <mc:Choice Requires="x14">
            <control shapeId="13285" r:id="rId1697" name="Button 2021">
              <controlPr defaultSize="0" autoFill="0" autoLine="0" autoPict="0" macro="[0]!Sheet1.InsertNewTableRow">
                <anchor moveWithCells="1" sizeWithCells="1">
                  <from>
                    <xdr:col>6</xdr:col>
                    <xdr:colOff>0</xdr:colOff>
                    <xdr:row>2945</xdr:row>
                    <xdr:rowOff>0</xdr:rowOff>
                  </from>
                  <to>
                    <xdr:col>7</xdr:col>
                    <xdr:colOff>0</xdr:colOff>
                    <xdr:row>2945</xdr:row>
                    <xdr:rowOff>38100</xdr:rowOff>
                  </to>
                </anchor>
              </controlPr>
            </control>
          </mc:Choice>
        </mc:AlternateContent>
        <mc:AlternateContent xmlns:mc="http://schemas.openxmlformats.org/markup-compatibility/2006">
          <mc:Choice Requires="x14">
            <control shapeId="13284" r:id="rId1698" name="Button 2020">
              <controlPr defaultSize="0" autoFill="0" autoLine="0" autoPict="0" macro="[0]!Sheet1.deleteRow">
                <anchor moveWithCells="1" sizeWithCells="1">
                  <from>
                    <xdr:col>6</xdr:col>
                    <xdr:colOff>0</xdr:colOff>
                    <xdr:row>2946</xdr:row>
                    <xdr:rowOff>0</xdr:rowOff>
                  </from>
                  <to>
                    <xdr:col>7</xdr:col>
                    <xdr:colOff>0</xdr:colOff>
                    <xdr:row>2946</xdr:row>
                    <xdr:rowOff>161925</xdr:rowOff>
                  </to>
                </anchor>
              </controlPr>
            </control>
          </mc:Choice>
        </mc:AlternateContent>
        <mc:AlternateContent xmlns:mc="http://schemas.openxmlformats.org/markup-compatibility/2006">
          <mc:Choice Requires="x14">
            <control shapeId="13283" r:id="rId1699" name="Button 2019">
              <controlPr defaultSize="0" autoFill="0" autoLine="0" autoPict="0" macro="[0]!Sheet1.deleteRow">
                <anchor moveWithCells="1" sizeWithCells="1">
                  <from>
                    <xdr:col>6</xdr:col>
                    <xdr:colOff>0</xdr:colOff>
                    <xdr:row>2947</xdr:row>
                    <xdr:rowOff>0</xdr:rowOff>
                  </from>
                  <to>
                    <xdr:col>7</xdr:col>
                    <xdr:colOff>0</xdr:colOff>
                    <xdr:row>2947</xdr:row>
                    <xdr:rowOff>161925</xdr:rowOff>
                  </to>
                </anchor>
              </controlPr>
            </control>
          </mc:Choice>
        </mc:AlternateContent>
        <mc:AlternateContent xmlns:mc="http://schemas.openxmlformats.org/markup-compatibility/2006">
          <mc:Choice Requires="x14">
            <control shapeId="13282" r:id="rId1700" name="Button 2018">
              <controlPr defaultSize="0" autoFill="0" autoLine="0" autoPict="0" macro="[0]!Sheet1.deleteRow">
                <anchor moveWithCells="1" sizeWithCells="1">
                  <from>
                    <xdr:col>6</xdr:col>
                    <xdr:colOff>0</xdr:colOff>
                    <xdr:row>2948</xdr:row>
                    <xdr:rowOff>0</xdr:rowOff>
                  </from>
                  <to>
                    <xdr:col>7</xdr:col>
                    <xdr:colOff>0</xdr:colOff>
                    <xdr:row>2948</xdr:row>
                    <xdr:rowOff>161925</xdr:rowOff>
                  </to>
                </anchor>
              </controlPr>
            </control>
          </mc:Choice>
        </mc:AlternateContent>
        <mc:AlternateContent xmlns:mc="http://schemas.openxmlformats.org/markup-compatibility/2006">
          <mc:Choice Requires="x14">
            <control shapeId="13281" r:id="rId1701" name="Button 2017">
              <controlPr defaultSize="0" autoFill="0" autoLine="0" autoPict="0" macro="[0]!Sheet1.deleteRow">
                <anchor moveWithCells="1" sizeWithCells="1">
                  <from>
                    <xdr:col>6</xdr:col>
                    <xdr:colOff>0</xdr:colOff>
                    <xdr:row>2949</xdr:row>
                    <xdr:rowOff>0</xdr:rowOff>
                  </from>
                  <to>
                    <xdr:col>7</xdr:col>
                    <xdr:colOff>0</xdr:colOff>
                    <xdr:row>2949</xdr:row>
                    <xdr:rowOff>161925</xdr:rowOff>
                  </to>
                </anchor>
              </controlPr>
            </control>
          </mc:Choice>
        </mc:AlternateContent>
        <mc:AlternateContent xmlns:mc="http://schemas.openxmlformats.org/markup-compatibility/2006">
          <mc:Choice Requires="x14">
            <control shapeId="13280" r:id="rId1702" name="Button 2016">
              <controlPr defaultSize="0" autoFill="0" autoLine="0" autoPict="0" macro="[0]!Sheet1.deleteRow">
                <anchor moveWithCells="1" sizeWithCells="1">
                  <from>
                    <xdr:col>6</xdr:col>
                    <xdr:colOff>0</xdr:colOff>
                    <xdr:row>2950</xdr:row>
                    <xdr:rowOff>0</xdr:rowOff>
                  </from>
                  <to>
                    <xdr:col>7</xdr:col>
                    <xdr:colOff>0</xdr:colOff>
                    <xdr:row>2950</xdr:row>
                    <xdr:rowOff>161925</xdr:rowOff>
                  </to>
                </anchor>
              </controlPr>
            </control>
          </mc:Choice>
        </mc:AlternateContent>
        <mc:AlternateContent xmlns:mc="http://schemas.openxmlformats.org/markup-compatibility/2006">
          <mc:Choice Requires="x14">
            <control shapeId="13279" r:id="rId1703" name="Button 2015">
              <controlPr defaultSize="0" autoFill="0" autoLine="0" autoPict="0" macro="[0]!Sheet1.deleteRow">
                <anchor moveWithCells="1" sizeWithCells="1">
                  <from>
                    <xdr:col>6</xdr:col>
                    <xdr:colOff>0</xdr:colOff>
                    <xdr:row>2951</xdr:row>
                    <xdr:rowOff>0</xdr:rowOff>
                  </from>
                  <to>
                    <xdr:col>7</xdr:col>
                    <xdr:colOff>0</xdr:colOff>
                    <xdr:row>2951</xdr:row>
                    <xdr:rowOff>161925</xdr:rowOff>
                  </to>
                </anchor>
              </controlPr>
            </control>
          </mc:Choice>
        </mc:AlternateContent>
        <mc:AlternateContent xmlns:mc="http://schemas.openxmlformats.org/markup-compatibility/2006">
          <mc:Choice Requires="x14">
            <control shapeId="13278" r:id="rId1704" name="Button 2014">
              <controlPr defaultSize="0" autoFill="0" autoLine="0" autoPict="0" macro="[0]!Sheet1.deleteRow">
                <anchor moveWithCells="1" sizeWithCells="1">
                  <from>
                    <xdr:col>6</xdr:col>
                    <xdr:colOff>0</xdr:colOff>
                    <xdr:row>2952</xdr:row>
                    <xdr:rowOff>0</xdr:rowOff>
                  </from>
                  <to>
                    <xdr:col>7</xdr:col>
                    <xdr:colOff>0</xdr:colOff>
                    <xdr:row>2952</xdr:row>
                    <xdr:rowOff>161925</xdr:rowOff>
                  </to>
                </anchor>
              </controlPr>
            </control>
          </mc:Choice>
        </mc:AlternateContent>
        <mc:AlternateContent xmlns:mc="http://schemas.openxmlformats.org/markup-compatibility/2006">
          <mc:Choice Requires="x14">
            <control shapeId="13277" r:id="rId1705" name="Button 2013">
              <controlPr defaultSize="0" autoFill="0" autoLine="0" autoPict="0" macro="[0]!Sheet1.deleteRow">
                <anchor moveWithCells="1" sizeWithCells="1">
                  <from>
                    <xdr:col>6</xdr:col>
                    <xdr:colOff>0</xdr:colOff>
                    <xdr:row>2953</xdr:row>
                    <xdr:rowOff>0</xdr:rowOff>
                  </from>
                  <to>
                    <xdr:col>7</xdr:col>
                    <xdr:colOff>0</xdr:colOff>
                    <xdr:row>2953</xdr:row>
                    <xdr:rowOff>161925</xdr:rowOff>
                  </to>
                </anchor>
              </controlPr>
            </control>
          </mc:Choice>
        </mc:AlternateContent>
        <mc:AlternateContent xmlns:mc="http://schemas.openxmlformats.org/markup-compatibility/2006">
          <mc:Choice Requires="x14">
            <control shapeId="13276" r:id="rId1706" name="Button 2012">
              <controlPr defaultSize="0" autoFill="0" autoLine="0" autoPict="0" macro="[0]!Sheet1.deleteRow">
                <anchor moveWithCells="1" sizeWithCells="1">
                  <from>
                    <xdr:col>6</xdr:col>
                    <xdr:colOff>0</xdr:colOff>
                    <xdr:row>2954</xdr:row>
                    <xdr:rowOff>0</xdr:rowOff>
                  </from>
                  <to>
                    <xdr:col>7</xdr:col>
                    <xdr:colOff>0</xdr:colOff>
                    <xdr:row>2954</xdr:row>
                    <xdr:rowOff>161925</xdr:rowOff>
                  </to>
                </anchor>
              </controlPr>
            </control>
          </mc:Choice>
        </mc:AlternateContent>
        <mc:AlternateContent xmlns:mc="http://schemas.openxmlformats.org/markup-compatibility/2006">
          <mc:Choice Requires="x14">
            <control shapeId="13275" r:id="rId1707" name="Button 2011">
              <controlPr defaultSize="0" autoFill="0" autoLine="0" autoPict="0" macro="[0]!Sheet1.deleteRow">
                <anchor moveWithCells="1" sizeWithCells="1">
                  <from>
                    <xdr:col>6</xdr:col>
                    <xdr:colOff>0</xdr:colOff>
                    <xdr:row>2955</xdr:row>
                    <xdr:rowOff>0</xdr:rowOff>
                  </from>
                  <to>
                    <xdr:col>7</xdr:col>
                    <xdr:colOff>0</xdr:colOff>
                    <xdr:row>2955</xdr:row>
                    <xdr:rowOff>161925</xdr:rowOff>
                  </to>
                </anchor>
              </controlPr>
            </control>
          </mc:Choice>
        </mc:AlternateContent>
        <mc:AlternateContent xmlns:mc="http://schemas.openxmlformats.org/markup-compatibility/2006">
          <mc:Choice Requires="x14">
            <control shapeId="13274" r:id="rId1708" name="Button 2010">
              <controlPr defaultSize="0" autoFill="0" autoLine="0" autoPict="0" macro="[0]!Sheet1.deleteRow">
                <anchor moveWithCells="1" sizeWithCells="1">
                  <from>
                    <xdr:col>6</xdr:col>
                    <xdr:colOff>0</xdr:colOff>
                    <xdr:row>2956</xdr:row>
                    <xdr:rowOff>0</xdr:rowOff>
                  </from>
                  <to>
                    <xdr:col>7</xdr:col>
                    <xdr:colOff>0</xdr:colOff>
                    <xdr:row>2956</xdr:row>
                    <xdr:rowOff>161925</xdr:rowOff>
                  </to>
                </anchor>
              </controlPr>
            </control>
          </mc:Choice>
        </mc:AlternateContent>
        <mc:AlternateContent xmlns:mc="http://schemas.openxmlformats.org/markup-compatibility/2006">
          <mc:Choice Requires="x14">
            <control shapeId="13273" r:id="rId1709" name="Button 2009">
              <controlPr defaultSize="0" autoFill="0" autoLine="0" autoPict="0" macro="[0]!Sheet1.deleteRow">
                <anchor moveWithCells="1" sizeWithCells="1">
                  <from>
                    <xdr:col>6</xdr:col>
                    <xdr:colOff>0</xdr:colOff>
                    <xdr:row>2957</xdr:row>
                    <xdr:rowOff>0</xdr:rowOff>
                  </from>
                  <to>
                    <xdr:col>7</xdr:col>
                    <xdr:colOff>0</xdr:colOff>
                    <xdr:row>2957</xdr:row>
                    <xdr:rowOff>161925</xdr:rowOff>
                  </to>
                </anchor>
              </controlPr>
            </control>
          </mc:Choice>
        </mc:AlternateContent>
        <mc:AlternateContent xmlns:mc="http://schemas.openxmlformats.org/markup-compatibility/2006">
          <mc:Choice Requires="x14">
            <control shapeId="13272" r:id="rId1710" name="Button 2008">
              <controlPr defaultSize="0" autoFill="0" autoLine="0" autoPict="0" macro="[0]!Sheet1.deleteRow">
                <anchor moveWithCells="1" sizeWithCells="1">
                  <from>
                    <xdr:col>6</xdr:col>
                    <xdr:colOff>0</xdr:colOff>
                    <xdr:row>2958</xdr:row>
                    <xdr:rowOff>0</xdr:rowOff>
                  </from>
                  <to>
                    <xdr:col>7</xdr:col>
                    <xdr:colOff>0</xdr:colOff>
                    <xdr:row>2958</xdr:row>
                    <xdr:rowOff>161925</xdr:rowOff>
                  </to>
                </anchor>
              </controlPr>
            </control>
          </mc:Choice>
        </mc:AlternateContent>
        <mc:AlternateContent xmlns:mc="http://schemas.openxmlformats.org/markup-compatibility/2006">
          <mc:Choice Requires="x14">
            <control shapeId="13271" r:id="rId1711" name="Button 2007">
              <controlPr defaultSize="0" autoFill="0" autoLine="0" autoPict="0" macro="[0]!Sheet1.deleteRow">
                <anchor moveWithCells="1" sizeWithCells="1">
                  <from>
                    <xdr:col>6</xdr:col>
                    <xdr:colOff>0</xdr:colOff>
                    <xdr:row>2959</xdr:row>
                    <xdr:rowOff>0</xdr:rowOff>
                  </from>
                  <to>
                    <xdr:col>7</xdr:col>
                    <xdr:colOff>0</xdr:colOff>
                    <xdr:row>2959</xdr:row>
                    <xdr:rowOff>161925</xdr:rowOff>
                  </to>
                </anchor>
              </controlPr>
            </control>
          </mc:Choice>
        </mc:AlternateContent>
        <mc:AlternateContent xmlns:mc="http://schemas.openxmlformats.org/markup-compatibility/2006">
          <mc:Choice Requires="x14">
            <control shapeId="13270" r:id="rId1712" name="Button 2006">
              <controlPr defaultSize="0" autoFill="0" autoLine="0" autoPict="0" macro="[0]!Sheet1.deleteRow">
                <anchor moveWithCells="1" sizeWithCells="1">
                  <from>
                    <xdr:col>6</xdr:col>
                    <xdr:colOff>0</xdr:colOff>
                    <xdr:row>2960</xdr:row>
                    <xdr:rowOff>0</xdr:rowOff>
                  </from>
                  <to>
                    <xdr:col>7</xdr:col>
                    <xdr:colOff>0</xdr:colOff>
                    <xdr:row>2960</xdr:row>
                    <xdr:rowOff>161925</xdr:rowOff>
                  </to>
                </anchor>
              </controlPr>
            </control>
          </mc:Choice>
        </mc:AlternateContent>
        <mc:AlternateContent xmlns:mc="http://schemas.openxmlformats.org/markup-compatibility/2006">
          <mc:Choice Requires="x14">
            <control shapeId="13269" r:id="rId1713" name="Button 2005">
              <controlPr defaultSize="0" autoFill="0" autoLine="0" autoPict="0" macro="[0]!Sheet1.deleteRow">
                <anchor moveWithCells="1" sizeWithCells="1">
                  <from>
                    <xdr:col>6</xdr:col>
                    <xdr:colOff>0</xdr:colOff>
                    <xdr:row>2961</xdr:row>
                    <xdr:rowOff>0</xdr:rowOff>
                  </from>
                  <to>
                    <xdr:col>7</xdr:col>
                    <xdr:colOff>0</xdr:colOff>
                    <xdr:row>2961</xdr:row>
                    <xdr:rowOff>161925</xdr:rowOff>
                  </to>
                </anchor>
              </controlPr>
            </control>
          </mc:Choice>
        </mc:AlternateContent>
        <mc:AlternateContent xmlns:mc="http://schemas.openxmlformats.org/markup-compatibility/2006">
          <mc:Choice Requires="x14">
            <control shapeId="13268" r:id="rId1714" name="Button 2004">
              <controlPr defaultSize="0" autoFill="0" autoLine="0" autoPict="0" macro="[0]!Sheet1.deleteRow">
                <anchor moveWithCells="1" sizeWithCells="1">
                  <from>
                    <xdr:col>6</xdr:col>
                    <xdr:colOff>0</xdr:colOff>
                    <xdr:row>2962</xdr:row>
                    <xdr:rowOff>0</xdr:rowOff>
                  </from>
                  <to>
                    <xdr:col>7</xdr:col>
                    <xdr:colOff>0</xdr:colOff>
                    <xdr:row>2962</xdr:row>
                    <xdr:rowOff>161925</xdr:rowOff>
                  </to>
                </anchor>
              </controlPr>
            </control>
          </mc:Choice>
        </mc:AlternateContent>
        <mc:AlternateContent xmlns:mc="http://schemas.openxmlformats.org/markup-compatibility/2006">
          <mc:Choice Requires="x14">
            <control shapeId="13267" r:id="rId1715" name="Button 2003">
              <controlPr defaultSize="0" autoFill="0" autoLine="0" autoPict="0" macro="[0]!Sheet1.deleteRow">
                <anchor moveWithCells="1" sizeWithCells="1">
                  <from>
                    <xdr:col>6</xdr:col>
                    <xdr:colOff>0</xdr:colOff>
                    <xdr:row>2963</xdr:row>
                    <xdr:rowOff>0</xdr:rowOff>
                  </from>
                  <to>
                    <xdr:col>7</xdr:col>
                    <xdr:colOff>0</xdr:colOff>
                    <xdr:row>2963</xdr:row>
                    <xdr:rowOff>161925</xdr:rowOff>
                  </to>
                </anchor>
              </controlPr>
            </control>
          </mc:Choice>
        </mc:AlternateContent>
        <mc:AlternateContent xmlns:mc="http://schemas.openxmlformats.org/markup-compatibility/2006">
          <mc:Choice Requires="x14">
            <control shapeId="13266" r:id="rId1716" name="Button 2002">
              <controlPr defaultSize="0" autoFill="0" autoLine="0" autoPict="0" macro="[0]!Sheet1.deleteRow">
                <anchor moveWithCells="1" sizeWithCells="1">
                  <from>
                    <xdr:col>6</xdr:col>
                    <xdr:colOff>0</xdr:colOff>
                    <xdr:row>2964</xdr:row>
                    <xdr:rowOff>0</xdr:rowOff>
                  </from>
                  <to>
                    <xdr:col>7</xdr:col>
                    <xdr:colOff>0</xdr:colOff>
                    <xdr:row>2964</xdr:row>
                    <xdr:rowOff>161925</xdr:rowOff>
                  </to>
                </anchor>
              </controlPr>
            </control>
          </mc:Choice>
        </mc:AlternateContent>
        <mc:AlternateContent xmlns:mc="http://schemas.openxmlformats.org/markup-compatibility/2006">
          <mc:Choice Requires="x14">
            <control shapeId="13265" r:id="rId1717" name="Button 2001">
              <controlPr defaultSize="0" autoFill="0" autoLine="0" autoPict="0" macro="[0]!Sheet1.deleteRow">
                <anchor moveWithCells="1" sizeWithCells="1">
                  <from>
                    <xdr:col>6</xdr:col>
                    <xdr:colOff>0</xdr:colOff>
                    <xdr:row>2965</xdr:row>
                    <xdr:rowOff>0</xdr:rowOff>
                  </from>
                  <to>
                    <xdr:col>7</xdr:col>
                    <xdr:colOff>0</xdr:colOff>
                    <xdr:row>2965</xdr:row>
                    <xdr:rowOff>161925</xdr:rowOff>
                  </to>
                </anchor>
              </controlPr>
            </control>
          </mc:Choice>
        </mc:AlternateContent>
        <mc:AlternateContent xmlns:mc="http://schemas.openxmlformats.org/markup-compatibility/2006">
          <mc:Choice Requires="x14">
            <control shapeId="13264" r:id="rId1718" name="Button 2000">
              <controlPr defaultSize="0" autoFill="0" autoLine="0" autoPict="0" macro="[0]!Sheet1.deleteRow">
                <anchor moveWithCells="1" sizeWithCells="1">
                  <from>
                    <xdr:col>6</xdr:col>
                    <xdr:colOff>0</xdr:colOff>
                    <xdr:row>2966</xdr:row>
                    <xdr:rowOff>0</xdr:rowOff>
                  </from>
                  <to>
                    <xdr:col>7</xdr:col>
                    <xdr:colOff>0</xdr:colOff>
                    <xdr:row>2966</xdr:row>
                    <xdr:rowOff>161925</xdr:rowOff>
                  </to>
                </anchor>
              </controlPr>
            </control>
          </mc:Choice>
        </mc:AlternateContent>
        <mc:AlternateContent xmlns:mc="http://schemas.openxmlformats.org/markup-compatibility/2006">
          <mc:Choice Requires="x14">
            <control shapeId="13263" r:id="rId1719" name="Button 1999">
              <controlPr defaultSize="0" autoFill="0" autoLine="0" autoPict="0" macro="[0]!Sheet1.deleteRow">
                <anchor moveWithCells="1" sizeWithCells="1">
                  <from>
                    <xdr:col>6</xdr:col>
                    <xdr:colOff>0</xdr:colOff>
                    <xdr:row>2967</xdr:row>
                    <xdr:rowOff>0</xdr:rowOff>
                  </from>
                  <to>
                    <xdr:col>7</xdr:col>
                    <xdr:colOff>0</xdr:colOff>
                    <xdr:row>2967</xdr:row>
                    <xdr:rowOff>161925</xdr:rowOff>
                  </to>
                </anchor>
              </controlPr>
            </control>
          </mc:Choice>
        </mc:AlternateContent>
        <mc:AlternateContent xmlns:mc="http://schemas.openxmlformats.org/markup-compatibility/2006">
          <mc:Choice Requires="x14">
            <control shapeId="13262" r:id="rId1720" name="Button 1998">
              <controlPr defaultSize="0" autoFill="0" autoLine="0" autoPict="0" macro="[0]!Sheet1.deleteRow">
                <anchor moveWithCells="1" sizeWithCells="1">
                  <from>
                    <xdr:col>6</xdr:col>
                    <xdr:colOff>0</xdr:colOff>
                    <xdr:row>2968</xdr:row>
                    <xdr:rowOff>0</xdr:rowOff>
                  </from>
                  <to>
                    <xdr:col>7</xdr:col>
                    <xdr:colOff>0</xdr:colOff>
                    <xdr:row>2968</xdr:row>
                    <xdr:rowOff>161925</xdr:rowOff>
                  </to>
                </anchor>
              </controlPr>
            </control>
          </mc:Choice>
        </mc:AlternateContent>
        <mc:AlternateContent xmlns:mc="http://schemas.openxmlformats.org/markup-compatibility/2006">
          <mc:Choice Requires="x14">
            <control shapeId="13261" r:id="rId1721" name="Button 1997">
              <controlPr defaultSize="0" autoFill="0" autoLine="0" autoPict="0" macro="[0]!Sheet1.deleteRow">
                <anchor moveWithCells="1" sizeWithCells="1">
                  <from>
                    <xdr:col>6</xdr:col>
                    <xdr:colOff>0</xdr:colOff>
                    <xdr:row>2969</xdr:row>
                    <xdr:rowOff>0</xdr:rowOff>
                  </from>
                  <to>
                    <xdr:col>7</xdr:col>
                    <xdr:colOff>0</xdr:colOff>
                    <xdr:row>2969</xdr:row>
                    <xdr:rowOff>161925</xdr:rowOff>
                  </to>
                </anchor>
              </controlPr>
            </control>
          </mc:Choice>
        </mc:AlternateContent>
        <mc:AlternateContent xmlns:mc="http://schemas.openxmlformats.org/markup-compatibility/2006">
          <mc:Choice Requires="x14">
            <control shapeId="13260" r:id="rId1722" name="Button 1996">
              <controlPr defaultSize="0" autoFill="0" autoLine="0" autoPict="0" macro="[0]!Sheet1.deleteRow">
                <anchor moveWithCells="1" sizeWithCells="1">
                  <from>
                    <xdr:col>6</xdr:col>
                    <xdr:colOff>0</xdr:colOff>
                    <xdr:row>2970</xdr:row>
                    <xdr:rowOff>0</xdr:rowOff>
                  </from>
                  <to>
                    <xdr:col>7</xdr:col>
                    <xdr:colOff>0</xdr:colOff>
                    <xdr:row>2970</xdr:row>
                    <xdr:rowOff>161925</xdr:rowOff>
                  </to>
                </anchor>
              </controlPr>
            </control>
          </mc:Choice>
        </mc:AlternateContent>
        <mc:AlternateContent xmlns:mc="http://schemas.openxmlformats.org/markup-compatibility/2006">
          <mc:Choice Requires="x14">
            <control shapeId="13259" r:id="rId1723" name="Button 1995">
              <controlPr defaultSize="0" autoFill="0" autoLine="0" autoPict="0" macro="[0]!Sheet1.deleteRow">
                <anchor moveWithCells="1" sizeWithCells="1">
                  <from>
                    <xdr:col>6</xdr:col>
                    <xdr:colOff>0</xdr:colOff>
                    <xdr:row>2971</xdr:row>
                    <xdr:rowOff>0</xdr:rowOff>
                  </from>
                  <to>
                    <xdr:col>7</xdr:col>
                    <xdr:colOff>0</xdr:colOff>
                    <xdr:row>2971</xdr:row>
                    <xdr:rowOff>161925</xdr:rowOff>
                  </to>
                </anchor>
              </controlPr>
            </control>
          </mc:Choice>
        </mc:AlternateContent>
        <mc:AlternateContent xmlns:mc="http://schemas.openxmlformats.org/markup-compatibility/2006">
          <mc:Choice Requires="x14">
            <control shapeId="13258" r:id="rId1724" name="Button 1994">
              <controlPr defaultSize="0" autoFill="0" autoLine="0" autoPict="0" macro="[0]!Sheet1.deleteRow">
                <anchor moveWithCells="1" sizeWithCells="1">
                  <from>
                    <xdr:col>6</xdr:col>
                    <xdr:colOff>0</xdr:colOff>
                    <xdr:row>2972</xdr:row>
                    <xdr:rowOff>0</xdr:rowOff>
                  </from>
                  <to>
                    <xdr:col>7</xdr:col>
                    <xdr:colOff>0</xdr:colOff>
                    <xdr:row>2972</xdr:row>
                    <xdr:rowOff>161925</xdr:rowOff>
                  </to>
                </anchor>
              </controlPr>
            </control>
          </mc:Choice>
        </mc:AlternateContent>
        <mc:AlternateContent xmlns:mc="http://schemas.openxmlformats.org/markup-compatibility/2006">
          <mc:Choice Requires="x14">
            <control shapeId="13257" r:id="rId1725" name="Button 1993">
              <controlPr defaultSize="0" autoFill="0" autoLine="0" autoPict="0" macro="[0]!Sheet1.deleteRow">
                <anchor moveWithCells="1" sizeWithCells="1">
                  <from>
                    <xdr:col>6</xdr:col>
                    <xdr:colOff>0</xdr:colOff>
                    <xdr:row>2973</xdr:row>
                    <xdr:rowOff>0</xdr:rowOff>
                  </from>
                  <to>
                    <xdr:col>7</xdr:col>
                    <xdr:colOff>0</xdr:colOff>
                    <xdr:row>2973</xdr:row>
                    <xdr:rowOff>161925</xdr:rowOff>
                  </to>
                </anchor>
              </controlPr>
            </control>
          </mc:Choice>
        </mc:AlternateContent>
        <mc:AlternateContent xmlns:mc="http://schemas.openxmlformats.org/markup-compatibility/2006">
          <mc:Choice Requires="x14">
            <control shapeId="13256" r:id="rId1726" name="Button 1992">
              <controlPr defaultSize="0" autoFill="0" autoLine="0" autoPict="0" macro="[0]!Sheet1.deleteRow">
                <anchor moveWithCells="1" sizeWithCells="1">
                  <from>
                    <xdr:col>6</xdr:col>
                    <xdr:colOff>0</xdr:colOff>
                    <xdr:row>2974</xdr:row>
                    <xdr:rowOff>0</xdr:rowOff>
                  </from>
                  <to>
                    <xdr:col>7</xdr:col>
                    <xdr:colOff>0</xdr:colOff>
                    <xdr:row>2974</xdr:row>
                    <xdr:rowOff>161925</xdr:rowOff>
                  </to>
                </anchor>
              </controlPr>
            </control>
          </mc:Choice>
        </mc:AlternateContent>
        <mc:AlternateContent xmlns:mc="http://schemas.openxmlformats.org/markup-compatibility/2006">
          <mc:Choice Requires="x14">
            <control shapeId="13255" r:id="rId1727" name="Button 1991">
              <controlPr defaultSize="0" autoFill="0" autoLine="0" autoPict="0" macro="[0]!Sheet1.deleteRow">
                <anchor moveWithCells="1" sizeWithCells="1">
                  <from>
                    <xdr:col>6</xdr:col>
                    <xdr:colOff>0</xdr:colOff>
                    <xdr:row>2975</xdr:row>
                    <xdr:rowOff>0</xdr:rowOff>
                  </from>
                  <to>
                    <xdr:col>7</xdr:col>
                    <xdr:colOff>0</xdr:colOff>
                    <xdr:row>2975</xdr:row>
                    <xdr:rowOff>161925</xdr:rowOff>
                  </to>
                </anchor>
              </controlPr>
            </control>
          </mc:Choice>
        </mc:AlternateContent>
        <mc:AlternateContent xmlns:mc="http://schemas.openxmlformats.org/markup-compatibility/2006">
          <mc:Choice Requires="x14">
            <control shapeId="13254" r:id="rId1728" name="Button 1990">
              <controlPr defaultSize="0" autoFill="0" autoLine="0" autoPict="0" macro="[0]!Sheet1.deleteRow">
                <anchor moveWithCells="1" sizeWithCells="1">
                  <from>
                    <xdr:col>6</xdr:col>
                    <xdr:colOff>0</xdr:colOff>
                    <xdr:row>2976</xdr:row>
                    <xdr:rowOff>0</xdr:rowOff>
                  </from>
                  <to>
                    <xdr:col>7</xdr:col>
                    <xdr:colOff>0</xdr:colOff>
                    <xdr:row>2976</xdr:row>
                    <xdr:rowOff>161925</xdr:rowOff>
                  </to>
                </anchor>
              </controlPr>
            </control>
          </mc:Choice>
        </mc:AlternateContent>
        <mc:AlternateContent xmlns:mc="http://schemas.openxmlformats.org/markup-compatibility/2006">
          <mc:Choice Requires="x14">
            <control shapeId="13253" r:id="rId1729" name="Button 1989">
              <controlPr defaultSize="0" autoFill="0" autoLine="0" autoPict="0" macro="[0]!Sheet1.deleteRow">
                <anchor moveWithCells="1" sizeWithCells="1">
                  <from>
                    <xdr:col>6</xdr:col>
                    <xdr:colOff>0</xdr:colOff>
                    <xdr:row>2977</xdr:row>
                    <xdr:rowOff>0</xdr:rowOff>
                  </from>
                  <to>
                    <xdr:col>7</xdr:col>
                    <xdr:colOff>0</xdr:colOff>
                    <xdr:row>2977</xdr:row>
                    <xdr:rowOff>161925</xdr:rowOff>
                  </to>
                </anchor>
              </controlPr>
            </control>
          </mc:Choice>
        </mc:AlternateContent>
        <mc:AlternateContent xmlns:mc="http://schemas.openxmlformats.org/markup-compatibility/2006">
          <mc:Choice Requires="x14">
            <control shapeId="13252" r:id="rId1730" name="Button 1988">
              <controlPr defaultSize="0" autoFill="0" autoLine="0" autoPict="0" macro="[0]!Sheet1.deleteRow">
                <anchor moveWithCells="1" sizeWithCells="1">
                  <from>
                    <xdr:col>6</xdr:col>
                    <xdr:colOff>0</xdr:colOff>
                    <xdr:row>2978</xdr:row>
                    <xdr:rowOff>0</xdr:rowOff>
                  </from>
                  <to>
                    <xdr:col>7</xdr:col>
                    <xdr:colOff>0</xdr:colOff>
                    <xdr:row>2978</xdr:row>
                    <xdr:rowOff>161925</xdr:rowOff>
                  </to>
                </anchor>
              </controlPr>
            </control>
          </mc:Choice>
        </mc:AlternateContent>
        <mc:AlternateContent xmlns:mc="http://schemas.openxmlformats.org/markup-compatibility/2006">
          <mc:Choice Requires="x14">
            <control shapeId="13251" r:id="rId1731" name="Button 1987">
              <controlPr defaultSize="0" autoFill="0" autoLine="0" autoPict="0" macro="[0]!Sheet1.deleteRow">
                <anchor moveWithCells="1" sizeWithCells="1">
                  <from>
                    <xdr:col>6</xdr:col>
                    <xdr:colOff>0</xdr:colOff>
                    <xdr:row>2979</xdr:row>
                    <xdr:rowOff>0</xdr:rowOff>
                  </from>
                  <to>
                    <xdr:col>7</xdr:col>
                    <xdr:colOff>0</xdr:colOff>
                    <xdr:row>2979</xdr:row>
                    <xdr:rowOff>161925</xdr:rowOff>
                  </to>
                </anchor>
              </controlPr>
            </control>
          </mc:Choice>
        </mc:AlternateContent>
        <mc:AlternateContent xmlns:mc="http://schemas.openxmlformats.org/markup-compatibility/2006">
          <mc:Choice Requires="x14">
            <control shapeId="13250" r:id="rId1732" name="Button 1986">
              <controlPr defaultSize="0" autoFill="0" autoLine="0" autoPict="0" macro="[0]!Sheet1.deleteProcedure">
                <anchor moveWithCells="1" sizeWithCells="1">
                  <from>
                    <xdr:col>6</xdr:col>
                    <xdr:colOff>0</xdr:colOff>
                    <xdr:row>2982</xdr:row>
                    <xdr:rowOff>0</xdr:rowOff>
                  </from>
                  <to>
                    <xdr:col>7</xdr:col>
                    <xdr:colOff>0</xdr:colOff>
                    <xdr:row>2983</xdr:row>
                    <xdr:rowOff>0</xdr:rowOff>
                  </to>
                </anchor>
              </controlPr>
            </control>
          </mc:Choice>
        </mc:AlternateContent>
        <mc:AlternateContent xmlns:mc="http://schemas.openxmlformats.org/markup-compatibility/2006">
          <mc:Choice Requires="x14">
            <control shapeId="13249" r:id="rId1733" name="Button 1985">
              <controlPr defaultSize="0" autoFill="0" autoLine="0" autoPict="0" macro="[0]!Sheet1.InsertNewTableRow">
                <anchor moveWithCells="1" sizeWithCells="1">
                  <from>
                    <xdr:col>6</xdr:col>
                    <xdr:colOff>0</xdr:colOff>
                    <xdr:row>2989</xdr:row>
                    <xdr:rowOff>0</xdr:rowOff>
                  </from>
                  <to>
                    <xdr:col>7</xdr:col>
                    <xdr:colOff>0</xdr:colOff>
                    <xdr:row>2989</xdr:row>
                    <xdr:rowOff>38100</xdr:rowOff>
                  </to>
                </anchor>
              </controlPr>
            </control>
          </mc:Choice>
        </mc:AlternateContent>
        <mc:AlternateContent xmlns:mc="http://schemas.openxmlformats.org/markup-compatibility/2006">
          <mc:Choice Requires="x14">
            <control shapeId="13248" r:id="rId1734" name="Button 1984">
              <controlPr defaultSize="0" autoFill="0" autoLine="0" autoPict="0" macro="[0]!Sheet1.deleteRow">
                <anchor moveWithCells="1" sizeWithCells="1">
                  <from>
                    <xdr:col>6</xdr:col>
                    <xdr:colOff>0</xdr:colOff>
                    <xdr:row>2990</xdr:row>
                    <xdr:rowOff>0</xdr:rowOff>
                  </from>
                  <to>
                    <xdr:col>7</xdr:col>
                    <xdr:colOff>0</xdr:colOff>
                    <xdr:row>2990</xdr:row>
                    <xdr:rowOff>161925</xdr:rowOff>
                  </to>
                </anchor>
              </controlPr>
            </control>
          </mc:Choice>
        </mc:AlternateContent>
        <mc:AlternateContent xmlns:mc="http://schemas.openxmlformats.org/markup-compatibility/2006">
          <mc:Choice Requires="x14">
            <control shapeId="13247" r:id="rId1735" name="Button 1983">
              <controlPr defaultSize="0" autoFill="0" autoLine="0" autoPict="0" macro="[0]!Sheet1.deleteRow">
                <anchor moveWithCells="1" sizeWithCells="1">
                  <from>
                    <xdr:col>6</xdr:col>
                    <xdr:colOff>0</xdr:colOff>
                    <xdr:row>2991</xdr:row>
                    <xdr:rowOff>0</xdr:rowOff>
                  </from>
                  <to>
                    <xdr:col>7</xdr:col>
                    <xdr:colOff>0</xdr:colOff>
                    <xdr:row>2991</xdr:row>
                    <xdr:rowOff>161925</xdr:rowOff>
                  </to>
                </anchor>
              </controlPr>
            </control>
          </mc:Choice>
        </mc:AlternateContent>
        <mc:AlternateContent xmlns:mc="http://schemas.openxmlformats.org/markup-compatibility/2006">
          <mc:Choice Requires="x14">
            <control shapeId="13246" r:id="rId1736" name="Button 1982">
              <controlPr defaultSize="0" autoFill="0" autoLine="0" autoPict="0" macro="[0]!Sheet1.deleteRow">
                <anchor moveWithCells="1" sizeWithCells="1">
                  <from>
                    <xdr:col>6</xdr:col>
                    <xdr:colOff>0</xdr:colOff>
                    <xdr:row>2992</xdr:row>
                    <xdr:rowOff>0</xdr:rowOff>
                  </from>
                  <to>
                    <xdr:col>7</xdr:col>
                    <xdr:colOff>0</xdr:colOff>
                    <xdr:row>2992</xdr:row>
                    <xdr:rowOff>161925</xdr:rowOff>
                  </to>
                </anchor>
              </controlPr>
            </control>
          </mc:Choice>
        </mc:AlternateContent>
        <mc:AlternateContent xmlns:mc="http://schemas.openxmlformats.org/markup-compatibility/2006">
          <mc:Choice Requires="x14">
            <control shapeId="13245" r:id="rId1737" name="Button 1981">
              <controlPr defaultSize="0" autoFill="0" autoLine="0" autoPict="0" macro="[0]!Sheet1.deleteRow">
                <anchor moveWithCells="1" sizeWithCells="1">
                  <from>
                    <xdr:col>6</xdr:col>
                    <xdr:colOff>0</xdr:colOff>
                    <xdr:row>2993</xdr:row>
                    <xdr:rowOff>0</xdr:rowOff>
                  </from>
                  <to>
                    <xdr:col>7</xdr:col>
                    <xdr:colOff>0</xdr:colOff>
                    <xdr:row>2993</xdr:row>
                    <xdr:rowOff>161925</xdr:rowOff>
                  </to>
                </anchor>
              </controlPr>
            </control>
          </mc:Choice>
        </mc:AlternateContent>
        <mc:AlternateContent xmlns:mc="http://schemas.openxmlformats.org/markup-compatibility/2006">
          <mc:Choice Requires="x14">
            <control shapeId="13244" r:id="rId1738" name="Button 1980">
              <controlPr defaultSize="0" autoFill="0" autoLine="0" autoPict="0" macro="[0]!Sheet1.deleteRow">
                <anchor moveWithCells="1" sizeWithCells="1">
                  <from>
                    <xdr:col>6</xdr:col>
                    <xdr:colOff>0</xdr:colOff>
                    <xdr:row>2994</xdr:row>
                    <xdr:rowOff>0</xdr:rowOff>
                  </from>
                  <to>
                    <xdr:col>7</xdr:col>
                    <xdr:colOff>0</xdr:colOff>
                    <xdr:row>2994</xdr:row>
                    <xdr:rowOff>161925</xdr:rowOff>
                  </to>
                </anchor>
              </controlPr>
            </control>
          </mc:Choice>
        </mc:AlternateContent>
        <mc:AlternateContent xmlns:mc="http://schemas.openxmlformats.org/markup-compatibility/2006">
          <mc:Choice Requires="x14">
            <control shapeId="13243" r:id="rId1739" name="Button 1979">
              <controlPr defaultSize="0" autoFill="0" autoLine="0" autoPict="0" macro="[0]!Sheet1.deleteRow">
                <anchor moveWithCells="1" sizeWithCells="1">
                  <from>
                    <xdr:col>6</xdr:col>
                    <xdr:colOff>0</xdr:colOff>
                    <xdr:row>2995</xdr:row>
                    <xdr:rowOff>0</xdr:rowOff>
                  </from>
                  <to>
                    <xdr:col>7</xdr:col>
                    <xdr:colOff>0</xdr:colOff>
                    <xdr:row>2995</xdr:row>
                    <xdr:rowOff>161925</xdr:rowOff>
                  </to>
                </anchor>
              </controlPr>
            </control>
          </mc:Choice>
        </mc:AlternateContent>
        <mc:AlternateContent xmlns:mc="http://schemas.openxmlformats.org/markup-compatibility/2006">
          <mc:Choice Requires="x14">
            <control shapeId="13242" r:id="rId1740" name="Button 1978">
              <controlPr defaultSize="0" autoFill="0" autoLine="0" autoPict="0" macro="[0]!Sheet1.deleteRow">
                <anchor moveWithCells="1" sizeWithCells="1">
                  <from>
                    <xdr:col>6</xdr:col>
                    <xdr:colOff>0</xdr:colOff>
                    <xdr:row>2996</xdr:row>
                    <xdr:rowOff>0</xdr:rowOff>
                  </from>
                  <to>
                    <xdr:col>7</xdr:col>
                    <xdr:colOff>0</xdr:colOff>
                    <xdr:row>2996</xdr:row>
                    <xdr:rowOff>161925</xdr:rowOff>
                  </to>
                </anchor>
              </controlPr>
            </control>
          </mc:Choice>
        </mc:AlternateContent>
        <mc:AlternateContent xmlns:mc="http://schemas.openxmlformats.org/markup-compatibility/2006">
          <mc:Choice Requires="x14">
            <control shapeId="13241" r:id="rId1741" name="Button 1977">
              <controlPr defaultSize="0" autoFill="0" autoLine="0" autoPict="0" macro="[0]!Sheet1.deleteRow">
                <anchor moveWithCells="1" sizeWithCells="1">
                  <from>
                    <xdr:col>6</xdr:col>
                    <xdr:colOff>0</xdr:colOff>
                    <xdr:row>2997</xdr:row>
                    <xdr:rowOff>0</xdr:rowOff>
                  </from>
                  <to>
                    <xdr:col>7</xdr:col>
                    <xdr:colOff>0</xdr:colOff>
                    <xdr:row>2997</xdr:row>
                    <xdr:rowOff>161925</xdr:rowOff>
                  </to>
                </anchor>
              </controlPr>
            </control>
          </mc:Choice>
        </mc:AlternateContent>
        <mc:AlternateContent xmlns:mc="http://schemas.openxmlformats.org/markup-compatibility/2006">
          <mc:Choice Requires="x14">
            <control shapeId="13240" r:id="rId1742" name="Button 1976">
              <controlPr defaultSize="0" autoFill="0" autoLine="0" autoPict="0" macro="[0]!Sheet1.deleteRow">
                <anchor moveWithCells="1" sizeWithCells="1">
                  <from>
                    <xdr:col>6</xdr:col>
                    <xdr:colOff>0</xdr:colOff>
                    <xdr:row>2998</xdr:row>
                    <xdr:rowOff>0</xdr:rowOff>
                  </from>
                  <to>
                    <xdr:col>7</xdr:col>
                    <xdr:colOff>0</xdr:colOff>
                    <xdr:row>2998</xdr:row>
                    <xdr:rowOff>161925</xdr:rowOff>
                  </to>
                </anchor>
              </controlPr>
            </control>
          </mc:Choice>
        </mc:AlternateContent>
        <mc:AlternateContent xmlns:mc="http://schemas.openxmlformats.org/markup-compatibility/2006">
          <mc:Choice Requires="x14">
            <control shapeId="13239" r:id="rId1743" name="Button 1975">
              <controlPr defaultSize="0" autoFill="0" autoLine="0" autoPict="0" macro="[0]!Sheet1.deleteRow">
                <anchor moveWithCells="1" sizeWithCells="1">
                  <from>
                    <xdr:col>6</xdr:col>
                    <xdr:colOff>0</xdr:colOff>
                    <xdr:row>2999</xdr:row>
                    <xdr:rowOff>0</xdr:rowOff>
                  </from>
                  <to>
                    <xdr:col>7</xdr:col>
                    <xdr:colOff>0</xdr:colOff>
                    <xdr:row>2999</xdr:row>
                    <xdr:rowOff>161925</xdr:rowOff>
                  </to>
                </anchor>
              </controlPr>
            </control>
          </mc:Choice>
        </mc:AlternateContent>
        <mc:AlternateContent xmlns:mc="http://schemas.openxmlformats.org/markup-compatibility/2006">
          <mc:Choice Requires="x14">
            <control shapeId="13238" r:id="rId1744" name="Button 1974">
              <controlPr defaultSize="0" autoFill="0" autoLine="0" autoPict="0" macro="[0]!Sheet1.deleteRow">
                <anchor moveWithCells="1" sizeWithCells="1">
                  <from>
                    <xdr:col>6</xdr:col>
                    <xdr:colOff>0</xdr:colOff>
                    <xdr:row>3000</xdr:row>
                    <xdr:rowOff>0</xdr:rowOff>
                  </from>
                  <to>
                    <xdr:col>7</xdr:col>
                    <xdr:colOff>0</xdr:colOff>
                    <xdr:row>3000</xdr:row>
                    <xdr:rowOff>161925</xdr:rowOff>
                  </to>
                </anchor>
              </controlPr>
            </control>
          </mc:Choice>
        </mc:AlternateContent>
        <mc:AlternateContent xmlns:mc="http://schemas.openxmlformats.org/markup-compatibility/2006">
          <mc:Choice Requires="x14">
            <control shapeId="13237" r:id="rId1745" name="Button 1973">
              <controlPr defaultSize="0" autoFill="0" autoLine="0" autoPict="0" macro="[0]!Sheet1.deleteProcedure">
                <anchor moveWithCells="1" sizeWithCells="1">
                  <from>
                    <xdr:col>6</xdr:col>
                    <xdr:colOff>0</xdr:colOff>
                    <xdr:row>3003</xdr:row>
                    <xdr:rowOff>0</xdr:rowOff>
                  </from>
                  <to>
                    <xdr:col>7</xdr:col>
                    <xdr:colOff>0</xdr:colOff>
                    <xdr:row>3004</xdr:row>
                    <xdr:rowOff>0</xdr:rowOff>
                  </to>
                </anchor>
              </controlPr>
            </control>
          </mc:Choice>
        </mc:AlternateContent>
        <mc:AlternateContent xmlns:mc="http://schemas.openxmlformats.org/markup-compatibility/2006">
          <mc:Choice Requires="x14">
            <control shapeId="13236" r:id="rId1746" name="Button 1972">
              <controlPr defaultSize="0" autoFill="0" autoLine="0" autoPict="0" macro="[0]!Sheet1.InsertNewTableRow">
                <anchor moveWithCells="1" sizeWithCells="1">
                  <from>
                    <xdr:col>6</xdr:col>
                    <xdr:colOff>0</xdr:colOff>
                    <xdr:row>3010</xdr:row>
                    <xdr:rowOff>0</xdr:rowOff>
                  </from>
                  <to>
                    <xdr:col>7</xdr:col>
                    <xdr:colOff>0</xdr:colOff>
                    <xdr:row>3010</xdr:row>
                    <xdr:rowOff>38100</xdr:rowOff>
                  </to>
                </anchor>
              </controlPr>
            </control>
          </mc:Choice>
        </mc:AlternateContent>
        <mc:AlternateContent xmlns:mc="http://schemas.openxmlformats.org/markup-compatibility/2006">
          <mc:Choice Requires="x14">
            <control shapeId="13235" r:id="rId1747" name="Button 1971">
              <controlPr defaultSize="0" autoFill="0" autoLine="0" autoPict="0" macro="[0]!Sheet1.deleteRow">
                <anchor moveWithCells="1" sizeWithCells="1">
                  <from>
                    <xdr:col>6</xdr:col>
                    <xdr:colOff>0</xdr:colOff>
                    <xdr:row>3011</xdr:row>
                    <xdr:rowOff>0</xdr:rowOff>
                  </from>
                  <to>
                    <xdr:col>7</xdr:col>
                    <xdr:colOff>0</xdr:colOff>
                    <xdr:row>3011</xdr:row>
                    <xdr:rowOff>161925</xdr:rowOff>
                  </to>
                </anchor>
              </controlPr>
            </control>
          </mc:Choice>
        </mc:AlternateContent>
        <mc:AlternateContent xmlns:mc="http://schemas.openxmlformats.org/markup-compatibility/2006">
          <mc:Choice Requires="x14">
            <control shapeId="13234" r:id="rId1748" name="Button 1970">
              <controlPr defaultSize="0" autoFill="0" autoLine="0" autoPict="0" macro="[0]!Sheet1.deleteRow">
                <anchor moveWithCells="1" sizeWithCells="1">
                  <from>
                    <xdr:col>6</xdr:col>
                    <xdr:colOff>0</xdr:colOff>
                    <xdr:row>3012</xdr:row>
                    <xdr:rowOff>0</xdr:rowOff>
                  </from>
                  <to>
                    <xdr:col>7</xdr:col>
                    <xdr:colOff>0</xdr:colOff>
                    <xdr:row>3012</xdr:row>
                    <xdr:rowOff>161925</xdr:rowOff>
                  </to>
                </anchor>
              </controlPr>
            </control>
          </mc:Choice>
        </mc:AlternateContent>
        <mc:AlternateContent xmlns:mc="http://schemas.openxmlformats.org/markup-compatibility/2006">
          <mc:Choice Requires="x14">
            <control shapeId="13233" r:id="rId1749" name="Button 1969">
              <controlPr defaultSize="0" autoFill="0" autoLine="0" autoPict="0" macro="[0]!Sheet1.deleteProcedure">
                <anchor moveWithCells="1" sizeWithCells="1">
                  <from>
                    <xdr:col>6</xdr:col>
                    <xdr:colOff>0</xdr:colOff>
                    <xdr:row>3015</xdr:row>
                    <xdr:rowOff>0</xdr:rowOff>
                  </from>
                  <to>
                    <xdr:col>7</xdr:col>
                    <xdr:colOff>0</xdr:colOff>
                    <xdr:row>3016</xdr:row>
                    <xdr:rowOff>0</xdr:rowOff>
                  </to>
                </anchor>
              </controlPr>
            </control>
          </mc:Choice>
        </mc:AlternateContent>
        <mc:AlternateContent xmlns:mc="http://schemas.openxmlformats.org/markup-compatibility/2006">
          <mc:Choice Requires="x14">
            <control shapeId="13232" r:id="rId1750" name="Button 1968">
              <controlPr defaultSize="0" autoFill="0" autoLine="0" autoPict="0" macro="[0]!Sheet1.InsertNewTableRow">
                <anchor moveWithCells="1" sizeWithCells="1">
                  <from>
                    <xdr:col>6</xdr:col>
                    <xdr:colOff>0</xdr:colOff>
                    <xdr:row>3022</xdr:row>
                    <xdr:rowOff>0</xdr:rowOff>
                  </from>
                  <to>
                    <xdr:col>7</xdr:col>
                    <xdr:colOff>0</xdr:colOff>
                    <xdr:row>3022</xdr:row>
                    <xdr:rowOff>38100</xdr:rowOff>
                  </to>
                </anchor>
              </controlPr>
            </control>
          </mc:Choice>
        </mc:AlternateContent>
        <mc:AlternateContent xmlns:mc="http://schemas.openxmlformats.org/markup-compatibility/2006">
          <mc:Choice Requires="x14">
            <control shapeId="13231" r:id="rId1751" name="Button 1967">
              <controlPr defaultSize="0" autoFill="0" autoLine="0" autoPict="0" macro="[0]!Sheet1.deleteRow">
                <anchor moveWithCells="1" sizeWithCells="1">
                  <from>
                    <xdr:col>6</xdr:col>
                    <xdr:colOff>0</xdr:colOff>
                    <xdr:row>3023</xdr:row>
                    <xdr:rowOff>0</xdr:rowOff>
                  </from>
                  <to>
                    <xdr:col>7</xdr:col>
                    <xdr:colOff>0</xdr:colOff>
                    <xdr:row>3023</xdr:row>
                    <xdr:rowOff>161925</xdr:rowOff>
                  </to>
                </anchor>
              </controlPr>
            </control>
          </mc:Choice>
        </mc:AlternateContent>
        <mc:AlternateContent xmlns:mc="http://schemas.openxmlformats.org/markup-compatibility/2006">
          <mc:Choice Requires="x14">
            <control shapeId="13230" r:id="rId1752" name="Button 1966">
              <controlPr defaultSize="0" autoFill="0" autoLine="0" autoPict="0" macro="[0]!Sheet1.deleteProcedure">
                <anchor moveWithCells="1" sizeWithCells="1">
                  <from>
                    <xdr:col>6</xdr:col>
                    <xdr:colOff>0</xdr:colOff>
                    <xdr:row>3026</xdr:row>
                    <xdr:rowOff>0</xdr:rowOff>
                  </from>
                  <to>
                    <xdr:col>7</xdr:col>
                    <xdr:colOff>0</xdr:colOff>
                    <xdr:row>3027</xdr:row>
                    <xdr:rowOff>0</xdr:rowOff>
                  </to>
                </anchor>
              </controlPr>
            </control>
          </mc:Choice>
        </mc:AlternateContent>
        <mc:AlternateContent xmlns:mc="http://schemas.openxmlformats.org/markup-compatibility/2006">
          <mc:Choice Requires="x14">
            <control shapeId="13229" r:id="rId1753" name="Button 1965">
              <controlPr defaultSize="0" autoFill="0" autoLine="0" autoPict="0" macro="[0]!Sheet1.InsertNewTableRow">
                <anchor moveWithCells="1" sizeWithCells="1">
                  <from>
                    <xdr:col>6</xdr:col>
                    <xdr:colOff>0</xdr:colOff>
                    <xdr:row>3033</xdr:row>
                    <xdr:rowOff>0</xdr:rowOff>
                  </from>
                  <to>
                    <xdr:col>7</xdr:col>
                    <xdr:colOff>0</xdr:colOff>
                    <xdr:row>3033</xdr:row>
                    <xdr:rowOff>38100</xdr:rowOff>
                  </to>
                </anchor>
              </controlPr>
            </control>
          </mc:Choice>
        </mc:AlternateContent>
        <mc:AlternateContent xmlns:mc="http://schemas.openxmlformats.org/markup-compatibility/2006">
          <mc:Choice Requires="x14">
            <control shapeId="13228" r:id="rId1754" name="Button 1964">
              <controlPr defaultSize="0" autoFill="0" autoLine="0" autoPict="0" macro="[0]!Sheet1.deleteRow">
                <anchor moveWithCells="1" sizeWithCells="1">
                  <from>
                    <xdr:col>6</xdr:col>
                    <xdr:colOff>0</xdr:colOff>
                    <xdr:row>3034</xdr:row>
                    <xdr:rowOff>0</xdr:rowOff>
                  </from>
                  <to>
                    <xdr:col>7</xdr:col>
                    <xdr:colOff>0</xdr:colOff>
                    <xdr:row>3034</xdr:row>
                    <xdr:rowOff>161925</xdr:rowOff>
                  </to>
                </anchor>
              </controlPr>
            </control>
          </mc:Choice>
        </mc:AlternateContent>
        <mc:AlternateContent xmlns:mc="http://schemas.openxmlformats.org/markup-compatibility/2006">
          <mc:Choice Requires="x14">
            <control shapeId="13227" r:id="rId1755" name="Button 1963">
              <controlPr defaultSize="0" autoFill="0" autoLine="0" autoPict="0" macro="[0]!Sheet1.deleteRow">
                <anchor moveWithCells="1" sizeWithCells="1">
                  <from>
                    <xdr:col>6</xdr:col>
                    <xdr:colOff>0</xdr:colOff>
                    <xdr:row>3035</xdr:row>
                    <xdr:rowOff>0</xdr:rowOff>
                  </from>
                  <to>
                    <xdr:col>7</xdr:col>
                    <xdr:colOff>0</xdr:colOff>
                    <xdr:row>3035</xdr:row>
                    <xdr:rowOff>161925</xdr:rowOff>
                  </to>
                </anchor>
              </controlPr>
            </control>
          </mc:Choice>
        </mc:AlternateContent>
        <mc:AlternateContent xmlns:mc="http://schemas.openxmlformats.org/markup-compatibility/2006">
          <mc:Choice Requires="x14">
            <control shapeId="13226" r:id="rId1756" name="Button 1962">
              <controlPr defaultSize="0" autoFill="0" autoLine="0" autoPict="0" macro="[0]!Sheet1.deleteProcedure">
                <anchor moveWithCells="1" sizeWithCells="1">
                  <from>
                    <xdr:col>6</xdr:col>
                    <xdr:colOff>0</xdr:colOff>
                    <xdr:row>3038</xdr:row>
                    <xdr:rowOff>0</xdr:rowOff>
                  </from>
                  <to>
                    <xdr:col>7</xdr:col>
                    <xdr:colOff>0</xdr:colOff>
                    <xdr:row>3039</xdr:row>
                    <xdr:rowOff>0</xdr:rowOff>
                  </to>
                </anchor>
              </controlPr>
            </control>
          </mc:Choice>
        </mc:AlternateContent>
        <mc:AlternateContent xmlns:mc="http://schemas.openxmlformats.org/markup-compatibility/2006">
          <mc:Choice Requires="x14">
            <control shapeId="13225" r:id="rId1757" name="Button 1961">
              <controlPr defaultSize="0" autoFill="0" autoLine="0" autoPict="0" macro="[0]!Sheet1.InsertNewTableRow">
                <anchor moveWithCells="1" sizeWithCells="1">
                  <from>
                    <xdr:col>6</xdr:col>
                    <xdr:colOff>0</xdr:colOff>
                    <xdr:row>3045</xdr:row>
                    <xdr:rowOff>0</xdr:rowOff>
                  </from>
                  <to>
                    <xdr:col>7</xdr:col>
                    <xdr:colOff>0</xdr:colOff>
                    <xdr:row>3045</xdr:row>
                    <xdr:rowOff>38100</xdr:rowOff>
                  </to>
                </anchor>
              </controlPr>
            </control>
          </mc:Choice>
        </mc:AlternateContent>
        <mc:AlternateContent xmlns:mc="http://schemas.openxmlformats.org/markup-compatibility/2006">
          <mc:Choice Requires="x14">
            <control shapeId="13224" r:id="rId1758" name="Button 1960">
              <controlPr defaultSize="0" autoFill="0" autoLine="0" autoPict="0" macro="[0]!Sheet1.deleteRow">
                <anchor moveWithCells="1" sizeWithCells="1">
                  <from>
                    <xdr:col>6</xdr:col>
                    <xdr:colOff>0</xdr:colOff>
                    <xdr:row>3046</xdr:row>
                    <xdr:rowOff>0</xdr:rowOff>
                  </from>
                  <to>
                    <xdr:col>7</xdr:col>
                    <xdr:colOff>0</xdr:colOff>
                    <xdr:row>3046</xdr:row>
                    <xdr:rowOff>161925</xdr:rowOff>
                  </to>
                </anchor>
              </controlPr>
            </control>
          </mc:Choice>
        </mc:AlternateContent>
        <mc:AlternateContent xmlns:mc="http://schemas.openxmlformats.org/markup-compatibility/2006">
          <mc:Choice Requires="x14">
            <control shapeId="13223" r:id="rId1759" name="Button 1959">
              <controlPr defaultSize="0" autoFill="0" autoLine="0" autoPict="0" macro="[0]!Sheet1.deleteRow">
                <anchor moveWithCells="1" sizeWithCells="1">
                  <from>
                    <xdr:col>6</xdr:col>
                    <xdr:colOff>0</xdr:colOff>
                    <xdr:row>3047</xdr:row>
                    <xdr:rowOff>0</xdr:rowOff>
                  </from>
                  <to>
                    <xdr:col>7</xdr:col>
                    <xdr:colOff>0</xdr:colOff>
                    <xdr:row>3047</xdr:row>
                    <xdr:rowOff>161925</xdr:rowOff>
                  </to>
                </anchor>
              </controlPr>
            </control>
          </mc:Choice>
        </mc:AlternateContent>
        <mc:AlternateContent xmlns:mc="http://schemas.openxmlformats.org/markup-compatibility/2006">
          <mc:Choice Requires="x14">
            <control shapeId="13222" r:id="rId1760" name="Button 1958">
              <controlPr defaultSize="0" autoFill="0" autoLine="0" autoPict="0" macro="[0]!Sheet1.deleteRow">
                <anchor moveWithCells="1" sizeWithCells="1">
                  <from>
                    <xdr:col>6</xdr:col>
                    <xdr:colOff>0</xdr:colOff>
                    <xdr:row>3048</xdr:row>
                    <xdr:rowOff>0</xdr:rowOff>
                  </from>
                  <to>
                    <xdr:col>7</xdr:col>
                    <xdr:colOff>0</xdr:colOff>
                    <xdr:row>3048</xdr:row>
                    <xdr:rowOff>161925</xdr:rowOff>
                  </to>
                </anchor>
              </controlPr>
            </control>
          </mc:Choice>
        </mc:AlternateContent>
        <mc:AlternateContent xmlns:mc="http://schemas.openxmlformats.org/markup-compatibility/2006">
          <mc:Choice Requires="x14">
            <control shapeId="13221" r:id="rId1761" name="Button 1957">
              <controlPr defaultSize="0" autoFill="0" autoLine="0" autoPict="0" macro="[0]!Sheet1.deleteRow">
                <anchor moveWithCells="1" sizeWithCells="1">
                  <from>
                    <xdr:col>6</xdr:col>
                    <xdr:colOff>0</xdr:colOff>
                    <xdr:row>3049</xdr:row>
                    <xdr:rowOff>0</xdr:rowOff>
                  </from>
                  <to>
                    <xdr:col>7</xdr:col>
                    <xdr:colOff>0</xdr:colOff>
                    <xdr:row>3049</xdr:row>
                    <xdr:rowOff>161925</xdr:rowOff>
                  </to>
                </anchor>
              </controlPr>
            </control>
          </mc:Choice>
        </mc:AlternateContent>
        <mc:AlternateContent xmlns:mc="http://schemas.openxmlformats.org/markup-compatibility/2006">
          <mc:Choice Requires="x14">
            <control shapeId="13220" r:id="rId1762" name="Button 1956">
              <controlPr defaultSize="0" autoFill="0" autoLine="0" autoPict="0" macro="[0]!Sheet1.deleteRow">
                <anchor moveWithCells="1" sizeWithCells="1">
                  <from>
                    <xdr:col>6</xdr:col>
                    <xdr:colOff>0</xdr:colOff>
                    <xdr:row>3050</xdr:row>
                    <xdr:rowOff>0</xdr:rowOff>
                  </from>
                  <to>
                    <xdr:col>7</xdr:col>
                    <xdr:colOff>0</xdr:colOff>
                    <xdr:row>3050</xdr:row>
                    <xdr:rowOff>161925</xdr:rowOff>
                  </to>
                </anchor>
              </controlPr>
            </control>
          </mc:Choice>
        </mc:AlternateContent>
        <mc:AlternateContent xmlns:mc="http://schemas.openxmlformats.org/markup-compatibility/2006">
          <mc:Choice Requires="x14">
            <control shapeId="13219" r:id="rId1763" name="Button 1955">
              <controlPr defaultSize="0" autoFill="0" autoLine="0" autoPict="0" macro="[0]!Sheet1.deleteRow">
                <anchor moveWithCells="1" sizeWithCells="1">
                  <from>
                    <xdr:col>6</xdr:col>
                    <xdr:colOff>0</xdr:colOff>
                    <xdr:row>3051</xdr:row>
                    <xdr:rowOff>0</xdr:rowOff>
                  </from>
                  <to>
                    <xdr:col>7</xdr:col>
                    <xdr:colOff>0</xdr:colOff>
                    <xdr:row>3051</xdr:row>
                    <xdr:rowOff>161925</xdr:rowOff>
                  </to>
                </anchor>
              </controlPr>
            </control>
          </mc:Choice>
        </mc:AlternateContent>
        <mc:AlternateContent xmlns:mc="http://schemas.openxmlformats.org/markup-compatibility/2006">
          <mc:Choice Requires="x14">
            <control shapeId="13218" r:id="rId1764" name="Button 1954">
              <controlPr defaultSize="0" autoFill="0" autoLine="0" autoPict="0" macro="[0]!Sheet1.deleteRow">
                <anchor moveWithCells="1" sizeWithCells="1">
                  <from>
                    <xdr:col>6</xdr:col>
                    <xdr:colOff>0</xdr:colOff>
                    <xdr:row>3052</xdr:row>
                    <xdr:rowOff>0</xdr:rowOff>
                  </from>
                  <to>
                    <xdr:col>7</xdr:col>
                    <xdr:colOff>0</xdr:colOff>
                    <xdr:row>3052</xdr:row>
                    <xdr:rowOff>161925</xdr:rowOff>
                  </to>
                </anchor>
              </controlPr>
            </control>
          </mc:Choice>
        </mc:AlternateContent>
        <mc:AlternateContent xmlns:mc="http://schemas.openxmlformats.org/markup-compatibility/2006">
          <mc:Choice Requires="x14">
            <control shapeId="13217" r:id="rId1765" name="Button 1953">
              <controlPr defaultSize="0" autoFill="0" autoLine="0" autoPict="0" macro="[0]!Sheet1.deleteRow">
                <anchor moveWithCells="1" sizeWithCells="1">
                  <from>
                    <xdr:col>6</xdr:col>
                    <xdr:colOff>0</xdr:colOff>
                    <xdr:row>3053</xdr:row>
                    <xdr:rowOff>0</xdr:rowOff>
                  </from>
                  <to>
                    <xdr:col>7</xdr:col>
                    <xdr:colOff>0</xdr:colOff>
                    <xdr:row>3053</xdr:row>
                    <xdr:rowOff>161925</xdr:rowOff>
                  </to>
                </anchor>
              </controlPr>
            </control>
          </mc:Choice>
        </mc:AlternateContent>
        <mc:AlternateContent xmlns:mc="http://schemas.openxmlformats.org/markup-compatibility/2006">
          <mc:Choice Requires="x14">
            <control shapeId="13216" r:id="rId1766" name="Button 1952">
              <controlPr defaultSize="0" autoFill="0" autoLine="0" autoPict="0" macro="[0]!Sheet1.deleteRow">
                <anchor moveWithCells="1" sizeWithCells="1">
                  <from>
                    <xdr:col>6</xdr:col>
                    <xdr:colOff>0</xdr:colOff>
                    <xdr:row>3054</xdr:row>
                    <xdr:rowOff>0</xdr:rowOff>
                  </from>
                  <to>
                    <xdr:col>7</xdr:col>
                    <xdr:colOff>0</xdr:colOff>
                    <xdr:row>3054</xdr:row>
                    <xdr:rowOff>161925</xdr:rowOff>
                  </to>
                </anchor>
              </controlPr>
            </control>
          </mc:Choice>
        </mc:AlternateContent>
        <mc:AlternateContent xmlns:mc="http://schemas.openxmlformats.org/markup-compatibility/2006">
          <mc:Choice Requires="x14">
            <control shapeId="13215" r:id="rId1767" name="Button 1951">
              <controlPr defaultSize="0" autoFill="0" autoLine="0" autoPict="0" macro="[0]!Sheet1.deleteRow">
                <anchor moveWithCells="1" sizeWithCells="1">
                  <from>
                    <xdr:col>6</xdr:col>
                    <xdr:colOff>0</xdr:colOff>
                    <xdr:row>3055</xdr:row>
                    <xdr:rowOff>0</xdr:rowOff>
                  </from>
                  <to>
                    <xdr:col>7</xdr:col>
                    <xdr:colOff>0</xdr:colOff>
                    <xdr:row>3055</xdr:row>
                    <xdr:rowOff>161925</xdr:rowOff>
                  </to>
                </anchor>
              </controlPr>
            </control>
          </mc:Choice>
        </mc:AlternateContent>
        <mc:AlternateContent xmlns:mc="http://schemas.openxmlformats.org/markup-compatibility/2006">
          <mc:Choice Requires="x14">
            <control shapeId="13214" r:id="rId1768" name="Button 1950">
              <controlPr defaultSize="0" autoFill="0" autoLine="0" autoPict="0" macro="[0]!Sheet1.deleteRow">
                <anchor moveWithCells="1" sizeWithCells="1">
                  <from>
                    <xdr:col>6</xdr:col>
                    <xdr:colOff>0</xdr:colOff>
                    <xdr:row>3056</xdr:row>
                    <xdr:rowOff>0</xdr:rowOff>
                  </from>
                  <to>
                    <xdr:col>7</xdr:col>
                    <xdr:colOff>0</xdr:colOff>
                    <xdr:row>3056</xdr:row>
                    <xdr:rowOff>161925</xdr:rowOff>
                  </to>
                </anchor>
              </controlPr>
            </control>
          </mc:Choice>
        </mc:AlternateContent>
        <mc:AlternateContent xmlns:mc="http://schemas.openxmlformats.org/markup-compatibility/2006">
          <mc:Choice Requires="x14">
            <control shapeId="13213" r:id="rId1769" name="Button 1949">
              <controlPr defaultSize="0" autoFill="0" autoLine="0" autoPict="0" macro="[0]!Sheet1.deleteRow">
                <anchor moveWithCells="1" sizeWithCells="1">
                  <from>
                    <xdr:col>6</xdr:col>
                    <xdr:colOff>0</xdr:colOff>
                    <xdr:row>3057</xdr:row>
                    <xdr:rowOff>0</xdr:rowOff>
                  </from>
                  <to>
                    <xdr:col>7</xdr:col>
                    <xdr:colOff>0</xdr:colOff>
                    <xdr:row>3057</xdr:row>
                    <xdr:rowOff>161925</xdr:rowOff>
                  </to>
                </anchor>
              </controlPr>
            </control>
          </mc:Choice>
        </mc:AlternateContent>
        <mc:AlternateContent xmlns:mc="http://schemas.openxmlformats.org/markup-compatibility/2006">
          <mc:Choice Requires="x14">
            <control shapeId="13212" r:id="rId1770" name="Button 1948">
              <controlPr defaultSize="0" autoFill="0" autoLine="0" autoPict="0" macro="[0]!Sheet1.deleteRow">
                <anchor moveWithCells="1" sizeWithCells="1">
                  <from>
                    <xdr:col>6</xdr:col>
                    <xdr:colOff>0</xdr:colOff>
                    <xdr:row>3058</xdr:row>
                    <xdr:rowOff>0</xdr:rowOff>
                  </from>
                  <to>
                    <xdr:col>7</xdr:col>
                    <xdr:colOff>0</xdr:colOff>
                    <xdr:row>3058</xdr:row>
                    <xdr:rowOff>161925</xdr:rowOff>
                  </to>
                </anchor>
              </controlPr>
            </control>
          </mc:Choice>
        </mc:AlternateContent>
        <mc:AlternateContent xmlns:mc="http://schemas.openxmlformats.org/markup-compatibility/2006">
          <mc:Choice Requires="x14">
            <control shapeId="13211" r:id="rId1771" name="Button 1947">
              <controlPr defaultSize="0" autoFill="0" autoLine="0" autoPict="0" macro="[0]!Sheet1.deleteRow">
                <anchor moveWithCells="1" sizeWithCells="1">
                  <from>
                    <xdr:col>6</xdr:col>
                    <xdr:colOff>0</xdr:colOff>
                    <xdr:row>3059</xdr:row>
                    <xdr:rowOff>0</xdr:rowOff>
                  </from>
                  <to>
                    <xdr:col>7</xdr:col>
                    <xdr:colOff>0</xdr:colOff>
                    <xdr:row>3059</xdr:row>
                    <xdr:rowOff>161925</xdr:rowOff>
                  </to>
                </anchor>
              </controlPr>
            </control>
          </mc:Choice>
        </mc:AlternateContent>
        <mc:AlternateContent xmlns:mc="http://schemas.openxmlformats.org/markup-compatibility/2006">
          <mc:Choice Requires="x14">
            <control shapeId="13210" r:id="rId1772" name="Button 1946">
              <controlPr defaultSize="0" autoFill="0" autoLine="0" autoPict="0" macro="[0]!Sheet1.deleteRow">
                <anchor moveWithCells="1" sizeWithCells="1">
                  <from>
                    <xdr:col>6</xdr:col>
                    <xdr:colOff>0</xdr:colOff>
                    <xdr:row>3060</xdr:row>
                    <xdr:rowOff>0</xdr:rowOff>
                  </from>
                  <to>
                    <xdr:col>7</xdr:col>
                    <xdr:colOff>0</xdr:colOff>
                    <xdr:row>3060</xdr:row>
                    <xdr:rowOff>161925</xdr:rowOff>
                  </to>
                </anchor>
              </controlPr>
            </control>
          </mc:Choice>
        </mc:AlternateContent>
        <mc:AlternateContent xmlns:mc="http://schemas.openxmlformats.org/markup-compatibility/2006">
          <mc:Choice Requires="x14">
            <control shapeId="13209" r:id="rId1773" name="Button 1945">
              <controlPr defaultSize="0" autoFill="0" autoLine="0" autoPict="0" macro="[0]!Sheet1.deleteRow">
                <anchor moveWithCells="1" sizeWithCells="1">
                  <from>
                    <xdr:col>6</xdr:col>
                    <xdr:colOff>0</xdr:colOff>
                    <xdr:row>3061</xdr:row>
                    <xdr:rowOff>0</xdr:rowOff>
                  </from>
                  <to>
                    <xdr:col>7</xdr:col>
                    <xdr:colOff>0</xdr:colOff>
                    <xdr:row>3061</xdr:row>
                    <xdr:rowOff>161925</xdr:rowOff>
                  </to>
                </anchor>
              </controlPr>
            </control>
          </mc:Choice>
        </mc:AlternateContent>
        <mc:AlternateContent xmlns:mc="http://schemas.openxmlformats.org/markup-compatibility/2006">
          <mc:Choice Requires="x14">
            <control shapeId="13208" r:id="rId1774" name="Button 1944">
              <controlPr defaultSize="0" autoFill="0" autoLine="0" autoPict="0" macro="[0]!Sheet1.deleteProcedure">
                <anchor moveWithCells="1" sizeWithCells="1">
                  <from>
                    <xdr:col>6</xdr:col>
                    <xdr:colOff>0</xdr:colOff>
                    <xdr:row>3064</xdr:row>
                    <xdr:rowOff>0</xdr:rowOff>
                  </from>
                  <to>
                    <xdr:col>7</xdr:col>
                    <xdr:colOff>0</xdr:colOff>
                    <xdr:row>3065</xdr:row>
                    <xdr:rowOff>0</xdr:rowOff>
                  </to>
                </anchor>
              </controlPr>
            </control>
          </mc:Choice>
        </mc:AlternateContent>
        <mc:AlternateContent xmlns:mc="http://schemas.openxmlformats.org/markup-compatibility/2006">
          <mc:Choice Requires="x14">
            <control shapeId="13207" r:id="rId1775" name="Button 1943">
              <controlPr defaultSize="0" autoFill="0" autoLine="0" autoPict="0" macro="[0]!Sheet1.InsertNewTableRow">
                <anchor moveWithCells="1" sizeWithCells="1">
                  <from>
                    <xdr:col>6</xdr:col>
                    <xdr:colOff>0</xdr:colOff>
                    <xdr:row>3071</xdr:row>
                    <xdr:rowOff>0</xdr:rowOff>
                  </from>
                  <to>
                    <xdr:col>7</xdr:col>
                    <xdr:colOff>0</xdr:colOff>
                    <xdr:row>3071</xdr:row>
                    <xdr:rowOff>38100</xdr:rowOff>
                  </to>
                </anchor>
              </controlPr>
            </control>
          </mc:Choice>
        </mc:AlternateContent>
        <mc:AlternateContent xmlns:mc="http://schemas.openxmlformats.org/markup-compatibility/2006">
          <mc:Choice Requires="x14">
            <control shapeId="13206" r:id="rId1776" name="Button 1942">
              <controlPr defaultSize="0" autoFill="0" autoLine="0" autoPict="0" macro="[0]!Sheet1.deleteRow">
                <anchor moveWithCells="1" sizeWithCells="1">
                  <from>
                    <xdr:col>6</xdr:col>
                    <xdr:colOff>0</xdr:colOff>
                    <xdr:row>3072</xdr:row>
                    <xdr:rowOff>0</xdr:rowOff>
                  </from>
                  <to>
                    <xdr:col>7</xdr:col>
                    <xdr:colOff>0</xdr:colOff>
                    <xdr:row>3072</xdr:row>
                    <xdr:rowOff>161925</xdr:rowOff>
                  </to>
                </anchor>
              </controlPr>
            </control>
          </mc:Choice>
        </mc:AlternateContent>
        <mc:AlternateContent xmlns:mc="http://schemas.openxmlformats.org/markup-compatibility/2006">
          <mc:Choice Requires="x14">
            <control shapeId="13205" r:id="rId1777" name="Button 1941">
              <controlPr defaultSize="0" autoFill="0" autoLine="0" autoPict="0" macro="[0]!Sheet1.deleteRow">
                <anchor moveWithCells="1" sizeWithCells="1">
                  <from>
                    <xdr:col>6</xdr:col>
                    <xdr:colOff>0</xdr:colOff>
                    <xdr:row>3073</xdr:row>
                    <xdr:rowOff>0</xdr:rowOff>
                  </from>
                  <to>
                    <xdr:col>7</xdr:col>
                    <xdr:colOff>0</xdr:colOff>
                    <xdr:row>3073</xdr:row>
                    <xdr:rowOff>161925</xdr:rowOff>
                  </to>
                </anchor>
              </controlPr>
            </control>
          </mc:Choice>
        </mc:AlternateContent>
        <mc:AlternateContent xmlns:mc="http://schemas.openxmlformats.org/markup-compatibility/2006">
          <mc:Choice Requires="x14">
            <control shapeId="13204" r:id="rId1778" name="Button 1940">
              <controlPr defaultSize="0" autoFill="0" autoLine="0" autoPict="0" macro="[0]!Sheet1.deleteRow">
                <anchor moveWithCells="1" sizeWithCells="1">
                  <from>
                    <xdr:col>6</xdr:col>
                    <xdr:colOff>0</xdr:colOff>
                    <xdr:row>3074</xdr:row>
                    <xdr:rowOff>0</xdr:rowOff>
                  </from>
                  <to>
                    <xdr:col>7</xdr:col>
                    <xdr:colOff>0</xdr:colOff>
                    <xdr:row>3074</xdr:row>
                    <xdr:rowOff>161925</xdr:rowOff>
                  </to>
                </anchor>
              </controlPr>
            </control>
          </mc:Choice>
        </mc:AlternateContent>
        <mc:AlternateContent xmlns:mc="http://schemas.openxmlformats.org/markup-compatibility/2006">
          <mc:Choice Requires="x14">
            <control shapeId="13203" r:id="rId1779" name="Button 1939">
              <controlPr defaultSize="0" autoFill="0" autoLine="0" autoPict="0" macro="[0]!Sheet1.deleteRow">
                <anchor moveWithCells="1" sizeWithCells="1">
                  <from>
                    <xdr:col>6</xdr:col>
                    <xdr:colOff>0</xdr:colOff>
                    <xdr:row>3075</xdr:row>
                    <xdr:rowOff>0</xdr:rowOff>
                  </from>
                  <to>
                    <xdr:col>7</xdr:col>
                    <xdr:colOff>0</xdr:colOff>
                    <xdr:row>3075</xdr:row>
                    <xdr:rowOff>161925</xdr:rowOff>
                  </to>
                </anchor>
              </controlPr>
            </control>
          </mc:Choice>
        </mc:AlternateContent>
        <mc:AlternateContent xmlns:mc="http://schemas.openxmlformats.org/markup-compatibility/2006">
          <mc:Choice Requires="x14">
            <control shapeId="13202" r:id="rId1780" name="Button 1938">
              <controlPr defaultSize="0" autoFill="0" autoLine="0" autoPict="0" macro="[0]!Sheet1.deleteRow">
                <anchor moveWithCells="1" sizeWithCells="1">
                  <from>
                    <xdr:col>6</xdr:col>
                    <xdr:colOff>0</xdr:colOff>
                    <xdr:row>3076</xdr:row>
                    <xdr:rowOff>0</xdr:rowOff>
                  </from>
                  <to>
                    <xdr:col>7</xdr:col>
                    <xdr:colOff>0</xdr:colOff>
                    <xdr:row>3076</xdr:row>
                    <xdr:rowOff>161925</xdr:rowOff>
                  </to>
                </anchor>
              </controlPr>
            </control>
          </mc:Choice>
        </mc:AlternateContent>
        <mc:AlternateContent xmlns:mc="http://schemas.openxmlformats.org/markup-compatibility/2006">
          <mc:Choice Requires="x14">
            <control shapeId="13201" r:id="rId1781" name="Button 1937">
              <controlPr defaultSize="0" autoFill="0" autoLine="0" autoPict="0" macro="[0]!Sheet1.deleteRow">
                <anchor moveWithCells="1" sizeWithCells="1">
                  <from>
                    <xdr:col>6</xdr:col>
                    <xdr:colOff>0</xdr:colOff>
                    <xdr:row>3077</xdr:row>
                    <xdr:rowOff>0</xdr:rowOff>
                  </from>
                  <to>
                    <xdr:col>7</xdr:col>
                    <xdr:colOff>0</xdr:colOff>
                    <xdr:row>3077</xdr:row>
                    <xdr:rowOff>161925</xdr:rowOff>
                  </to>
                </anchor>
              </controlPr>
            </control>
          </mc:Choice>
        </mc:AlternateContent>
        <mc:AlternateContent xmlns:mc="http://schemas.openxmlformats.org/markup-compatibility/2006">
          <mc:Choice Requires="x14">
            <control shapeId="13200" r:id="rId1782" name="Button 1936">
              <controlPr defaultSize="0" autoFill="0" autoLine="0" autoPict="0" macro="[0]!Sheet1.deleteProcedure">
                <anchor moveWithCells="1" sizeWithCells="1">
                  <from>
                    <xdr:col>6</xdr:col>
                    <xdr:colOff>0</xdr:colOff>
                    <xdr:row>3080</xdr:row>
                    <xdr:rowOff>0</xdr:rowOff>
                  </from>
                  <to>
                    <xdr:col>7</xdr:col>
                    <xdr:colOff>0</xdr:colOff>
                    <xdr:row>3081</xdr:row>
                    <xdr:rowOff>0</xdr:rowOff>
                  </to>
                </anchor>
              </controlPr>
            </control>
          </mc:Choice>
        </mc:AlternateContent>
        <mc:AlternateContent xmlns:mc="http://schemas.openxmlformats.org/markup-compatibility/2006">
          <mc:Choice Requires="x14">
            <control shapeId="13199" r:id="rId1783" name="Button 1935">
              <controlPr defaultSize="0" autoFill="0" autoLine="0" autoPict="0" macro="[0]!Sheet1.InsertNewTableRow">
                <anchor moveWithCells="1" sizeWithCells="1">
                  <from>
                    <xdr:col>6</xdr:col>
                    <xdr:colOff>0</xdr:colOff>
                    <xdr:row>3087</xdr:row>
                    <xdr:rowOff>0</xdr:rowOff>
                  </from>
                  <to>
                    <xdr:col>7</xdr:col>
                    <xdr:colOff>0</xdr:colOff>
                    <xdr:row>3087</xdr:row>
                    <xdr:rowOff>38100</xdr:rowOff>
                  </to>
                </anchor>
              </controlPr>
            </control>
          </mc:Choice>
        </mc:AlternateContent>
        <mc:AlternateContent xmlns:mc="http://schemas.openxmlformats.org/markup-compatibility/2006">
          <mc:Choice Requires="x14">
            <control shapeId="13198" r:id="rId1784" name="Button 1934">
              <controlPr defaultSize="0" autoFill="0" autoLine="0" autoPict="0" macro="[0]!Sheet1.deleteRow">
                <anchor moveWithCells="1" sizeWithCells="1">
                  <from>
                    <xdr:col>6</xdr:col>
                    <xdr:colOff>0</xdr:colOff>
                    <xdr:row>3088</xdr:row>
                    <xdr:rowOff>0</xdr:rowOff>
                  </from>
                  <to>
                    <xdr:col>7</xdr:col>
                    <xdr:colOff>0</xdr:colOff>
                    <xdr:row>3088</xdr:row>
                    <xdr:rowOff>161925</xdr:rowOff>
                  </to>
                </anchor>
              </controlPr>
            </control>
          </mc:Choice>
        </mc:AlternateContent>
        <mc:AlternateContent xmlns:mc="http://schemas.openxmlformats.org/markup-compatibility/2006">
          <mc:Choice Requires="x14">
            <control shapeId="13197" r:id="rId1785" name="Button 1933">
              <controlPr defaultSize="0" autoFill="0" autoLine="0" autoPict="0" macro="[0]!Sheet1.deleteProcedure">
                <anchor moveWithCells="1" sizeWithCells="1">
                  <from>
                    <xdr:col>6</xdr:col>
                    <xdr:colOff>0</xdr:colOff>
                    <xdr:row>3091</xdr:row>
                    <xdr:rowOff>0</xdr:rowOff>
                  </from>
                  <to>
                    <xdr:col>7</xdr:col>
                    <xdr:colOff>0</xdr:colOff>
                    <xdr:row>3092</xdr:row>
                    <xdr:rowOff>0</xdr:rowOff>
                  </to>
                </anchor>
              </controlPr>
            </control>
          </mc:Choice>
        </mc:AlternateContent>
        <mc:AlternateContent xmlns:mc="http://schemas.openxmlformats.org/markup-compatibility/2006">
          <mc:Choice Requires="x14">
            <control shapeId="13196" r:id="rId1786" name="Button 1932">
              <controlPr defaultSize="0" autoFill="0" autoLine="0" autoPict="0" macro="[0]!Sheet1.InsertNewTableRow">
                <anchor moveWithCells="1" sizeWithCells="1">
                  <from>
                    <xdr:col>6</xdr:col>
                    <xdr:colOff>0</xdr:colOff>
                    <xdr:row>3098</xdr:row>
                    <xdr:rowOff>0</xdr:rowOff>
                  </from>
                  <to>
                    <xdr:col>7</xdr:col>
                    <xdr:colOff>0</xdr:colOff>
                    <xdr:row>3098</xdr:row>
                    <xdr:rowOff>38100</xdr:rowOff>
                  </to>
                </anchor>
              </controlPr>
            </control>
          </mc:Choice>
        </mc:AlternateContent>
        <mc:AlternateContent xmlns:mc="http://schemas.openxmlformats.org/markup-compatibility/2006">
          <mc:Choice Requires="x14">
            <control shapeId="13195" r:id="rId1787" name="Button 1931">
              <controlPr defaultSize="0" autoFill="0" autoLine="0" autoPict="0" macro="[0]!Sheet1.deleteRow">
                <anchor moveWithCells="1" sizeWithCells="1">
                  <from>
                    <xdr:col>6</xdr:col>
                    <xdr:colOff>0</xdr:colOff>
                    <xdr:row>3099</xdr:row>
                    <xdr:rowOff>0</xdr:rowOff>
                  </from>
                  <to>
                    <xdr:col>7</xdr:col>
                    <xdr:colOff>0</xdr:colOff>
                    <xdr:row>3099</xdr:row>
                    <xdr:rowOff>161925</xdr:rowOff>
                  </to>
                </anchor>
              </controlPr>
            </control>
          </mc:Choice>
        </mc:AlternateContent>
        <mc:AlternateContent xmlns:mc="http://schemas.openxmlformats.org/markup-compatibility/2006">
          <mc:Choice Requires="x14">
            <control shapeId="13194" r:id="rId1788" name="Button 1930">
              <controlPr defaultSize="0" autoFill="0" autoLine="0" autoPict="0" macro="[0]!Sheet1.deleteRow">
                <anchor moveWithCells="1" sizeWithCells="1">
                  <from>
                    <xdr:col>6</xdr:col>
                    <xdr:colOff>0</xdr:colOff>
                    <xdr:row>3100</xdr:row>
                    <xdr:rowOff>0</xdr:rowOff>
                  </from>
                  <to>
                    <xdr:col>7</xdr:col>
                    <xdr:colOff>0</xdr:colOff>
                    <xdr:row>3100</xdr:row>
                    <xdr:rowOff>161925</xdr:rowOff>
                  </to>
                </anchor>
              </controlPr>
            </control>
          </mc:Choice>
        </mc:AlternateContent>
        <mc:AlternateContent xmlns:mc="http://schemas.openxmlformats.org/markup-compatibility/2006">
          <mc:Choice Requires="x14">
            <control shapeId="13193" r:id="rId1789" name="Button 1929">
              <controlPr defaultSize="0" autoFill="0" autoLine="0" autoPict="0" macro="[0]!Sheet1.deleteRow">
                <anchor moveWithCells="1" sizeWithCells="1">
                  <from>
                    <xdr:col>6</xdr:col>
                    <xdr:colOff>0</xdr:colOff>
                    <xdr:row>3101</xdr:row>
                    <xdr:rowOff>0</xdr:rowOff>
                  </from>
                  <to>
                    <xdr:col>7</xdr:col>
                    <xdr:colOff>0</xdr:colOff>
                    <xdr:row>3101</xdr:row>
                    <xdr:rowOff>161925</xdr:rowOff>
                  </to>
                </anchor>
              </controlPr>
            </control>
          </mc:Choice>
        </mc:AlternateContent>
        <mc:AlternateContent xmlns:mc="http://schemas.openxmlformats.org/markup-compatibility/2006">
          <mc:Choice Requires="x14">
            <control shapeId="13192" r:id="rId1790" name="Button 1928">
              <controlPr defaultSize="0" autoFill="0" autoLine="0" autoPict="0" macro="[0]!Sheet1.deleteRow">
                <anchor moveWithCells="1" sizeWithCells="1">
                  <from>
                    <xdr:col>6</xdr:col>
                    <xdr:colOff>0</xdr:colOff>
                    <xdr:row>3102</xdr:row>
                    <xdr:rowOff>0</xdr:rowOff>
                  </from>
                  <to>
                    <xdr:col>7</xdr:col>
                    <xdr:colOff>0</xdr:colOff>
                    <xdr:row>3102</xdr:row>
                    <xdr:rowOff>161925</xdr:rowOff>
                  </to>
                </anchor>
              </controlPr>
            </control>
          </mc:Choice>
        </mc:AlternateContent>
        <mc:AlternateContent xmlns:mc="http://schemas.openxmlformats.org/markup-compatibility/2006">
          <mc:Choice Requires="x14">
            <control shapeId="13191" r:id="rId1791" name="Button 1927">
              <controlPr defaultSize="0" autoFill="0" autoLine="0" autoPict="0" macro="[0]!Sheet1.deleteRow">
                <anchor moveWithCells="1" sizeWithCells="1">
                  <from>
                    <xdr:col>6</xdr:col>
                    <xdr:colOff>0</xdr:colOff>
                    <xdr:row>3103</xdr:row>
                    <xdr:rowOff>0</xdr:rowOff>
                  </from>
                  <to>
                    <xdr:col>7</xdr:col>
                    <xdr:colOff>0</xdr:colOff>
                    <xdr:row>3103</xdr:row>
                    <xdr:rowOff>161925</xdr:rowOff>
                  </to>
                </anchor>
              </controlPr>
            </control>
          </mc:Choice>
        </mc:AlternateContent>
        <mc:AlternateContent xmlns:mc="http://schemas.openxmlformats.org/markup-compatibility/2006">
          <mc:Choice Requires="x14">
            <control shapeId="13190" r:id="rId1792" name="Button 1926">
              <controlPr defaultSize="0" autoFill="0" autoLine="0" autoPict="0" macro="[0]!Sheet1.deleteRow">
                <anchor moveWithCells="1" sizeWithCells="1">
                  <from>
                    <xdr:col>6</xdr:col>
                    <xdr:colOff>0</xdr:colOff>
                    <xdr:row>3104</xdr:row>
                    <xdr:rowOff>0</xdr:rowOff>
                  </from>
                  <to>
                    <xdr:col>7</xdr:col>
                    <xdr:colOff>0</xdr:colOff>
                    <xdr:row>3104</xdr:row>
                    <xdr:rowOff>161925</xdr:rowOff>
                  </to>
                </anchor>
              </controlPr>
            </control>
          </mc:Choice>
        </mc:AlternateContent>
        <mc:AlternateContent xmlns:mc="http://schemas.openxmlformats.org/markup-compatibility/2006">
          <mc:Choice Requires="x14">
            <control shapeId="13189" r:id="rId1793" name="Button 1925">
              <controlPr defaultSize="0" autoFill="0" autoLine="0" autoPict="0" macro="[0]!Sheet1.deleteRow">
                <anchor moveWithCells="1" sizeWithCells="1">
                  <from>
                    <xdr:col>6</xdr:col>
                    <xdr:colOff>0</xdr:colOff>
                    <xdr:row>3105</xdr:row>
                    <xdr:rowOff>0</xdr:rowOff>
                  </from>
                  <to>
                    <xdr:col>7</xdr:col>
                    <xdr:colOff>0</xdr:colOff>
                    <xdr:row>3105</xdr:row>
                    <xdr:rowOff>161925</xdr:rowOff>
                  </to>
                </anchor>
              </controlPr>
            </control>
          </mc:Choice>
        </mc:AlternateContent>
        <mc:AlternateContent xmlns:mc="http://schemas.openxmlformats.org/markup-compatibility/2006">
          <mc:Choice Requires="x14">
            <control shapeId="13188" r:id="rId1794" name="Button 1924">
              <controlPr defaultSize="0" autoFill="0" autoLine="0" autoPict="0" macro="[0]!Sheet1.deleteRow">
                <anchor moveWithCells="1" sizeWithCells="1">
                  <from>
                    <xdr:col>6</xdr:col>
                    <xdr:colOff>0</xdr:colOff>
                    <xdr:row>3106</xdr:row>
                    <xdr:rowOff>0</xdr:rowOff>
                  </from>
                  <to>
                    <xdr:col>7</xdr:col>
                    <xdr:colOff>0</xdr:colOff>
                    <xdr:row>3106</xdr:row>
                    <xdr:rowOff>161925</xdr:rowOff>
                  </to>
                </anchor>
              </controlPr>
            </control>
          </mc:Choice>
        </mc:AlternateContent>
        <mc:AlternateContent xmlns:mc="http://schemas.openxmlformats.org/markup-compatibility/2006">
          <mc:Choice Requires="x14">
            <control shapeId="13187" r:id="rId1795" name="Button 1923">
              <controlPr defaultSize="0" autoFill="0" autoLine="0" autoPict="0" macro="[0]!Sheet1.deleteRow">
                <anchor moveWithCells="1" sizeWithCells="1">
                  <from>
                    <xdr:col>6</xdr:col>
                    <xdr:colOff>0</xdr:colOff>
                    <xdr:row>3107</xdr:row>
                    <xdr:rowOff>0</xdr:rowOff>
                  </from>
                  <to>
                    <xdr:col>7</xdr:col>
                    <xdr:colOff>0</xdr:colOff>
                    <xdr:row>3107</xdr:row>
                    <xdr:rowOff>161925</xdr:rowOff>
                  </to>
                </anchor>
              </controlPr>
            </control>
          </mc:Choice>
        </mc:AlternateContent>
        <mc:AlternateContent xmlns:mc="http://schemas.openxmlformats.org/markup-compatibility/2006">
          <mc:Choice Requires="x14">
            <control shapeId="13186" r:id="rId1796" name="Button 1922">
              <controlPr defaultSize="0" autoFill="0" autoLine="0" autoPict="0" macro="[0]!Sheet1.deleteProcedure">
                <anchor moveWithCells="1" sizeWithCells="1">
                  <from>
                    <xdr:col>6</xdr:col>
                    <xdr:colOff>0</xdr:colOff>
                    <xdr:row>3110</xdr:row>
                    <xdr:rowOff>0</xdr:rowOff>
                  </from>
                  <to>
                    <xdr:col>7</xdr:col>
                    <xdr:colOff>0</xdr:colOff>
                    <xdr:row>3111</xdr:row>
                    <xdr:rowOff>0</xdr:rowOff>
                  </to>
                </anchor>
              </controlPr>
            </control>
          </mc:Choice>
        </mc:AlternateContent>
        <mc:AlternateContent xmlns:mc="http://schemas.openxmlformats.org/markup-compatibility/2006">
          <mc:Choice Requires="x14">
            <control shapeId="13185" r:id="rId1797" name="Button 1921">
              <controlPr defaultSize="0" autoFill="0" autoLine="0" autoPict="0" macro="[0]!Sheet1.InsertNewTableRow">
                <anchor moveWithCells="1" sizeWithCells="1">
                  <from>
                    <xdr:col>6</xdr:col>
                    <xdr:colOff>0</xdr:colOff>
                    <xdr:row>3117</xdr:row>
                    <xdr:rowOff>0</xdr:rowOff>
                  </from>
                  <to>
                    <xdr:col>7</xdr:col>
                    <xdr:colOff>0</xdr:colOff>
                    <xdr:row>3117</xdr:row>
                    <xdr:rowOff>38100</xdr:rowOff>
                  </to>
                </anchor>
              </controlPr>
            </control>
          </mc:Choice>
        </mc:AlternateContent>
        <mc:AlternateContent xmlns:mc="http://schemas.openxmlformats.org/markup-compatibility/2006">
          <mc:Choice Requires="x14">
            <control shapeId="13184" r:id="rId1798" name="Button 1920">
              <controlPr defaultSize="0" autoFill="0" autoLine="0" autoPict="0" macro="[0]!Sheet1.deleteRow">
                <anchor moveWithCells="1" sizeWithCells="1">
                  <from>
                    <xdr:col>6</xdr:col>
                    <xdr:colOff>0</xdr:colOff>
                    <xdr:row>3118</xdr:row>
                    <xdr:rowOff>0</xdr:rowOff>
                  </from>
                  <to>
                    <xdr:col>7</xdr:col>
                    <xdr:colOff>0</xdr:colOff>
                    <xdr:row>3118</xdr:row>
                    <xdr:rowOff>161925</xdr:rowOff>
                  </to>
                </anchor>
              </controlPr>
            </control>
          </mc:Choice>
        </mc:AlternateContent>
        <mc:AlternateContent xmlns:mc="http://schemas.openxmlformats.org/markup-compatibility/2006">
          <mc:Choice Requires="x14">
            <control shapeId="13183" r:id="rId1799" name="Button 1919">
              <controlPr defaultSize="0" autoFill="0" autoLine="0" autoPict="0" macro="[0]!Sheet1.deleteProcedure">
                <anchor moveWithCells="1" sizeWithCells="1">
                  <from>
                    <xdr:col>6</xdr:col>
                    <xdr:colOff>0</xdr:colOff>
                    <xdr:row>3121</xdr:row>
                    <xdr:rowOff>0</xdr:rowOff>
                  </from>
                  <to>
                    <xdr:col>7</xdr:col>
                    <xdr:colOff>0</xdr:colOff>
                    <xdr:row>3122</xdr:row>
                    <xdr:rowOff>0</xdr:rowOff>
                  </to>
                </anchor>
              </controlPr>
            </control>
          </mc:Choice>
        </mc:AlternateContent>
        <mc:AlternateContent xmlns:mc="http://schemas.openxmlformats.org/markup-compatibility/2006">
          <mc:Choice Requires="x14">
            <control shapeId="13182" r:id="rId1800" name="Button 1918">
              <controlPr defaultSize="0" autoFill="0" autoLine="0" autoPict="0" macro="[0]!Sheet1.InsertNewTableRow">
                <anchor moveWithCells="1" sizeWithCells="1">
                  <from>
                    <xdr:col>6</xdr:col>
                    <xdr:colOff>0</xdr:colOff>
                    <xdr:row>3128</xdr:row>
                    <xdr:rowOff>0</xdr:rowOff>
                  </from>
                  <to>
                    <xdr:col>7</xdr:col>
                    <xdr:colOff>0</xdr:colOff>
                    <xdr:row>3128</xdr:row>
                    <xdr:rowOff>38100</xdr:rowOff>
                  </to>
                </anchor>
              </controlPr>
            </control>
          </mc:Choice>
        </mc:AlternateContent>
        <mc:AlternateContent xmlns:mc="http://schemas.openxmlformats.org/markup-compatibility/2006">
          <mc:Choice Requires="x14">
            <control shapeId="13181" r:id="rId1801" name="Button 1917">
              <controlPr defaultSize="0" autoFill="0" autoLine="0" autoPict="0" macro="[0]!Sheet1.deleteRow">
                <anchor moveWithCells="1" sizeWithCells="1">
                  <from>
                    <xdr:col>6</xdr:col>
                    <xdr:colOff>0</xdr:colOff>
                    <xdr:row>3129</xdr:row>
                    <xdr:rowOff>0</xdr:rowOff>
                  </from>
                  <to>
                    <xdr:col>7</xdr:col>
                    <xdr:colOff>0</xdr:colOff>
                    <xdr:row>3129</xdr:row>
                    <xdr:rowOff>161925</xdr:rowOff>
                  </to>
                </anchor>
              </controlPr>
            </control>
          </mc:Choice>
        </mc:AlternateContent>
        <mc:AlternateContent xmlns:mc="http://schemas.openxmlformats.org/markup-compatibility/2006">
          <mc:Choice Requires="x14">
            <control shapeId="13180" r:id="rId1802" name="Button 1916">
              <controlPr defaultSize="0" autoFill="0" autoLine="0" autoPict="0" macro="[0]!Sheet1.deleteProcedure">
                <anchor moveWithCells="1" sizeWithCells="1">
                  <from>
                    <xdr:col>6</xdr:col>
                    <xdr:colOff>0</xdr:colOff>
                    <xdr:row>3132</xdr:row>
                    <xdr:rowOff>0</xdr:rowOff>
                  </from>
                  <to>
                    <xdr:col>7</xdr:col>
                    <xdr:colOff>0</xdr:colOff>
                    <xdr:row>3133</xdr:row>
                    <xdr:rowOff>0</xdr:rowOff>
                  </to>
                </anchor>
              </controlPr>
            </control>
          </mc:Choice>
        </mc:AlternateContent>
        <mc:AlternateContent xmlns:mc="http://schemas.openxmlformats.org/markup-compatibility/2006">
          <mc:Choice Requires="x14">
            <control shapeId="13179" r:id="rId1803" name="Button 1915">
              <controlPr defaultSize="0" autoFill="0" autoLine="0" autoPict="0" macro="[0]!Sheet1.InsertNewTableRow">
                <anchor moveWithCells="1" sizeWithCells="1">
                  <from>
                    <xdr:col>6</xdr:col>
                    <xdr:colOff>0</xdr:colOff>
                    <xdr:row>3139</xdr:row>
                    <xdr:rowOff>0</xdr:rowOff>
                  </from>
                  <to>
                    <xdr:col>7</xdr:col>
                    <xdr:colOff>0</xdr:colOff>
                    <xdr:row>3139</xdr:row>
                    <xdr:rowOff>38100</xdr:rowOff>
                  </to>
                </anchor>
              </controlPr>
            </control>
          </mc:Choice>
        </mc:AlternateContent>
        <mc:AlternateContent xmlns:mc="http://schemas.openxmlformats.org/markup-compatibility/2006">
          <mc:Choice Requires="x14">
            <control shapeId="13178" r:id="rId1804" name="Button 1914">
              <controlPr defaultSize="0" autoFill="0" autoLine="0" autoPict="0" macro="[0]!Sheet1.deleteRow">
                <anchor moveWithCells="1" sizeWithCells="1">
                  <from>
                    <xdr:col>6</xdr:col>
                    <xdr:colOff>0</xdr:colOff>
                    <xdr:row>3140</xdr:row>
                    <xdr:rowOff>0</xdr:rowOff>
                  </from>
                  <to>
                    <xdr:col>7</xdr:col>
                    <xdr:colOff>0</xdr:colOff>
                    <xdr:row>3140</xdr:row>
                    <xdr:rowOff>161925</xdr:rowOff>
                  </to>
                </anchor>
              </controlPr>
            </control>
          </mc:Choice>
        </mc:AlternateContent>
        <mc:AlternateContent xmlns:mc="http://schemas.openxmlformats.org/markup-compatibility/2006">
          <mc:Choice Requires="x14">
            <control shapeId="13177" r:id="rId1805" name="Button 1913">
              <controlPr defaultSize="0" autoFill="0" autoLine="0" autoPict="0" macro="[0]!Sheet1.deleteRow">
                <anchor moveWithCells="1" sizeWithCells="1">
                  <from>
                    <xdr:col>6</xdr:col>
                    <xdr:colOff>0</xdr:colOff>
                    <xdr:row>3141</xdr:row>
                    <xdr:rowOff>0</xdr:rowOff>
                  </from>
                  <to>
                    <xdr:col>7</xdr:col>
                    <xdr:colOff>0</xdr:colOff>
                    <xdr:row>3141</xdr:row>
                    <xdr:rowOff>161925</xdr:rowOff>
                  </to>
                </anchor>
              </controlPr>
            </control>
          </mc:Choice>
        </mc:AlternateContent>
        <mc:AlternateContent xmlns:mc="http://schemas.openxmlformats.org/markup-compatibility/2006">
          <mc:Choice Requires="x14">
            <control shapeId="13176" r:id="rId1806" name="Button 1912">
              <controlPr defaultSize="0" autoFill="0" autoLine="0" autoPict="0" macro="[0]!Sheet1.deleteRow">
                <anchor moveWithCells="1" sizeWithCells="1">
                  <from>
                    <xdr:col>6</xdr:col>
                    <xdr:colOff>0</xdr:colOff>
                    <xdr:row>3142</xdr:row>
                    <xdr:rowOff>0</xdr:rowOff>
                  </from>
                  <to>
                    <xdr:col>7</xdr:col>
                    <xdr:colOff>0</xdr:colOff>
                    <xdr:row>3142</xdr:row>
                    <xdr:rowOff>161925</xdr:rowOff>
                  </to>
                </anchor>
              </controlPr>
            </control>
          </mc:Choice>
        </mc:AlternateContent>
        <mc:AlternateContent xmlns:mc="http://schemas.openxmlformats.org/markup-compatibility/2006">
          <mc:Choice Requires="x14">
            <control shapeId="13175" r:id="rId1807" name="Button 1911">
              <controlPr defaultSize="0" autoFill="0" autoLine="0" autoPict="0" macro="[0]!Sheet1.deleteRow">
                <anchor moveWithCells="1" sizeWithCells="1">
                  <from>
                    <xdr:col>6</xdr:col>
                    <xdr:colOff>0</xdr:colOff>
                    <xdr:row>3143</xdr:row>
                    <xdr:rowOff>0</xdr:rowOff>
                  </from>
                  <to>
                    <xdr:col>7</xdr:col>
                    <xdr:colOff>0</xdr:colOff>
                    <xdr:row>3143</xdr:row>
                    <xdr:rowOff>161925</xdr:rowOff>
                  </to>
                </anchor>
              </controlPr>
            </control>
          </mc:Choice>
        </mc:AlternateContent>
        <mc:AlternateContent xmlns:mc="http://schemas.openxmlformats.org/markup-compatibility/2006">
          <mc:Choice Requires="x14">
            <control shapeId="13174" r:id="rId1808" name="Button 1910">
              <controlPr defaultSize="0" autoFill="0" autoLine="0" autoPict="0" macro="[0]!Sheet1.deleteProcedure">
                <anchor moveWithCells="1" sizeWithCells="1">
                  <from>
                    <xdr:col>6</xdr:col>
                    <xdr:colOff>0</xdr:colOff>
                    <xdr:row>3146</xdr:row>
                    <xdr:rowOff>0</xdr:rowOff>
                  </from>
                  <to>
                    <xdr:col>7</xdr:col>
                    <xdr:colOff>0</xdr:colOff>
                    <xdr:row>3147</xdr:row>
                    <xdr:rowOff>0</xdr:rowOff>
                  </to>
                </anchor>
              </controlPr>
            </control>
          </mc:Choice>
        </mc:AlternateContent>
        <mc:AlternateContent xmlns:mc="http://schemas.openxmlformats.org/markup-compatibility/2006">
          <mc:Choice Requires="x14">
            <control shapeId="13173" r:id="rId1809" name="Button 1909">
              <controlPr defaultSize="0" autoFill="0" autoLine="0" autoPict="0" macro="[0]!Sheet1.InsertNewTableRow">
                <anchor moveWithCells="1" sizeWithCells="1">
                  <from>
                    <xdr:col>6</xdr:col>
                    <xdr:colOff>0</xdr:colOff>
                    <xdr:row>3153</xdr:row>
                    <xdr:rowOff>0</xdr:rowOff>
                  </from>
                  <to>
                    <xdr:col>7</xdr:col>
                    <xdr:colOff>0</xdr:colOff>
                    <xdr:row>3153</xdr:row>
                    <xdr:rowOff>38100</xdr:rowOff>
                  </to>
                </anchor>
              </controlPr>
            </control>
          </mc:Choice>
        </mc:AlternateContent>
        <mc:AlternateContent xmlns:mc="http://schemas.openxmlformats.org/markup-compatibility/2006">
          <mc:Choice Requires="x14">
            <control shapeId="13172" r:id="rId1810" name="Button 1908">
              <controlPr defaultSize="0" autoFill="0" autoLine="0" autoPict="0" macro="[0]!Sheet1.deleteRow">
                <anchor moveWithCells="1" sizeWithCells="1">
                  <from>
                    <xdr:col>6</xdr:col>
                    <xdr:colOff>0</xdr:colOff>
                    <xdr:row>3154</xdr:row>
                    <xdr:rowOff>0</xdr:rowOff>
                  </from>
                  <to>
                    <xdr:col>7</xdr:col>
                    <xdr:colOff>0</xdr:colOff>
                    <xdr:row>3154</xdr:row>
                    <xdr:rowOff>161925</xdr:rowOff>
                  </to>
                </anchor>
              </controlPr>
            </control>
          </mc:Choice>
        </mc:AlternateContent>
        <mc:AlternateContent xmlns:mc="http://schemas.openxmlformats.org/markup-compatibility/2006">
          <mc:Choice Requires="x14">
            <control shapeId="13171" r:id="rId1811" name="Button 1907">
              <controlPr defaultSize="0" autoFill="0" autoLine="0" autoPict="0" macro="[0]!Sheet1.deleteRow">
                <anchor moveWithCells="1" sizeWithCells="1">
                  <from>
                    <xdr:col>6</xdr:col>
                    <xdr:colOff>0</xdr:colOff>
                    <xdr:row>3155</xdr:row>
                    <xdr:rowOff>0</xdr:rowOff>
                  </from>
                  <to>
                    <xdr:col>7</xdr:col>
                    <xdr:colOff>0</xdr:colOff>
                    <xdr:row>3155</xdr:row>
                    <xdr:rowOff>161925</xdr:rowOff>
                  </to>
                </anchor>
              </controlPr>
            </control>
          </mc:Choice>
        </mc:AlternateContent>
        <mc:AlternateContent xmlns:mc="http://schemas.openxmlformats.org/markup-compatibility/2006">
          <mc:Choice Requires="x14">
            <control shapeId="13170" r:id="rId1812" name="Button 1906">
              <controlPr defaultSize="0" autoFill="0" autoLine="0" autoPict="0" macro="[0]!Sheet1.deleteRow">
                <anchor moveWithCells="1" sizeWithCells="1">
                  <from>
                    <xdr:col>6</xdr:col>
                    <xdr:colOff>0</xdr:colOff>
                    <xdr:row>3156</xdr:row>
                    <xdr:rowOff>0</xdr:rowOff>
                  </from>
                  <to>
                    <xdr:col>7</xdr:col>
                    <xdr:colOff>0</xdr:colOff>
                    <xdr:row>3156</xdr:row>
                    <xdr:rowOff>161925</xdr:rowOff>
                  </to>
                </anchor>
              </controlPr>
            </control>
          </mc:Choice>
        </mc:AlternateContent>
        <mc:AlternateContent xmlns:mc="http://schemas.openxmlformats.org/markup-compatibility/2006">
          <mc:Choice Requires="x14">
            <control shapeId="13169" r:id="rId1813" name="Button 1905">
              <controlPr defaultSize="0" autoFill="0" autoLine="0" autoPict="0" macro="[0]!Sheet1.deleteRow">
                <anchor moveWithCells="1" sizeWithCells="1">
                  <from>
                    <xdr:col>6</xdr:col>
                    <xdr:colOff>0</xdr:colOff>
                    <xdr:row>3157</xdr:row>
                    <xdr:rowOff>0</xdr:rowOff>
                  </from>
                  <to>
                    <xdr:col>7</xdr:col>
                    <xdr:colOff>0</xdr:colOff>
                    <xdr:row>3157</xdr:row>
                    <xdr:rowOff>161925</xdr:rowOff>
                  </to>
                </anchor>
              </controlPr>
            </control>
          </mc:Choice>
        </mc:AlternateContent>
        <mc:AlternateContent xmlns:mc="http://schemas.openxmlformats.org/markup-compatibility/2006">
          <mc:Choice Requires="x14">
            <control shapeId="13168" r:id="rId1814" name="Button 1904">
              <controlPr defaultSize="0" autoFill="0" autoLine="0" autoPict="0" macro="[0]!Sheet1.deleteRow">
                <anchor moveWithCells="1" sizeWithCells="1">
                  <from>
                    <xdr:col>6</xdr:col>
                    <xdr:colOff>0</xdr:colOff>
                    <xdr:row>3158</xdr:row>
                    <xdr:rowOff>0</xdr:rowOff>
                  </from>
                  <to>
                    <xdr:col>7</xdr:col>
                    <xdr:colOff>0</xdr:colOff>
                    <xdr:row>3158</xdr:row>
                    <xdr:rowOff>161925</xdr:rowOff>
                  </to>
                </anchor>
              </controlPr>
            </control>
          </mc:Choice>
        </mc:AlternateContent>
        <mc:AlternateContent xmlns:mc="http://schemas.openxmlformats.org/markup-compatibility/2006">
          <mc:Choice Requires="x14">
            <control shapeId="13167" r:id="rId1815" name="Button 1903">
              <controlPr defaultSize="0" autoFill="0" autoLine="0" autoPict="0" macro="[0]!Sheet1.deleteRow">
                <anchor moveWithCells="1" sizeWithCells="1">
                  <from>
                    <xdr:col>6</xdr:col>
                    <xdr:colOff>0</xdr:colOff>
                    <xdr:row>3159</xdr:row>
                    <xdr:rowOff>0</xdr:rowOff>
                  </from>
                  <to>
                    <xdr:col>7</xdr:col>
                    <xdr:colOff>0</xdr:colOff>
                    <xdr:row>3159</xdr:row>
                    <xdr:rowOff>161925</xdr:rowOff>
                  </to>
                </anchor>
              </controlPr>
            </control>
          </mc:Choice>
        </mc:AlternateContent>
        <mc:AlternateContent xmlns:mc="http://schemas.openxmlformats.org/markup-compatibility/2006">
          <mc:Choice Requires="x14">
            <control shapeId="13166" r:id="rId1816" name="Button 1902">
              <controlPr defaultSize="0" autoFill="0" autoLine="0" autoPict="0" macro="[0]!Sheet1.deleteRow">
                <anchor moveWithCells="1" sizeWithCells="1">
                  <from>
                    <xdr:col>6</xdr:col>
                    <xdr:colOff>0</xdr:colOff>
                    <xdr:row>3160</xdr:row>
                    <xdr:rowOff>0</xdr:rowOff>
                  </from>
                  <to>
                    <xdr:col>7</xdr:col>
                    <xdr:colOff>0</xdr:colOff>
                    <xdr:row>3160</xdr:row>
                    <xdr:rowOff>161925</xdr:rowOff>
                  </to>
                </anchor>
              </controlPr>
            </control>
          </mc:Choice>
        </mc:AlternateContent>
        <mc:AlternateContent xmlns:mc="http://schemas.openxmlformats.org/markup-compatibility/2006">
          <mc:Choice Requires="x14">
            <control shapeId="13165" r:id="rId1817" name="Button 1901">
              <controlPr defaultSize="0" autoFill="0" autoLine="0" autoPict="0" macro="[0]!Sheet1.deleteRow">
                <anchor moveWithCells="1" sizeWithCells="1">
                  <from>
                    <xdr:col>6</xdr:col>
                    <xdr:colOff>0</xdr:colOff>
                    <xdr:row>3161</xdr:row>
                    <xdr:rowOff>0</xdr:rowOff>
                  </from>
                  <to>
                    <xdr:col>7</xdr:col>
                    <xdr:colOff>0</xdr:colOff>
                    <xdr:row>3161</xdr:row>
                    <xdr:rowOff>161925</xdr:rowOff>
                  </to>
                </anchor>
              </controlPr>
            </control>
          </mc:Choice>
        </mc:AlternateContent>
        <mc:AlternateContent xmlns:mc="http://schemas.openxmlformats.org/markup-compatibility/2006">
          <mc:Choice Requires="x14">
            <control shapeId="13164" r:id="rId1818" name="Button 1900">
              <controlPr defaultSize="0" autoFill="0" autoLine="0" autoPict="0" macro="[0]!Sheet1.deleteRow">
                <anchor moveWithCells="1" sizeWithCells="1">
                  <from>
                    <xdr:col>6</xdr:col>
                    <xdr:colOff>0</xdr:colOff>
                    <xdr:row>3162</xdr:row>
                    <xdr:rowOff>0</xdr:rowOff>
                  </from>
                  <to>
                    <xdr:col>7</xdr:col>
                    <xdr:colOff>0</xdr:colOff>
                    <xdr:row>3162</xdr:row>
                    <xdr:rowOff>161925</xdr:rowOff>
                  </to>
                </anchor>
              </controlPr>
            </control>
          </mc:Choice>
        </mc:AlternateContent>
        <mc:AlternateContent xmlns:mc="http://schemas.openxmlformats.org/markup-compatibility/2006">
          <mc:Choice Requires="x14">
            <control shapeId="13163" r:id="rId1819" name="Button 1899">
              <controlPr defaultSize="0" autoFill="0" autoLine="0" autoPict="0" macro="[0]!Sheet1.deleteRow">
                <anchor moveWithCells="1" sizeWithCells="1">
                  <from>
                    <xdr:col>6</xdr:col>
                    <xdr:colOff>0</xdr:colOff>
                    <xdr:row>3163</xdr:row>
                    <xdr:rowOff>0</xdr:rowOff>
                  </from>
                  <to>
                    <xdr:col>7</xdr:col>
                    <xdr:colOff>0</xdr:colOff>
                    <xdr:row>3163</xdr:row>
                    <xdr:rowOff>161925</xdr:rowOff>
                  </to>
                </anchor>
              </controlPr>
            </control>
          </mc:Choice>
        </mc:AlternateContent>
        <mc:AlternateContent xmlns:mc="http://schemas.openxmlformats.org/markup-compatibility/2006">
          <mc:Choice Requires="x14">
            <control shapeId="13162" r:id="rId1820" name="Button 1898">
              <controlPr defaultSize="0" autoFill="0" autoLine="0" autoPict="0" macro="[0]!Sheet1.deleteRow">
                <anchor moveWithCells="1" sizeWithCells="1">
                  <from>
                    <xdr:col>6</xdr:col>
                    <xdr:colOff>0</xdr:colOff>
                    <xdr:row>3164</xdr:row>
                    <xdr:rowOff>0</xdr:rowOff>
                  </from>
                  <to>
                    <xdr:col>7</xdr:col>
                    <xdr:colOff>0</xdr:colOff>
                    <xdr:row>3164</xdr:row>
                    <xdr:rowOff>161925</xdr:rowOff>
                  </to>
                </anchor>
              </controlPr>
            </control>
          </mc:Choice>
        </mc:AlternateContent>
        <mc:AlternateContent xmlns:mc="http://schemas.openxmlformats.org/markup-compatibility/2006">
          <mc:Choice Requires="x14">
            <control shapeId="13161" r:id="rId1821" name="Button 1897">
              <controlPr defaultSize="0" autoFill="0" autoLine="0" autoPict="0" macro="[0]!Sheet1.deleteRow">
                <anchor moveWithCells="1" sizeWithCells="1">
                  <from>
                    <xdr:col>6</xdr:col>
                    <xdr:colOff>0</xdr:colOff>
                    <xdr:row>3165</xdr:row>
                    <xdr:rowOff>0</xdr:rowOff>
                  </from>
                  <to>
                    <xdr:col>7</xdr:col>
                    <xdr:colOff>0</xdr:colOff>
                    <xdr:row>3165</xdr:row>
                    <xdr:rowOff>161925</xdr:rowOff>
                  </to>
                </anchor>
              </controlPr>
            </control>
          </mc:Choice>
        </mc:AlternateContent>
        <mc:AlternateContent xmlns:mc="http://schemas.openxmlformats.org/markup-compatibility/2006">
          <mc:Choice Requires="x14">
            <control shapeId="13160" r:id="rId1822" name="Button 1896">
              <controlPr defaultSize="0" autoFill="0" autoLine="0" autoPict="0" macro="[0]!Sheet1.deleteRow">
                <anchor moveWithCells="1" sizeWithCells="1">
                  <from>
                    <xdr:col>6</xdr:col>
                    <xdr:colOff>0</xdr:colOff>
                    <xdr:row>3166</xdr:row>
                    <xdr:rowOff>0</xdr:rowOff>
                  </from>
                  <to>
                    <xdr:col>7</xdr:col>
                    <xdr:colOff>0</xdr:colOff>
                    <xdr:row>3166</xdr:row>
                    <xdr:rowOff>161925</xdr:rowOff>
                  </to>
                </anchor>
              </controlPr>
            </control>
          </mc:Choice>
        </mc:AlternateContent>
        <mc:AlternateContent xmlns:mc="http://schemas.openxmlformats.org/markup-compatibility/2006">
          <mc:Choice Requires="x14">
            <control shapeId="13159" r:id="rId1823" name="Button 1895">
              <controlPr defaultSize="0" autoFill="0" autoLine="0" autoPict="0" macro="[0]!Sheet1.deleteRow">
                <anchor moveWithCells="1" sizeWithCells="1">
                  <from>
                    <xdr:col>6</xdr:col>
                    <xdr:colOff>0</xdr:colOff>
                    <xdr:row>3167</xdr:row>
                    <xdr:rowOff>0</xdr:rowOff>
                  </from>
                  <to>
                    <xdr:col>7</xdr:col>
                    <xdr:colOff>0</xdr:colOff>
                    <xdr:row>3167</xdr:row>
                    <xdr:rowOff>161925</xdr:rowOff>
                  </to>
                </anchor>
              </controlPr>
            </control>
          </mc:Choice>
        </mc:AlternateContent>
        <mc:AlternateContent xmlns:mc="http://schemas.openxmlformats.org/markup-compatibility/2006">
          <mc:Choice Requires="x14">
            <control shapeId="13158" r:id="rId1824" name="Button 1894">
              <controlPr defaultSize="0" autoFill="0" autoLine="0" autoPict="0" macro="[0]!Sheet1.deleteRow">
                <anchor moveWithCells="1" sizeWithCells="1">
                  <from>
                    <xdr:col>6</xdr:col>
                    <xdr:colOff>0</xdr:colOff>
                    <xdr:row>3168</xdr:row>
                    <xdr:rowOff>0</xdr:rowOff>
                  </from>
                  <to>
                    <xdr:col>7</xdr:col>
                    <xdr:colOff>0</xdr:colOff>
                    <xdr:row>3168</xdr:row>
                    <xdr:rowOff>161925</xdr:rowOff>
                  </to>
                </anchor>
              </controlPr>
            </control>
          </mc:Choice>
        </mc:AlternateContent>
        <mc:AlternateContent xmlns:mc="http://schemas.openxmlformats.org/markup-compatibility/2006">
          <mc:Choice Requires="x14">
            <control shapeId="13157" r:id="rId1825" name="Button 1893">
              <controlPr defaultSize="0" autoFill="0" autoLine="0" autoPict="0" macro="[0]!Sheet1.deleteRow">
                <anchor moveWithCells="1" sizeWithCells="1">
                  <from>
                    <xdr:col>6</xdr:col>
                    <xdr:colOff>0</xdr:colOff>
                    <xdr:row>3169</xdr:row>
                    <xdr:rowOff>0</xdr:rowOff>
                  </from>
                  <to>
                    <xdr:col>7</xdr:col>
                    <xdr:colOff>0</xdr:colOff>
                    <xdr:row>3169</xdr:row>
                    <xdr:rowOff>161925</xdr:rowOff>
                  </to>
                </anchor>
              </controlPr>
            </control>
          </mc:Choice>
        </mc:AlternateContent>
        <mc:AlternateContent xmlns:mc="http://schemas.openxmlformats.org/markup-compatibility/2006">
          <mc:Choice Requires="x14">
            <control shapeId="13156" r:id="rId1826" name="Button 1892">
              <controlPr defaultSize="0" autoFill="0" autoLine="0" autoPict="0" macro="[0]!Sheet1.deleteRow">
                <anchor moveWithCells="1" sizeWithCells="1">
                  <from>
                    <xdr:col>6</xdr:col>
                    <xdr:colOff>0</xdr:colOff>
                    <xdr:row>3170</xdr:row>
                    <xdr:rowOff>0</xdr:rowOff>
                  </from>
                  <to>
                    <xdr:col>7</xdr:col>
                    <xdr:colOff>0</xdr:colOff>
                    <xdr:row>3170</xdr:row>
                    <xdr:rowOff>161925</xdr:rowOff>
                  </to>
                </anchor>
              </controlPr>
            </control>
          </mc:Choice>
        </mc:AlternateContent>
        <mc:AlternateContent xmlns:mc="http://schemas.openxmlformats.org/markup-compatibility/2006">
          <mc:Choice Requires="x14">
            <control shapeId="13155" r:id="rId1827" name="Button 1891">
              <controlPr defaultSize="0" autoFill="0" autoLine="0" autoPict="0" macro="[0]!Sheet1.deleteRow">
                <anchor moveWithCells="1" sizeWithCells="1">
                  <from>
                    <xdr:col>6</xdr:col>
                    <xdr:colOff>0</xdr:colOff>
                    <xdr:row>3171</xdr:row>
                    <xdr:rowOff>0</xdr:rowOff>
                  </from>
                  <to>
                    <xdr:col>7</xdr:col>
                    <xdr:colOff>0</xdr:colOff>
                    <xdr:row>3171</xdr:row>
                    <xdr:rowOff>161925</xdr:rowOff>
                  </to>
                </anchor>
              </controlPr>
            </control>
          </mc:Choice>
        </mc:AlternateContent>
        <mc:AlternateContent xmlns:mc="http://schemas.openxmlformats.org/markup-compatibility/2006">
          <mc:Choice Requires="x14">
            <control shapeId="13154" r:id="rId1828" name="Button 1890">
              <controlPr defaultSize="0" autoFill="0" autoLine="0" autoPict="0" macro="[0]!Sheet1.deleteRow">
                <anchor moveWithCells="1" sizeWithCells="1">
                  <from>
                    <xdr:col>6</xdr:col>
                    <xdr:colOff>0</xdr:colOff>
                    <xdr:row>3172</xdr:row>
                    <xdr:rowOff>0</xdr:rowOff>
                  </from>
                  <to>
                    <xdr:col>7</xdr:col>
                    <xdr:colOff>0</xdr:colOff>
                    <xdr:row>3172</xdr:row>
                    <xdr:rowOff>161925</xdr:rowOff>
                  </to>
                </anchor>
              </controlPr>
            </control>
          </mc:Choice>
        </mc:AlternateContent>
        <mc:AlternateContent xmlns:mc="http://schemas.openxmlformats.org/markup-compatibility/2006">
          <mc:Choice Requires="x14">
            <control shapeId="13153" r:id="rId1829" name="Button 1889">
              <controlPr defaultSize="0" autoFill="0" autoLine="0" autoPict="0" macro="[0]!Sheet1.deleteRow">
                <anchor moveWithCells="1" sizeWithCells="1">
                  <from>
                    <xdr:col>6</xdr:col>
                    <xdr:colOff>0</xdr:colOff>
                    <xdr:row>3173</xdr:row>
                    <xdr:rowOff>0</xdr:rowOff>
                  </from>
                  <to>
                    <xdr:col>7</xdr:col>
                    <xdr:colOff>0</xdr:colOff>
                    <xdr:row>3173</xdr:row>
                    <xdr:rowOff>161925</xdr:rowOff>
                  </to>
                </anchor>
              </controlPr>
            </control>
          </mc:Choice>
        </mc:AlternateContent>
        <mc:AlternateContent xmlns:mc="http://schemas.openxmlformats.org/markup-compatibility/2006">
          <mc:Choice Requires="x14">
            <control shapeId="13152" r:id="rId1830" name="Button 1888">
              <controlPr defaultSize="0" autoFill="0" autoLine="0" autoPict="0" macro="[0]!Sheet1.deleteRow">
                <anchor moveWithCells="1" sizeWithCells="1">
                  <from>
                    <xdr:col>6</xdr:col>
                    <xdr:colOff>0</xdr:colOff>
                    <xdr:row>3174</xdr:row>
                    <xdr:rowOff>0</xdr:rowOff>
                  </from>
                  <to>
                    <xdr:col>7</xdr:col>
                    <xdr:colOff>0</xdr:colOff>
                    <xdr:row>3174</xdr:row>
                    <xdr:rowOff>161925</xdr:rowOff>
                  </to>
                </anchor>
              </controlPr>
            </control>
          </mc:Choice>
        </mc:AlternateContent>
        <mc:AlternateContent xmlns:mc="http://schemas.openxmlformats.org/markup-compatibility/2006">
          <mc:Choice Requires="x14">
            <control shapeId="13151" r:id="rId1831" name="Button 1887">
              <controlPr defaultSize="0" autoFill="0" autoLine="0" autoPict="0" macro="[0]!Sheet1.deleteRow">
                <anchor moveWithCells="1" sizeWithCells="1">
                  <from>
                    <xdr:col>6</xdr:col>
                    <xdr:colOff>0</xdr:colOff>
                    <xdr:row>3175</xdr:row>
                    <xdr:rowOff>0</xdr:rowOff>
                  </from>
                  <to>
                    <xdr:col>7</xdr:col>
                    <xdr:colOff>0</xdr:colOff>
                    <xdr:row>3175</xdr:row>
                    <xdr:rowOff>161925</xdr:rowOff>
                  </to>
                </anchor>
              </controlPr>
            </control>
          </mc:Choice>
        </mc:AlternateContent>
        <mc:AlternateContent xmlns:mc="http://schemas.openxmlformats.org/markup-compatibility/2006">
          <mc:Choice Requires="x14">
            <control shapeId="13150" r:id="rId1832" name="Button 1886">
              <controlPr defaultSize="0" autoFill="0" autoLine="0" autoPict="0" macro="[0]!Sheet1.deleteRow">
                <anchor moveWithCells="1" sizeWithCells="1">
                  <from>
                    <xdr:col>6</xdr:col>
                    <xdr:colOff>0</xdr:colOff>
                    <xdr:row>3176</xdr:row>
                    <xdr:rowOff>0</xdr:rowOff>
                  </from>
                  <to>
                    <xdr:col>7</xdr:col>
                    <xdr:colOff>0</xdr:colOff>
                    <xdr:row>3176</xdr:row>
                    <xdr:rowOff>161925</xdr:rowOff>
                  </to>
                </anchor>
              </controlPr>
            </control>
          </mc:Choice>
        </mc:AlternateContent>
        <mc:AlternateContent xmlns:mc="http://schemas.openxmlformats.org/markup-compatibility/2006">
          <mc:Choice Requires="x14">
            <control shapeId="13149" r:id="rId1833" name="Button 1885">
              <controlPr defaultSize="0" autoFill="0" autoLine="0" autoPict="0" macro="[0]!Sheet1.deleteRow">
                <anchor moveWithCells="1" sizeWithCells="1">
                  <from>
                    <xdr:col>6</xdr:col>
                    <xdr:colOff>0</xdr:colOff>
                    <xdr:row>3177</xdr:row>
                    <xdr:rowOff>0</xdr:rowOff>
                  </from>
                  <to>
                    <xdr:col>7</xdr:col>
                    <xdr:colOff>0</xdr:colOff>
                    <xdr:row>3177</xdr:row>
                    <xdr:rowOff>161925</xdr:rowOff>
                  </to>
                </anchor>
              </controlPr>
            </control>
          </mc:Choice>
        </mc:AlternateContent>
        <mc:AlternateContent xmlns:mc="http://schemas.openxmlformats.org/markup-compatibility/2006">
          <mc:Choice Requires="x14">
            <control shapeId="13148" r:id="rId1834" name="Button 1884">
              <controlPr defaultSize="0" autoFill="0" autoLine="0" autoPict="0" macro="[0]!Sheet1.deleteRow">
                <anchor moveWithCells="1" sizeWithCells="1">
                  <from>
                    <xdr:col>6</xdr:col>
                    <xdr:colOff>0</xdr:colOff>
                    <xdr:row>3178</xdr:row>
                    <xdr:rowOff>0</xdr:rowOff>
                  </from>
                  <to>
                    <xdr:col>7</xdr:col>
                    <xdr:colOff>0</xdr:colOff>
                    <xdr:row>3178</xdr:row>
                    <xdr:rowOff>161925</xdr:rowOff>
                  </to>
                </anchor>
              </controlPr>
            </control>
          </mc:Choice>
        </mc:AlternateContent>
        <mc:AlternateContent xmlns:mc="http://schemas.openxmlformats.org/markup-compatibility/2006">
          <mc:Choice Requires="x14">
            <control shapeId="13147" r:id="rId1835" name="Button 1883">
              <controlPr defaultSize="0" autoFill="0" autoLine="0" autoPict="0" macro="[0]!Sheet1.deleteRow">
                <anchor moveWithCells="1" sizeWithCells="1">
                  <from>
                    <xdr:col>6</xdr:col>
                    <xdr:colOff>0</xdr:colOff>
                    <xdr:row>3179</xdr:row>
                    <xdr:rowOff>0</xdr:rowOff>
                  </from>
                  <to>
                    <xdr:col>7</xdr:col>
                    <xdr:colOff>0</xdr:colOff>
                    <xdr:row>3179</xdr:row>
                    <xdr:rowOff>161925</xdr:rowOff>
                  </to>
                </anchor>
              </controlPr>
            </control>
          </mc:Choice>
        </mc:AlternateContent>
        <mc:AlternateContent xmlns:mc="http://schemas.openxmlformats.org/markup-compatibility/2006">
          <mc:Choice Requires="x14">
            <control shapeId="13146" r:id="rId1836" name="Button 1882">
              <controlPr defaultSize="0" autoFill="0" autoLine="0" autoPict="0" macro="[0]!Sheet1.deleteRow">
                <anchor moveWithCells="1" sizeWithCells="1">
                  <from>
                    <xdr:col>6</xdr:col>
                    <xdr:colOff>0</xdr:colOff>
                    <xdr:row>3180</xdr:row>
                    <xdr:rowOff>0</xdr:rowOff>
                  </from>
                  <to>
                    <xdr:col>7</xdr:col>
                    <xdr:colOff>0</xdr:colOff>
                    <xdr:row>3180</xdr:row>
                    <xdr:rowOff>161925</xdr:rowOff>
                  </to>
                </anchor>
              </controlPr>
            </control>
          </mc:Choice>
        </mc:AlternateContent>
        <mc:AlternateContent xmlns:mc="http://schemas.openxmlformats.org/markup-compatibility/2006">
          <mc:Choice Requires="x14">
            <control shapeId="13145" r:id="rId1837" name="Button 1881">
              <controlPr defaultSize="0" autoFill="0" autoLine="0" autoPict="0" macro="[0]!Sheet1.deleteRow">
                <anchor moveWithCells="1" sizeWithCells="1">
                  <from>
                    <xdr:col>6</xdr:col>
                    <xdr:colOff>0</xdr:colOff>
                    <xdr:row>3181</xdr:row>
                    <xdr:rowOff>0</xdr:rowOff>
                  </from>
                  <to>
                    <xdr:col>7</xdr:col>
                    <xdr:colOff>0</xdr:colOff>
                    <xdr:row>3181</xdr:row>
                    <xdr:rowOff>161925</xdr:rowOff>
                  </to>
                </anchor>
              </controlPr>
            </control>
          </mc:Choice>
        </mc:AlternateContent>
        <mc:AlternateContent xmlns:mc="http://schemas.openxmlformats.org/markup-compatibility/2006">
          <mc:Choice Requires="x14">
            <control shapeId="13144" r:id="rId1838" name="Button 1880">
              <controlPr defaultSize="0" autoFill="0" autoLine="0" autoPict="0" macro="[0]!Sheet1.deleteRow">
                <anchor moveWithCells="1" sizeWithCells="1">
                  <from>
                    <xdr:col>6</xdr:col>
                    <xdr:colOff>0</xdr:colOff>
                    <xdr:row>3182</xdr:row>
                    <xdr:rowOff>0</xdr:rowOff>
                  </from>
                  <to>
                    <xdr:col>7</xdr:col>
                    <xdr:colOff>0</xdr:colOff>
                    <xdr:row>3182</xdr:row>
                    <xdr:rowOff>161925</xdr:rowOff>
                  </to>
                </anchor>
              </controlPr>
            </control>
          </mc:Choice>
        </mc:AlternateContent>
        <mc:AlternateContent xmlns:mc="http://schemas.openxmlformats.org/markup-compatibility/2006">
          <mc:Choice Requires="x14">
            <control shapeId="13143" r:id="rId1839" name="Button 1879">
              <controlPr defaultSize="0" autoFill="0" autoLine="0" autoPict="0" macro="[0]!Sheet1.deleteRow">
                <anchor moveWithCells="1" sizeWithCells="1">
                  <from>
                    <xdr:col>6</xdr:col>
                    <xdr:colOff>0</xdr:colOff>
                    <xdr:row>3183</xdr:row>
                    <xdr:rowOff>0</xdr:rowOff>
                  </from>
                  <to>
                    <xdr:col>7</xdr:col>
                    <xdr:colOff>0</xdr:colOff>
                    <xdr:row>3183</xdr:row>
                    <xdr:rowOff>161925</xdr:rowOff>
                  </to>
                </anchor>
              </controlPr>
            </control>
          </mc:Choice>
        </mc:AlternateContent>
        <mc:AlternateContent xmlns:mc="http://schemas.openxmlformats.org/markup-compatibility/2006">
          <mc:Choice Requires="x14">
            <control shapeId="13142" r:id="rId1840" name="Button 1878">
              <controlPr defaultSize="0" autoFill="0" autoLine="0" autoPict="0" macro="[0]!Sheet1.deleteRow">
                <anchor moveWithCells="1" sizeWithCells="1">
                  <from>
                    <xdr:col>6</xdr:col>
                    <xdr:colOff>0</xdr:colOff>
                    <xdr:row>3184</xdr:row>
                    <xdr:rowOff>0</xdr:rowOff>
                  </from>
                  <to>
                    <xdr:col>7</xdr:col>
                    <xdr:colOff>0</xdr:colOff>
                    <xdr:row>3184</xdr:row>
                    <xdr:rowOff>161925</xdr:rowOff>
                  </to>
                </anchor>
              </controlPr>
            </control>
          </mc:Choice>
        </mc:AlternateContent>
        <mc:AlternateContent xmlns:mc="http://schemas.openxmlformats.org/markup-compatibility/2006">
          <mc:Choice Requires="x14">
            <control shapeId="13141" r:id="rId1841" name="Button 1877">
              <controlPr defaultSize="0" autoFill="0" autoLine="0" autoPict="0" macro="[0]!Sheet1.deleteRow">
                <anchor moveWithCells="1" sizeWithCells="1">
                  <from>
                    <xdr:col>6</xdr:col>
                    <xdr:colOff>0</xdr:colOff>
                    <xdr:row>3185</xdr:row>
                    <xdr:rowOff>0</xdr:rowOff>
                  </from>
                  <to>
                    <xdr:col>7</xdr:col>
                    <xdr:colOff>0</xdr:colOff>
                    <xdr:row>3185</xdr:row>
                    <xdr:rowOff>161925</xdr:rowOff>
                  </to>
                </anchor>
              </controlPr>
            </control>
          </mc:Choice>
        </mc:AlternateContent>
        <mc:AlternateContent xmlns:mc="http://schemas.openxmlformats.org/markup-compatibility/2006">
          <mc:Choice Requires="x14">
            <control shapeId="13140" r:id="rId1842" name="Button 1876">
              <controlPr defaultSize="0" autoFill="0" autoLine="0" autoPict="0" macro="[0]!Sheet1.deleteRow">
                <anchor moveWithCells="1" sizeWithCells="1">
                  <from>
                    <xdr:col>6</xdr:col>
                    <xdr:colOff>0</xdr:colOff>
                    <xdr:row>3186</xdr:row>
                    <xdr:rowOff>0</xdr:rowOff>
                  </from>
                  <to>
                    <xdr:col>7</xdr:col>
                    <xdr:colOff>0</xdr:colOff>
                    <xdr:row>3186</xdr:row>
                    <xdr:rowOff>161925</xdr:rowOff>
                  </to>
                </anchor>
              </controlPr>
            </control>
          </mc:Choice>
        </mc:AlternateContent>
        <mc:AlternateContent xmlns:mc="http://schemas.openxmlformats.org/markup-compatibility/2006">
          <mc:Choice Requires="x14">
            <control shapeId="13139" r:id="rId1843" name="Button 1875">
              <controlPr defaultSize="0" autoFill="0" autoLine="0" autoPict="0" macro="[0]!Sheet1.deleteRow">
                <anchor moveWithCells="1" sizeWithCells="1">
                  <from>
                    <xdr:col>6</xdr:col>
                    <xdr:colOff>0</xdr:colOff>
                    <xdr:row>3187</xdr:row>
                    <xdr:rowOff>0</xdr:rowOff>
                  </from>
                  <to>
                    <xdr:col>7</xdr:col>
                    <xdr:colOff>0</xdr:colOff>
                    <xdr:row>3187</xdr:row>
                    <xdr:rowOff>161925</xdr:rowOff>
                  </to>
                </anchor>
              </controlPr>
            </control>
          </mc:Choice>
        </mc:AlternateContent>
        <mc:AlternateContent xmlns:mc="http://schemas.openxmlformats.org/markup-compatibility/2006">
          <mc:Choice Requires="x14">
            <control shapeId="13138" r:id="rId1844" name="Button 1874">
              <controlPr defaultSize="0" autoFill="0" autoLine="0" autoPict="0" macro="[0]!Sheet1.deleteRow">
                <anchor moveWithCells="1" sizeWithCells="1">
                  <from>
                    <xdr:col>6</xdr:col>
                    <xdr:colOff>0</xdr:colOff>
                    <xdr:row>3188</xdr:row>
                    <xdr:rowOff>0</xdr:rowOff>
                  </from>
                  <to>
                    <xdr:col>7</xdr:col>
                    <xdr:colOff>0</xdr:colOff>
                    <xdr:row>3188</xdr:row>
                    <xdr:rowOff>161925</xdr:rowOff>
                  </to>
                </anchor>
              </controlPr>
            </control>
          </mc:Choice>
        </mc:AlternateContent>
        <mc:AlternateContent xmlns:mc="http://schemas.openxmlformats.org/markup-compatibility/2006">
          <mc:Choice Requires="x14">
            <control shapeId="13137" r:id="rId1845" name="Button 1873">
              <controlPr defaultSize="0" autoFill="0" autoLine="0" autoPict="0" macro="[0]!Sheet1.deleteRow">
                <anchor moveWithCells="1" sizeWithCells="1">
                  <from>
                    <xdr:col>6</xdr:col>
                    <xdr:colOff>0</xdr:colOff>
                    <xdr:row>3189</xdr:row>
                    <xdr:rowOff>0</xdr:rowOff>
                  </from>
                  <to>
                    <xdr:col>7</xdr:col>
                    <xdr:colOff>0</xdr:colOff>
                    <xdr:row>3189</xdr:row>
                    <xdr:rowOff>161925</xdr:rowOff>
                  </to>
                </anchor>
              </controlPr>
            </control>
          </mc:Choice>
        </mc:AlternateContent>
        <mc:AlternateContent xmlns:mc="http://schemas.openxmlformats.org/markup-compatibility/2006">
          <mc:Choice Requires="x14">
            <control shapeId="13136" r:id="rId1846" name="Button 1872">
              <controlPr defaultSize="0" autoFill="0" autoLine="0" autoPict="0" macro="[0]!Sheet1.deleteRow">
                <anchor moveWithCells="1" sizeWithCells="1">
                  <from>
                    <xdr:col>6</xdr:col>
                    <xdr:colOff>0</xdr:colOff>
                    <xdr:row>3190</xdr:row>
                    <xdr:rowOff>0</xdr:rowOff>
                  </from>
                  <to>
                    <xdr:col>7</xdr:col>
                    <xdr:colOff>0</xdr:colOff>
                    <xdr:row>3190</xdr:row>
                    <xdr:rowOff>161925</xdr:rowOff>
                  </to>
                </anchor>
              </controlPr>
            </control>
          </mc:Choice>
        </mc:AlternateContent>
        <mc:AlternateContent xmlns:mc="http://schemas.openxmlformats.org/markup-compatibility/2006">
          <mc:Choice Requires="x14">
            <control shapeId="13135" r:id="rId1847" name="Button 1871">
              <controlPr defaultSize="0" autoFill="0" autoLine="0" autoPict="0" macro="[0]!Sheet1.deleteRow">
                <anchor moveWithCells="1" sizeWithCells="1">
                  <from>
                    <xdr:col>6</xdr:col>
                    <xdr:colOff>0</xdr:colOff>
                    <xdr:row>3191</xdr:row>
                    <xdr:rowOff>0</xdr:rowOff>
                  </from>
                  <to>
                    <xdr:col>7</xdr:col>
                    <xdr:colOff>0</xdr:colOff>
                    <xdr:row>3191</xdr:row>
                    <xdr:rowOff>161925</xdr:rowOff>
                  </to>
                </anchor>
              </controlPr>
            </control>
          </mc:Choice>
        </mc:AlternateContent>
        <mc:AlternateContent xmlns:mc="http://schemas.openxmlformats.org/markup-compatibility/2006">
          <mc:Choice Requires="x14">
            <control shapeId="13134" r:id="rId1848" name="Button 1870">
              <controlPr defaultSize="0" autoFill="0" autoLine="0" autoPict="0" macro="[0]!Sheet1.deleteRow">
                <anchor moveWithCells="1" sizeWithCells="1">
                  <from>
                    <xdr:col>6</xdr:col>
                    <xdr:colOff>0</xdr:colOff>
                    <xdr:row>3192</xdr:row>
                    <xdr:rowOff>0</xdr:rowOff>
                  </from>
                  <to>
                    <xdr:col>7</xdr:col>
                    <xdr:colOff>0</xdr:colOff>
                    <xdr:row>3192</xdr:row>
                    <xdr:rowOff>161925</xdr:rowOff>
                  </to>
                </anchor>
              </controlPr>
            </control>
          </mc:Choice>
        </mc:AlternateContent>
        <mc:AlternateContent xmlns:mc="http://schemas.openxmlformats.org/markup-compatibility/2006">
          <mc:Choice Requires="x14">
            <control shapeId="13133" r:id="rId1849" name="Button 1869">
              <controlPr defaultSize="0" autoFill="0" autoLine="0" autoPict="0" macro="[0]!Sheet1.deleteRow">
                <anchor moveWithCells="1" sizeWithCells="1">
                  <from>
                    <xdr:col>6</xdr:col>
                    <xdr:colOff>0</xdr:colOff>
                    <xdr:row>3193</xdr:row>
                    <xdr:rowOff>0</xdr:rowOff>
                  </from>
                  <to>
                    <xdr:col>7</xdr:col>
                    <xdr:colOff>0</xdr:colOff>
                    <xdr:row>3193</xdr:row>
                    <xdr:rowOff>161925</xdr:rowOff>
                  </to>
                </anchor>
              </controlPr>
            </control>
          </mc:Choice>
        </mc:AlternateContent>
        <mc:AlternateContent xmlns:mc="http://schemas.openxmlformats.org/markup-compatibility/2006">
          <mc:Choice Requires="x14">
            <control shapeId="13132" r:id="rId1850" name="Button 1868">
              <controlPr defaultSize="0" autoFill="0" autoLine="0" autoPict="0" macro="[0]!Sheet1.deleteRow">
                <anchor moveWithCells="1" sizeWithCells="1">
                  <from>
                    <xdr:col>6</xdr:col>
                    <xdr:colOff>0</xdr:colOff>
                    <xdr:row>3194</xdr:row>
                    <xdr:rowOff>0</xdr:rowOff>
                  </from>
                  <to>
                    <xdr:col>7</xdr:col>
                    <xdr:colOff>0</xdr:colOff>
                    <xdr:row>3194</xdr:row>
                    <xdr:rowOff>161925</xdr:rowOff>
                  </to>
                </anchor>
              </controlPr>
            </control>
          </mc:Choice>
        </mc:AlternateContent>
        <mc:AlternateContent xmlns:mc="http://schemas.openxmlformats.org/markup-compatibility/2006">
          <mc:Choice Requires="x14">
            <control shapeId="13131" r:id="rId1851" name="Button 1867">
              <controlPr defaultSize="0" autoFill="0" autoLine="0" autoPict="0" macro="[0]!Sheet1.deleteRow">
                <anchor moveWithCells="1" sizeWithCells="1">
                  <from>
                    <xdr:col>6</xdr:col>
                    <xdr:colOff>0</xdr:colOff>
                    <xdr:row>3195</xdr:row>
                    <xdr:rowOff>0</xdr:rowOff>
                  </from>
                  <to>
                    <xdr:col>7</xdr:col>
                    <xdr:colOff>0</xdr:colOff>
                    <xdr:row>3195</xdr:row>
                    <xdr:rowOff>161925</xdr:rowOff>
                  </to>
                </anchor>
              </controlPr>
            </control>
          </mc:Choice>
        </mc:AlternateContent>
        <mc:AlternateContent xmlns:mc="http://schemas.openxmlformats.org/markup-compatibility/2006">
          <mc:Choice Requires="x14">
            <control shapeId="13130" r:id="rId1852" name="Button 1866">
              <controlPr defaultSize="0" autoFill="0" autoLine="0" autoPict="0" macro="[0]!Sheet1.deleteRow">
                <anchor moveWithCells="1" sizeWithCells="1">
                  <from>
                    <xdr:col>6</xdr:col>
                    <xdr:colOff>0</xdr:colOff>
                    <xdr:row>3196</xdr:row>
                    <xdr:rowOff>0</xdr:rowOff>
                  </from>
                  <to>
                    <xdr:col>7</xdr:col>
                    <xdr:colOff>0</xdr:colOff>
                    <xdr:row>3196</xdr:row>
                    <xdr:rowOff>161925</xdr:rowOff>
                  </to>
                </anchor>
              </controlPr>
            </control>
          </mc:Choice>
        </mc:AlternateContent>
        <mc:AlternateContent xmlns:mc="http://schemas.openxmlformats.org/markup-compatibility/2006">
          <mc:Choice Requires="x14">
            <control shapeId="13129" r:id="rId1853" name="Button 1865">
              <controlPr defaultSize="0" autoFill="0" autoLine="0" autoPict="0" macro="[0]!Sheet1.deleteRow">
                <anchor moveWithCells="1" sizeWithCells="1">
                  <from>
                    <xdr:col>6</xdr:col>
                    <xdr:colOff>0</xdr:colOff>
                    <xdr:row>3197</xdr:row>
                    <xdr:rowOff>0</xdr:rowOff>
                  </from>
                  <to>
                    <xdr:col>7</xdr:col>
                    <xdr:colOff>0</xdr:colOff>
                    <xdr:row>3197</xdr:row>
                    <xdr:rowOff>161925</xdr:rowOff>
                  </to>
                </anchor>
              </controlPr>
            </control>
          </mc:Choice>
        </mc:AlternateContent>
        <mc:AlternateContent xmlns:mc="http://schemas.openxmlformats.org/markup-compatibility/2006">
          <mc:Choice Requires="x14">
            <control shapeId="13128" r:id="rId1854" name="Button 1864">
              <controlPr defaultSize="0" autoFill="0" autoLine="0" autoPict="0" macro="[0]!Sheet1.deleteRow">
                <anchor moveWithCells="1" sizeWithCells="1">
                  <from>
                    <xdr:col>6</xdr:col>
                    <xdr:colOff>0</xdr:colOff>
                    <xdr:row>3198</xdr:row>
                    <xdr:rowOff>0</xdr:rowOff>
                  </from>
                  <to>
                    <xdr:col>7</xdr:col>
                    <xdr:colOff>0</xdr:colOff>
                    <xdr:row>3198</xdr:row>
                    <xdr:rowOff>161925</xdr:rowOff>
                  </to>
                </anchor>
              </controlPr>
            </control>
          </mc:Choice>
        </mc:AlternateContent>
        <mc:AlternateContent xmlns:mc="http://schemas.openxmlformats.org/markup-compatibility/2006">
          <mc:Choice Requires="x14">
            <control shapeId="13127" r:id="rId1855" name="Button 1863">
              <controlPr defaultSize="0" autoFill="0" autoLine="0" autoPict="0" macro="[0]!Sheet1.deleteRow">
                <anchor moveWithCells="1" sizeWithCells="1">
                  <from>
                    <xdr:col>6</xdr:col>
                    <xdr:colOff>0</xdr:colOff>
                    <xdr:row>3199</xdr:row>
                    <xdr:rowOff>0</xdr:rowOff>
                  </from>
                  <to>
                    <xdr:col>7</xdr:col>
                    <xdr:colOff>0</xdr:colOff>
                    <xdr:row>3199</xdr:row>
                    <xdr:rowOff>161925</xdr:rowOff>
                  </to>
                </anchor>
              </controlPr>
            </control>
          </mc:Choice>
        </mc:AlternateContent>
        <mc:AlternateContent xmlns:mc="http://schemas.openxmlformats.org/markup-compatibility/2006">
          <mc:Choice Requires="x14">
            <control shapeId="13126" r:id="rId1856" name="Button 1862">
              <controlPr defaultSize="0" autoFill="0" autoLine="0" autoPict="0" macro="[0]!Sheet1.deleteRow">
                <anchor moveWithCells="1" sizeWithCells="1">
                  <from>
                    <xdr:col>6</xdr:col>
                    <xdr:colOff>0</xdr:colOff>
                    <xdr:row>3200</xdr:row>
                    <xdr:rowOff>0</xdr:rowOff>
                  </from>
                  <to>
                    <xdr:col>7</xdr:col>
                    <xdr:colOff>0</xdr:colOff>
                    <xdr:row>3200</xdr:row>
                    <xdr:rowOff>161925</xdr:rowOff>
                  </to>
                </anchor>
              </controlPr>
            </control>
          </mc:Choice>
        </mc:AlternateContent>
        <mc:AlternateContent xmlns:mc="http://schemas.openxmlformats.org/markup-compatibility/2006">
          <mc:Choice Requires="x14">
            <control shapeId="13125" r:id="rId1857" name="Button 1861">
              <controlPr defaultSize="0" autoFill="0" autoLine="0" autoPict="0" macro="[0]!Sheet1.deleteRow">
                <anchor moveWithCells="1" sizeWithCells="1">
                  <from>
                    <xdr:col>6</xdr:col>
                    <xdr:colOff>0</xdr:colOff>
                    <xdr:row>3201</xdr:row>
                    <xdr:rowOff>0</xdr:rowOff>
                  </from>
                  <to>
                    <xdr:col>7</xdr:col>
                    <xdr:colOff>0</xdr:colOff>
                    <xdr:row>3201</xdr:row>
                    <xdr:rowOff>161925</xdr:rowOff>
                  </to>
                </anchor>
              </controlPr>
            </control>
          </mc:Choice>
        </mc:AlternateContent>
        <mc:AlternateContent xmlns:mc="http://schemas.openxmlformats.org/markup-compatibility/2006">
          <mc:Choice Requires="x14">
            <control shapeId="13124" r:id="rId1858" name="Button 1860">
              <controlPr defaultSize="0" autoFill="0" autoLine="0" autoPict="0" macro="[0]!Sheet1.deleteRow">
                <anchor moveWithCells="1" sizeWithCells="1">
                  <from>
                    <xdr:col>6</xdr:col>
                    <xdr:colOff>0</xdr:colOff>
                    <xdr:row>3202</xdr:row>
                    <xdr:rowOff>0</xdr:rowOff>
                  </from>
                  <to>
                    <xdr:col>7</xdr:col>
                    <xdr:colOff>0</xdr:colOff>
                    <xdr:row>3202</xdr:row>
                    <xdr:rowOff>161925</xdr:rowOff>
                  </to>
                </anchor>
              </controlPr>
            </control>
          </mc:Choice>
        </mc:AlternateContent>
        <mc:AlternateContent xmlns:mc="http://schemas.openxmlformats.org/markup-compatibility/2006">
          <mc:Choice Requires="x14">
            <control shapeId="13123" r:id="rId1859" name="Button 1859">
              <controlPr defaultSize="0" autoFill="0" autoLine="0" autoPict="0" macro="[0]!Sheet1.deleteRow">
                <anchor moveWithCells="1" sizeWithCells="1">
                  <from>
                    <xdr:col>6</xdr:col>
                    <xdr:colOff>0</xdr:colOff>
                    <xdr:row>3203</xdr:row>
                    <xdr:rowOff>0</xdr:rowOff>
                  </from>
                  <to>
                    <xdr:col>7</xdr:col>
                    <xdr:colOff>0</xdr:colOff>
                    <xdr:row>3203</xdr:row>
                    <xdr:rowOff>161925</xdr:rowOff>
                  </to>
                </anchor>
              </controlPr>
            </control>
          </mc:Choice>
        </mc:AlternateContent>
        <mc:AlternateContent xmlns:mc="http://schemas.openxmlformats.org/markup-compatibility/2006">
          <mc:Choice Requires="x14">
            <control shapeId="13122" r:id="rId1860" name="Button 1858">
              <controlPr defaultSize="0" autoFill="0" autoLine="0" autoPict="0" macro="[0]!Sheet1.deleteRow">
                <anchor moveWithCells="1" sizeWithCells="1">
                  <from>
                    <xdr:col>6</xdr:col>
                    <xdr:colOff>0</xdr:colOff>
                    <xdr:row>3204</xdr:row>
                    <xdr:rowOff>0</xdr:rowOff>
                  </from>
                  <to>
                    <xdr:col>7</xdr:col>
                    <xdr:colOff>0</xdr:colOff>
                    <xdr:row>3204</xdr:row>
                    <xdr:rowOff>161925</xdr:rowOff>
                  </to>
                </anchor>
              </controlPr>
            </control>
          </mc:Choice>
        </mc:AlternateContent>
        <mc:AlternateContent xmlns:mc="http://schemas.openxmlformats.org/markup-compatibility/2006">
          <mc:Choice Requires="x14">
            <control shapeId="13121" r:id="rId1861" name="Button 1857">
              <controlPr defaultSize="0" autoFill="0" autoLine="0" autoPict="0" macro="[0]!Sheet1.deleteProcedure">
                <anchor moveWithCells="1" sizeWithCells="1">
                  <from>
                    <xdr:col>6</xdr:col>
                    <xdr:colOff>0</xdr:colOff>
                    <xdr:row>3207</xdr:row>
                    <xdr:rowOff>0</xdr:rowOff>
                  </from>
                  <to>
                    <xdr:col>7</xdr:col>
                    <xdr:colOff>0</xdr:colOff>
                    <xdr:row>3208</xdr:row>
                    <xdr:rowOff>0</xdr:rowOff>
                  </to>
                </anchor>
              </controlPr>
            </control>
          </mc:Choice>
        </mc:AlternateContent>
        <mc:AlternateContent xmlns:mc="http://schemas.openxmlformats.org/markup-compatibility/2006">
          <mc:Choice Requires="x14">
            <control shapeId="13120" r:id="rId1862" name="Button 1856">
              <controlPr defaultSize="0" autoFill="0" autoLine="0" autoPict="0" macro="[0]!Sheet1.InsertNewTableRow">
                <anchor moveWithCells="1" sizeWithCells="1">
                  <from>
                    <xdr:col>6</xdr:col>
                    <xdr:colOff>0</xdr:colOff>
                    <xdr:row>3214</xdr:row>
                    <xdr:rowOff>0</xdr:rowOff>
                  </from>
                  <to>
                    <xdr:col>7</xdr:col>
                    <xdr:colOff>0</xdr:colOff>
                    <xdr:row>3214</xdr:row>
                    <xdr:rowOff>38100</xdr:rowOff>
                  </to>
                </anchor>
              </controlPr>
            </control>
          </mc:Choice>
        </mc:AlternateContent>
        <mc:AlternateContent xmlns:mc="http://schemas.openxmlformats.org/markup-compatibility/2006">
          <mc:Choice Requires="x14">
            <control shapeId="13119" r:id="rId1863" name="Button 1855">
              <controlPr defaultSize="0" autoFill="0" autoLine="0" autoPict="0" macro="[0]!Sheet1.deleteRow">
                <anchor moveWithCells="1" sizeWithCells="1">
                  <from>
                    <xdr:col>6</xdr:col>
                    <xdr:colOff>0</xdr:colOff>
                    <xdr:row>3215</xdr:row>
                    <xdr:rowOff>0</xdr:rowOff>
                  </from>
                  <to>
                    <xdr:col>7</xdr:col>
                    <xdr:colOff>0</xdr:colOff>
                    <xdr:row>3215</xdr:row>
                    <xdr:rowOff>161925</xdr:rowOff>
                  </to>
                </anchor>
              </controlPr>
            </control>
          </mc:Choice>
        </mc:AlternateContent>
        <mc:AlternateContent xmlns:mc="http://schemas.openxmlformats.org/markup-compatibility/2006">
          <mc:Choice Requires="x14">
            <control shapeId="13118" r:id="rId1864" name="Button 1854">
              <controlPr defaultSize="0" autoFill="0" autoLine="0" autoPict="0" macro="[0]!Sheet1.deleteRow">
                <anchor moveWithCells="1" sizeWithCells="1">
                  <from>
                    <xdr:col>6</xdr:col>
                    <xdr:colOff>0</xdr:colOff>
                    <xdr:row>3216</xdr:row>
                    <xdr:rowOff>0</xdr:rowOff>
                  </from>
                  <to>
                    <xdr:col>7</xdr:col>
                    <xdr:colOff>0</xdr:colOff>
                    <xdr:row>3216</xdr:row>
                    <xdr:rowOff>161925</xdr:rowOff>
                  </to>
                </anchor>
              </controlPr>
            </control>
          </mc:Choice>
        </mc:AlternateContent>
        <mc:AlternateContent xmlns:mc="http://schemas.openxmlformats.org/markup-compatibility/2006">
          <mc:Choice Requires="x14">
            <control shapeId="13117" r:id="rId1865" name="Button 1853">
              <controlPr defaultSize="0" autoFill="0" autoLine="0" autoPict="0" macro="[0]!Sheet1.deleteProcedure">
                <anchor moveWithCells="1" sizeWithCells="1">
                  <from>
                    <xdr:col>6</xdr:col>
                    <xdr:colOff>0</xdr:colOff>
                    <xdr:row>3219</xdr:row>
                    <xdr:rowOff>0</xdr:rowOff>
                  </from>
                  <to>
                    <xdr:col>7</xdr:col>
                    <xdr:colOff>0</xdr:colOff>
                    <xdr:row>3220</xdr:row>
                    <xdr:rowOff>0</xdr:rowOff>
                  </to>
                </anchor>
              </controlPr>
            </control>
          </mc:Choice>
        </mc:AlternateContent>
        <mc:AlternateContent xmlns:mc="http://schemas.openxmlformats.org/markup-compatibility/2006">
          <mc:Choice Requires="x14">
            <control shapeId="13116" r:id="rId1866" name="Button 1852">
              <controlPr defaultSize="0" autoFill="0" autoLine="0" autoPict="0" macro="[0]!Sheet1.InsertNewTableRow">
                <anchor moveWithCells="1" sizeWithCells="1">
                  <from>
                    <xdr:col>6</xdr:col>
                    <xdr:colOff>0</xdr:colOff>
                    <xdr:row>3226</xdr:row>
                    <xdr:rowOff>0</xdr:rowOff>
                  </from>
                  <to>
                    <xdr:col>7</xdr:col>
                    <xdr:colOff>0</xdr:colOff>
                    <xdr:row>3226</xdr:row>
                    <xdr:rowOff>38100</xdr:rowOff>
                  </to>
                </anchor>
              </controlPr>
            </control>
          </mc:Choice>
        </mc:AlternateContent>
        <mc:AlternateContent xmlns:mc="http://schemas.openxmlformats.org/markup-compatibility/2006">
          <mc:Choice Requires="x14">
            <control shapeId="13115" r:id="rId1867" name="Button 1851">
              <controlPr defaultSize="0" autoFill="0" autoLine="0" autoPict="0" macro="[0]!Sheet1.deleteRow">
                <anchor moveWithCells="1" sizeWithCells="1">
                  <from>
                    <xdr:col>6</xdr:col>
                    <xdr:colOff>0</xdr:colOff>
                    <xdr:row>3227</xdr:row>
                    <xdr:rowOff>0</xdr:rowOff>
                  </from>
                  <to>
                    <xdr:col>7</xdr:col>
                    <xdr:colOff>0</xdr:colOff>
                    <xdr:row>3227</xdr:row>
                    <xdr:rowOff>161925</xdr:rowOff>
                  </to>
                </anchor>
              </controlPr>
            </control>
          </mc:Choice>
        </mc:AlternateContent>
        <mc:AlternateContent xmlns:mc="http://schemas.openxmlformats.org/markup-compatibility/2006">
          <mc:Choice Requires="x14">
            <control shapeId="13114" r:id="rId1868" name="Button 1850">
              <controlPr defaultSize="0" autoFill="0" autoLine="0" autoPict="0" macro="[0]!Sheet1.deleteRow">
                <anchor moveWithCells="1" sizeWithCells="1">
                  <from>
                    <xdr:col>6</xdr:col>
                    <xdr:colOff>0</xdr:colOff>
                    <xdr:row>3228</xdr:row>
                    <xdr:rowOff>0</xdr:rowOff>
                  </from>
                  <to>
                    <xdr:col>7</xdr:col>
                    <xdr:colOff>0</xdr:colOff>
                    <xdr:row>3228</xdr:row>
                    <xdr:rowOff>161925</xdr:rowOff>
                  </to>
                </anchor>
              </controlPr>
            </control>
          </mc:Choice>
        </mc:AlternateContent>
        <mc:AlternateContent xmlns:mc="http://schemas.openxmlformats.org/markup-compatibility/2006">
          <mc:Choice Requires="x14">
            <control shapeId="13113" r:id="rId1869" name="Button 1849">
              <controlPr defaultSize="0" autoFill="0" autoLine="0" autoPict="0" macro="[0]!Sheet1.deleteRow">
                <anchor moveWithCells="1" sizeWithCells="1">
                  <from>
                    <xdr:col>6</xdr:col>
                    <xdr:colOff>0</xdr:colOff>
                    <xdr:row>3229</xdr:row>
                    <xdr:rowOff>0</xdr:rowOff>
                  </from>
                  <to>
                    <xdr:col>7</xdr:col>
                    <xdr:colOff>0</xdr:colOff>
                    <xdr:row>3229</xdr:row>
                    <xdr:rowOff>161925</xdr:rowOff>
                  </to>
                </anchor>
              </controlPr>
            </control>
          </mc:Choice>
        </mc:AlternateContent>
        <mc:AlternateContent xmlns:mc="http://schemas.openxmlformats.org/markup-compatibility/2006">
          <mc:Choice Requires="x14">
            <control shapeId="13112" r:id="rId1870" name="Button 1848">
              <controlPr defaultSize="0" autoFill="0" autoLine="0" autoPict="0" macro="[0]!Sheet1.deleteProcedure">
                <anchor moveWithCells="1" sizeWithCells="1">
                  <from>
                    <xdr:col>6</xdr:col>
                    <xdr:colOff>0</xdr:colOff>
                    <xdr:row>3232</xdr:row>
                    <xdr:rowOff>0</xdr:rowOff>
                  </from>
                  <to>
                    <xdr:col>7</xdr:col>
                    <xdr:colOff>0</xdr:colOff>
                    <xdr:row>3233</xdr:row>
                    <xdr:rowOff>0</xdr:rowOff>
                  </to>
                </anchor>
              </controlPr>
            </control>
          </mc:Choice>
        </mc:AlternateContent>
        <mc:AlternateContent xmlns:mc="http://schemas.openxmlformats.org/markup-compatibility/2006">
          <mc:Choice Requires="x14">
            <control shapeId="13111" r:id="rId1871" name="Button 1847">
              <controlPr defaultSize="0" autoFill="0" autoLine="0" autoPict="0" macro="[0]!Sheet1.InsertNewTableRow">
                <anchor moveWithCells="1" sizeWithCells="1">
                  <from>
                    <xdr:col>6</xdr:col>
                    <xdr:colOff>0</xdr:colOff>
                    <xdr:row>3239</xdr:row>
                    <xdr:rowOff>0</xdr:rowOff>
                  </from>
                  <to>
                    <xdr:col>7</xdr:col>
                    <xdr:colOff>0</xdr:colOff>
                    <xdr:row>3239</xdr:row>
                    <xdr:rowOff>38100</xdr:rowOff>
                  </to>
                </anchor>
              </controlPr>
            </control>
          </mc:Choice>
        </mc:AlternateContent>
        <mc:AlternateContent xmlns:mc="http://schemas.openxmlformats.org/markup-compatibility/2006">
          <mc:Choice Requires="x14">
            <control shapeId="13110" r:id="rId1872" name="Button 1846">
              <controlPr defaultSize="0" autoFill="0" autoLine="0" autoPict="0" macro="[0]!Sheet1.deleteRow">
                <anchor moveWithCells="1" sizeWithCells="1">
                  <from>
                    <xdr:col>6</xdr:col>
                    <xdr:colOff>0</xdr:colOff>
                    <xdr:row>3240</xdr:row>
                    <xdr:rowOff>0</xdr:rowOff>
                  </from>
                  <to>
                    <xdr:col>7</xdr:col>
                    <xdr:colOff>0</xdr:colOff>
                    <xdr:row>3240</xdr:row>
                    <xdr:rowOff>161925</xdr:rowOff>
                  </to>
                </anchor>
              </controlPr>
            </control>
          </mc:Choice>
        </mc:AlternateContent>
        <mc:AlternateContent xmlns:mc="http://schemas.openxmlformats.org/markup-compatibility/2006">
          <mc:Choice Requires="x14">
            <control shapeId="13109" r:id="rId1873" name="Button 1845">
              <controlPr defaultSize="0" autoFill="0" autoLine="0" autoPict="0" macro="[0]!Sheet1.deleteProcedure">
                <anchor moveWithCells="1" sizeWithCells="1">
                  <from>
                    <xdr:col>6</xdr:col>
                    <xdr:colOff>0</xdr:colOff>
                    <xdr:row>3243</xdr:row>
                    <xdr:rowOff>0</xdr:rowOff>
                  </from>
                  <to>
                    <xdr:col>7</xdr:col>
                    <xdr:colOff>0</xdr:colOff>
                    <xdr:row>3244</xdr:row>
                    <xdr:rowOff>0</xdr:rowOff>
                  </to>
                </anchor>
              </controlPr>
            </control>
          </mc:Choice>
        </mc:AlternateContent>
        <mc:AlternateContent xmlns:mc="http://schemas.openxmlformats.org/markup-compatibility/2006">
          <mc:Choice Requires="x14">
            <control shapeId="13108" r:id="rId1874" name="Button 1844">
              <controlPr defaultSize="0" autoFill="0" autoLine="0" autoPict="0" macro="[0]!Sheet1.InsertNewTableRow">
                <anchor moveWithCells="1" sizeWithCells="1">
                  <from>
                    <xdr:col>6</xdr:col>
                    <xdr:colOff>0</xdr:colOff>
                    <xdr:row>3250</xdr:row>
                    <xdr:rowOff>0</xdr:rowOff>
                  </from>
                  <to>
                    <xdr:col>7</xdr:col>
                    <xdr:colOff>0</xdr:colOff>
                    <xdr:row>3250</xdr:row>
                    <xdr:rowOff>38100</xdr:rowOff>
                  </to>
                </anchor>
              </controlPr>
            </control>
          </mc:Choice>
        </mc:AlternateContent>
        <mc:AlternateContent xmlns:mc="http://schemas.openxmlformats.org/markup-compatibility/2006">
          <mc:Choice Requires="x14">
            <control shapeId="13107" r:id="rId1875" name="Button 1843">
              <controlPr defaultSize="0" autoFill="0" autoLine="0" autoPict="0" macro="[0]!Sheet1.deleteRow">
                <anchor moveWithCells="1" sizeWithCells="1">
                  <from>
                    <xdr:col>6</xdr:col>
                    <xdr:colOff>0</xdr:colOff>
                    <xdr:row>3251</xdr:row>
                    <xdr:rowOff>0</xdr:rowOff>
                  </from>
                  <to>
                    <xdr:col>7</xdr:col>
                    <xdr:colOff>0</xdr:colOff>
                    <xdr:row>3251</xdr:row>
                    <xdr:rowOff>161925</xdr:rowOff>
                  </to>
                </anchor>
              </controlPr>
            </control>
          </mc:Choice>
        </mc:AlternateContent>
        <mc:AlternateContent xmlns:mc="http://schemas.openxmlformats.org/markup-compatibility/2006">
          <mc:Choice Requires="x14">
            <control shapeId="13106" r:id="rId1876" name="Button 1842">
              <controlPr defaultSize="0" autoFill="0" autoLine="0" autoPict="0" macro="[0]!Sheet1.deleteRow">
                <anchor moveWithCells="1" sizeWithCells="1">
                  <from>
                    <xdr:col>6</xdr:col>
                    <xdr:colOff>0</xdr:colOff>
                    <xdr:row>3252</xdr:row>
                    <xdr:rowOff>0</xdr:rowOff>
                  </from>
                  <to>
                    <xdr:col>7</xdr:col>
                    <xdr:colOff>0</xdr:colOff>
                    <xdr:row>3252</xdr:row>
                    <xdr:rowOff>161925</xdr:rowOff>
                  </to>
                </anchor>
              </controlPr>
            </control>
          </mc:Choice>
        </mc:AlternateContent>
        <mc:AlternateContent xmlns:mc="http://schemas.openxmlformats.org/markup-compatibility/2006">
          <mc:Choice Requires="x14">
            <control shapeId="13105" r:id="rId1877" name="Button 1841">
              <controlPr defaultSize="0" autoFill="0" autoLine="0" autoPict="0" macro="[0]!Sheet1.deleteRow">
                <anchor moveWithCells="1" sizeWithCells="1">
                  <from>
                    <xdr:col>6</xdr:col>
                    <xdr:colOff>0</xdr:colOff>
                    <xdr:row>3253</xdr:row>
                    <xdr:rowOff>0</xdr:rowOff>
                  </from>
                  <to>
                    <xdr:col>7</xdr:col>
                    <xdr:colOff>0</xdr:colOff>
                    <xdr:row>3253</xdr:row>
                    <xdr:rowOff>161925</xdr:rowOff>
                  </to>
                </anchor>
              </controlPr>
            </control>
          </mc:Choice>
        </mc:AlternateContent>
        <mc:AlternateContent xmlns:mc="http://schemas.openxmlformats.org/markup-compatibility/2006">
          <mc:Choice Requires="x14">
            <control shapeId="13104" r:id="rId1878" name="Button 1840">
              <controlPr defaultSize="0" autoFill="0" autoLine="0" autoPict="0" macro="[0]!Sheet1.deleteRow">
                <anchor moveWithCells="1" sizeWithCells="1">
                  <from>
                    <xdr:col>6</xdr:col>
                    <xdr:colOff>0</xdr:colOff>
                    <xdr:row>3254</xdr:row>
                    <xdr:rowOff>0</xdr:rowOff>
                  </from>
                  <to>
                    <xdr:col>7</xdr:col>
                    <xdr:colOff>0</xdr:colOff>
                    <xdr:row>3254</xdr:row>
                    <xdr:rowOff>161925</xdr:rowOff>
                  </to>
                </anchor>
              </controlPr>
            </control>
          </mc:Choice>
        </mc:AlternateContent>
        <mc:AlternateContent xmlns:mc="http://schemas.openxmlformats.org/markup-compatibility/2006">
          <mc:Choice Requires="x14">
            <control shapeId="13103" r:id="rId1879" name="Button 1839">
              <controlPr defaultSize="0" autoFill="0" autoLine="0" autoPict="0" macro="[0]!Sheet1.deleteRow">
                <anchor moveWithCells="1" sizeWithCells="1">
                  <from>
                    <xdr:col>6</xdr:col>
                    <xdr:colOff>0</xdr:colOff>
                    <xdr:row>3255</xdr:row>
                    <xdr:rowOff>0</xdr:rowOff>
                  </from>
                  <to>
                    <xdr:col>7</xdr:col>
                    <xdr:colOff>0</xdr:colOff>
                    <xdr:row>3255</xdr:row>
                    <xdr:rowOff>161925</xdr:rowOff>
                  </to>
                </anchor>
              </controlPr>
            </control>
          </mc:Choice>
        </mc:AlternateContent>
        <mc:AlternateContent xmlns:mc="http://schemas.openxmlformats.org/markup-compatibility/2006">
          <mc:Choice Requires="x14">
            <control shapeId="13102" r:id="rId1880" name="Button 1838">
              <controlPr defaultSize="0" autoFill="0" autoLine="0" autoPict="0" macro="[0]!Sheet1.deleteRow">
                <anchor moveWithCells="1" sizeWithCells="1">
                  <from>
                    <xdr:col>6</xdr:col>
                    <xdr:colOff>0</xdr:colOff>
                    <xdr:row>3256</xdr:row>
                    <xdr:rowOff>0</xdr:rowOff>
                  </from>
                  <to>
                    <xdr:col>7</xdr:col>
                    <xdr:colOff>0</xdr:colOff>
                    <xdr:row>3256</xdr:row>
                    <xdr:rowOff>161925</xdr:rowOff>
                  </to>
                </anchor>
              </controlPr>
            </control>
          </mc:Choice>
        </mc:AlternateContent>
        <mc:AlternateContent xmlns:mc="http://schemas.openxmlformats.org/markup-compatibility/2006">
          <mc:Choice Requires="x14">
            <control shapeId="13101" r:id="rId1881" name="Button 1837">
              <controlPr defaultSize="0" autoFill="0" autoLine="0" autoPict="0" macro="[0]!Sheet1.deleteRow">
                <anchor moveWithCells="1" sizeWithCells="1">
                  <from>
                    <xdr:col>6</xdr:col>
                    <xdr:colOff>0</xdr:colOff>
                    <xdr:row>3257</xdr:row>
                    <xdr:rowOff>0</xdr:rowOff>
                  </from>
                  <to>
                    <xdr:col>7</xdr:col>
                    <xdr:colOff>0</xdr:colOff>
                    <xdr:row>3257</xdr:row>
                    <xdr:rowOff>161925</xdr:rowOff>
                  </to>
                </anchor>
              </controlPr>
            </control>
          </mc:Choice>
        </mc:AlternateContent>
        <mc:AlternateContent xmlns:mc="http://schemas.openxmlformats.org/markup-compatibility/2006">
          <mc:Choice Requires="x14">
            <control shapeId="13100" r:id="rId1882" name="Button 1836">
              <controlPr defaultSize="0" autoFill="0" autoLine="0" autoPict="0" macro="[0]!Sheet1.deleteRow">
                <anchor moveWithCells="1" sizeWithCells="1">
                  <from>
                    <xdr:col>6</xdr:col>
                    <xdr:colOff>0</xdr:colOff>
                    <xdr:row>3258</xdr:row>
                    <xdr:rowOff>0</xdr:rowOff>
                  </from>
                  <to>
                    <xdr:col>7</xdr:col>
                    <xdr:colOff>0</xdr:colOff>
                    <xdr:row>3258</xdr:row>
                    <xdr:rowOff>161925</xdr:rowOff>
                  </to>
                </anchor>
              </controlPr>
            </control>
          </mc:Choice>
        </mc:AlternateContent>
        <mc:AlternateContent xmlns:mc="http://schemas.openxmlformats.org/markup-compatibility/2006">
          <mc:Choice Requires="x14">
            <control shapeId="13099" r:id="rId1883" name="Button 1835">
              <controlPr defaultSize="0" autoFill="0" autoLine="0" autoPict="0" macro="[0]!Sheet1.deleteRow">
                <anchor moveWithCells="1" sizeWithCells="1">
                  <from>
                    <xdr:col>6</xdr:col>
                    <xdr:colOff>0</xdr:colOff>
                    <xdr:row>3259</xdr:row>
                    <xdr:rowOff>0</xdr:rowOff>
                  </from>
                  <to>
                    <xdr:col>7</xdr:col>
                    <xdr:colOff>0</xdr:colOff>
                    <xdr:row>3259</xdr:row>
                    <xdr:rowOff>161925</xdr:rowOff>
                  </to>
                </anchor>
              </controlPr>
            </control>
          </mc:Choice>
        </mc:AlternateContent>
        <mc:AlternateContent xmlns:mc="http://schemas.openxmlformats.org/markup-compatibility/2006">
          <mc:Choice Requires="x14">
            <control shapeId="13098" r:id="rId1884" name="Button 1834">
              <controlPr defaultSize="0" autoFill="0" autoLine="0" autoPict="0" macro="[0]!Sheet1.deleteRow">
                <anchor moveWithCells="1" sizeWithCells="1">
                  <from>
                    <xdr:col>6</xdr:col>
                    <xdr:colOff>0</xdr:colOff>
                    <xdr:row>3260</xdr:row>
                    <xdr:rowOff>0</xdr:rowOff>
                  </from>
                  <to>
                    <xdr:col>7</xdr:col>
                    <xdr:colOff>0</xdr:colOff>
                    <xdr:row>3260</xdr:row>
                    <xdr:rowOff>161925</xdr:rowOff>
                  </to>
                </anchor>
              </controlPr>
            </control>
          </mc:Choice>
        </mc:AlternateContent>
        <mc:AlternateContent xmlns:mc="http://schemas.openxmlformats.org/markup-compatibility/2006">
          <mc:Choice Requires="x14">
            <control shapeId="13097" r:id="rId1885" name="Button 1833">
              <controlPr defaultSize="0" autoFill="0" autoLine="0" autoPict="0" macro="[0]!Sheet1.deleteRow">
                <anchor moveWithCells="1" sizeWithCells="1">
                  <from>
                    <xdr:col>6</xdr:col>
                    <xdr:colOff>0</xdr:colOff>
                    <xdr:row>3261</xdr:row>
                    <xdr:rowOff>0</xdr:rowOff>
                  </from>
                  <to>
                    <xdr:col>7</xdr:col>
                    <xdr:colOff>0</xdr:colOff>
                    <xdr:row>3261</xdr:row>
                    <xdr:rowOff>161925</xdr:rowOff>
                  </to>
                </anchor>
              </controlPr>
            </control>
          </mc:Choice>
        </mc:AlternateContent>
        <mc:AlternateContent xmlns:mc="http://schemas.openxmlformats.org/markup-compatibility/2006">
          <mc:Choice Requires="x14">
            <control shapeId="13096" r:id="rId1886" name="Button 1832">
              <controlPr defaultSize="0" autoFill="0" autoLine="0" autoPict="0" macro="[0]!Sheet1.deleteRow">
                <anchor moveWithCells="1" sizeWithCells="1">
                  <from>
                    <xdr:col>6</xdr:col>
                    <xdr:colOff>0</xdr:colOff>
                    <xdr:row>3262</xdr:row>
                    <xdr:rowOff>0</xdr:rowOff>
                  </from>
                  <to>
                    <xdr:col>7</xdr:col>
                    <xdr:colOff>0</xdr:colOff>
                    <xdr:row>3262</xdr:row>
                    <xdr:rowOff>161925</xdr:rowOff>
                  </to>
                </anchor>
              </controlPr>
            </control>
          </mc:Choice>
        </mc:AlternateContent>
        <mc:AlternateContent xmlns:mc="http://schemas.openxmlformats.org/markup-compatibility/2006">
          <mc:Choice Requires="x14">
            <control shapeId="13095" r:id="rId1887" name="Button 1831">
              <controlPr defaultSize="0" autoFill="0" autoLine="0" autoPict="0" macro="[0]!Sheet1.deleteProcedure">
                <anchor moveWithCells="1" sizeWithCells="1">
                  <from>
                    <xdr:col>6</xdr:col>
                    <xdr:colOff>0</xdr:colOff>
                    <xdr:row>3265</xdr:row>
                    <xdr:rowOff>0</xdr:rowOff>
                  </from>
                  <to>
                    <xdr:col>7</xdr:col>
                    <xdr:colOff>0</xdr:colOff>
                    <xdr:row>3266</xdr:row>
                    <xdr:rowOff>0</xdr:rowOff>
                  </to>
                </anchor>
              </controlPr>
            </control>
          </mc:Choice>
        </mc:AlternateContent>
        <mc:AlternateContent xmlns:mc="http://schemas.openxmlformats.org/markup-compatibility/2006">
          <mc:Choice Requires="x14">
            <control shapeId="13094" r:id="rId1888" name="Button 1830">
              <controlPr defaultSize="0" autoFill="0" autoLine="0" autoPict="0" macro="[0]!Sheet1.InsertNewTableRow">
                <anchor moveWithCells="1" sizeWithCells="1">
                  <from>
                    <xdr:col>6</xdr:col>
                    <xdr:colOff>0</xdr:colOff>
                    <xdr:row>3272</xdr:row>
                    <xdr:rowOff>0</xdr:rowOff>
                  </from>
                  <to>
                    <xdr:col>7</xdr:col>
                    <xdr:colOff>0</xdr:colOff>
                    <xdr:row>3272</xdr:row>
                    <xdr:rowOff>38100</xdr:rowOff>
                  </to>
                </anchor>
              </controlPr>
            </control>
          </mc:Choice>
        </mc:AlternateContent>
        <mc:AlternateContent xmlns:mc="http://schemas.openxmlformats.org/markup-compatibility/2006">
          <mc:Choice Requires="x14">
            <control shapeId="13093" r:id="rId1889" name="Button 1829">
              <controlPr defaultSize="0" autoFill="0" autoLine="0" autoPict="0" macro="[0]!Sheet1.deleteRow">
                <anchor moveWithCells="1" sizeWithCells="1">
                  <from>
                    <xdr:col>6</xdr:col>
                    <xdr:colOff>0</xdr:colOff>
                    <xdr:row>3273</xdr:row>
                    <xdr:rowOff>0</xdr:rowOff>
                  </from>
                  <to>
                    <xdr:col>7</xdr:col>
                    <xdr:colOff>0</xdr:colOff>
                    <xdr:row>3273</xdr:row>
                    <xdr:rowOff>161925</xdr:rowOff>
                  </to>
                </anchor>
              </controlPr>
            </control>
          </mc:Choice>
        </mc:AlternateContent>
        <mc:AlternateContent xmlns:mc="http://schemas.openxmlformats.org/markup-compatibility/2006">
          <mc:Choice Requires="x14">
            <control shapeId="13092" r:id="rId1890" name="Button 1828">
              <controlPr defaultSize="0" autoFill="0" autoLine="0" autoPict="0" macro="[0]!Sheet1.deleteProcedure">
                <anchor moveWithCells="1" sizeWithCells="1">
                  <from>
                    <xdr:col>6</xdr:col>
                    <xdr:colOff>0</xdr:colOff>
                    <xdr:row>3276</xdr:row>
                    <xdr:rowOff>0</xdr:rowOff>
                  </from>
                  <to>
                    <xdr:col>7</xdr:col>
                    <xdr:colOff>0</xdr:colOff>
                    <xdr:row>3277</xdr:row>
                    <xdr:rowOff>0</xdr:rowOff>
                  </to>
                </anchor>
              </controlPr>
            </control>
          </mc:Choice>
        </mc:AlternateContent>
        <mc:AlternateContent xmlns:mc="http://schemas.openxmlformats.org/markup-compatibility/2006">
          <mc:Choice Requires="x14">
            <control shapeId="13091" r:id="rId1891" name="Button 1827">
              <controlPr defaultSize="0" autoFill="0" autoLine="0" autoPict="0" macro="[0]!Sheet1.InsertNewTableRow">
                <anchor moveWithCells="1" sizeWithCells="1">
                  <from>
                    <xdr:col>6</xdr:col>
                    <xdr:colOff>0</xdr:colOff>
                    <xdr:row>3283</xdr:row>
                    <xdr:rowOff>0</xdr:rowOff>
                  </from>
                  <to>
                    <xdr:col>7</xdr:col>
                    <xdr:colOff>0</xdr:colOff>
                    <xdr:row>3283</xdr:row>
                    <xdr:rowOff>38100</xdr:rowOff>
                  </to>
                </anchor>
              </controlPr>
            </control>
          </mc:Choice>
        </mc:AlternateContent>
        <mc:AlternateContent xmlns:mc="http://schemas.openxmlformats.org/markup-compatibility/2006">
          <mc:Choice Requires="x14">
            <control shapeId="13090" r:id="rId1892" name="Button 1826">
              <controlPr defaultSize="0" autoFill="0" autoLine="0" autoPict="0" macro="[0]!Sheet1.deleteRow">
                <anchor moveWithCells="1" sizeWithCells="1">
                  <from>
                    <xdr:col>6</xdr:col>
                    <xdr:colOff>0</xdr:colOff>
                    <xdr:row>3284</xdr:row>
                    <xdr:rowOff>0</xdr:rowOff>
                  </from>
                  <to>
                    <xdr:col>7</xdr:col>
                    <xdr:colOff>0</xdr:colOff>
                    <xdr:row>3284</xdr:row>
                    <xdr:rowOff>161925</xdr:rowOff>
                  </to>
                </anchor>
              </controlPr>
            </control>
          </mc:Choice>
        </mc:AlternateContent>
        <mc:AlternateContent xmlns:mc="http://schemas.openxmlformats.org/markup-compatibility/2006">
          <mc:Choice Requires="x14">
            <control shapeId="13089" r:id="rId1893" name="Button 1825">
              <controlPr defaultSize="0" autoFill="0" autoLine="0" autoPict="0" macro="[0]!Sheet1.deleteProcedure">
                <anchor moveWithCells="1" sizeWithCells="1">
                  <from>
                    <xdr:col>6</xdr:col>
                    <xdr:colOff>0</xdr:colOff>
                    <xdr:row>3287</xdr:row>
                    <xdr:rowOff>0</xdr:rowOff>
                  </from>
                  <to>
                    <xdr:col>7</xdr:col>
                    <xdr:colOff>0</xdr:colOff>
                    <xdr:row>3288</xdr:row>
                    <xdr:rowOff>0</xdr:rowOff>
                  </to>
                </anchor>
              </controlPr>
            </control>
          </mc:Choice>
        </mc:AlternateContent>
        <mc:AlternateContent xmlns:mc="http://schemas.openxmlformats.org/markup-compatibility/2006">
          <mc:Choice Requires="x14">
            <control shapeId="13088" r:id="rId1894" name="Button 1824">
              <controlPr defaultSize="0" autoFill="0" autoLine="0" autoPict="0" macro="[0]!Sheet1.InsertNewTableRow">
                <anchor moveWithCells="1" sizeWithCells="1">
                  <from>
                    <xdr:col>6</xdr:col>
                    <xdr:colOff>0</xdr:colOff>
                    <xdr:row>3294</xdr:row>
                    <xdr:rowOff>0</xdr:rowOff>
                  </from>
                  <to>
                    <xdr:col>7</xdr:col>
                    <xdr:colOff>0</xdr:colOff>
                    <xdr:row>3294</xdr:row>
                    <xdr:rowOff>38100</xdr:rowOff>
                  </to>
                </anchor>
              </controlPr>
            </control>
          </mc:Choice>
        </mc:AlternateContent>
        <mc:AlternateContent xmlns:mc="http://schemas.openxmlformats.org/markup-compatibility/2006">
          <mc:Choice Requires="x14">
            <control shapeId="13087" r:id="rId1895" name="Button 1823">
              <controlPr defaultSize="0" autoFill="0" autoLine="0" autoPict="0" macro="[0]!Sheet1.deleteRow">
                <anchor moveWithCells="1" sizeWithCells="1">
                  <from>
                    <xdr:col>6</xdr:col>
                    <xdr:colOff>0</xdr:colOff>
                    <xdr:row>3295</xdr:row>
                    <xdr:rowOff>0</xdr:rowOff>
                  </from>
                  <to>
                    <xdr:col>7</xdr:col>
                    <xdr:colOff>0</xdr:colOff>
                    <xdr:row>3295</xdr:row>
                    <xdr:rowOff>161925</xdr:rowOff>
                  </to>
                </anchor>
              </controlPr>
            </control>
          </mc:Choice>
        </mc:AlternateContent>
        <mc:AlternateContent xmlns:mc="http://schemas.openxmlformats.org/markup-compatibility/2006">
          <mc:Choice Requires="x14">
            <control shapeId="13086" r:id="rId1896" name="Button 1822">
              <controlPr defaultSize="0" autoFill="0" autoLine="0" autoPict="0" macro="[0]!Sheet1.deleteProcedure">
                <anchor moveWithCells="1" sizeWithCells="1">
                  <from>
                    <xdr:col>6</xdr:col>
                    <xdr:colOff>0</xdr:colOff>
                    <xdr:row>3298</xdr:row>
                    <xdr:rowOff>0</xdr:rowOff>
                  </from>
                  <to>
                    <xdr:col>7</xdr:col>
                    <xdr:colOff>0</xdr:colOff>
                    <xdr:row>3299</xdr:row>
                    <xdr:rowOff>0</xdr:rowOff>
                  </to>
                </anchor>
              </controlPr>
            </control>
          </mc:Choice>
        </mc:AlternateContent>
        <mc:AlternateContent xmlns:mc="http://schemas.openxmlformats.org/markup-compatibility/2006">
          <mc:Choice Requires="x14">
            <control shapeId="13085" r:id="rId1897" name="Button 1821">
              <controlPr defaultSize="0" autoFill="0" autoLine="0" autoPict="0" macro="[0]!Sheet1.InsertNewTableRow">
                <anchor moveWithCells="1" sizeWithCells="1">
                  <from>
                    <xdr:col>6</xdr:col>
                    <xdr:colOff>0</xdr:colOff>
                    <xdr:row>3305</xdr:row>
                    <xdr:rowOff>0</xdr:rowOff>
                  </from>
                  <to>
                    <xdr:col>7</xdr:col>
                    <xdr:colOff>0</xdr:colOff>
                    <xdr:row>3305</xdr:row>
                    <xdr:rowOff>38100</xdr:rowOff>
                  </to>
                </anchor>
              </controlPr>
            </control>
          </mc:Choice>
        </mc:AlternateContent>
        <mc:AlternateContent xmlns:mc="http://schemas.openxmlformats.org/markup-compatibility/2006">
          <mc:Choice Requires="x14">
            <control shapeId="13084" r:id="rId1898" name="Button 1820">
              <controlPr defaultSize="0" autoFill="0" autoLine="0" autoPict="0" macro="[0]!Sheet1.deleteRow">
                <anchor moveWithCells="1" sizeWithCells="1">
                  <from>
                    <xdr:col>6</xdr:col>
                    <xdr:colOff>0</xdr:colOff>
                    <xdr:row>3306</xdr:row>
                    <xdr:rowOff>0</xdr:rowOff>
                  </from>
                  <to>
                    <xdr:col>7</xdr:col>
                    <xdr:colOff>0</xdr:colOff>
                    <xdr:row>3306</xdr:row>
                    <xdr:rowOff>161925</xdr:rowOff>
                  </to>
                </anchor>
              </controlPr>
            </control>
          </mc:Choice>
        </mc:AlternateContent>
        <mc:AlternateContent xmlns:mc="http://schemas.openxmlformats.org/markup-compatibility/2006">
          <mc:Choice Requires="x14">
            <control shapeId="13083" r:id="rId1899" name="Button 1819">
              <controlPr defaultSize="0" autoFill="0" autoLine="0" autoPict="0" macro="[0]!Sheet1.deleteProcedure">
                <anchor moveWithCells="1" sizeWithCells="1">
                  <from>
                    <xdr:col>6</xdr:col>
                    <xdr:colOff>0</xdr:colOff>
                    <xdr:row>3309</xdr:row>
                    <xdr:rowOff>0</xdr:rowOff>
                  </from>
                  <to>
                    <xdr:col>7</xdr:col>
                    <xdr:colOff>0</xdr:colOff>
                    <xdr:row>3310</xdr:row>
                    <xdr:rowOff>0</xdr:rowOff>
                  </to>
                </anchor>
              </controlPr>
            </control>
          </mc:Choice>
        </mc:AlternateContent>
        <mc:AlternateContent xmlns:mc="http://schemas.openxmlformats.org/markup-compatibility/2006">
          <mc:Choice Requires="x14">
            <control shapeId="13082" r:id="rId1900" name="Button 1818">
              <controlPr defaultSize="0" autoFill="0" autoLine="0" autoPict="0" macro="[0]!Sheet1.InsertNewTableRow">
                <anchor moveWithCells="1" sizeWithCells="1">
                  <from>
                    <xdr:col>6</xdr:col>
                    <xdr:colOff>0</xdr:colOff>
                    <xdr:row>3316</xdr:row>
                    <xdr:rowOff>0</xdr:rowOff>
                  </from>
                  <to>
                    <xdr:col>7</xdr:col>
                    <xdr:colOff>0</xdr:colOff>
                    <xdr:row>3316</xdr:row>
                    <xdr:rowOff>38100</xdr:rowOff>
                  </to>
                </anchor>
              </controlPr>
            </control>
          </mc:Choice>
        </mc:AlternateContent>
        <mc:AlternateContent xmlns:mc="http://schemas.openxmlformats.org/markup-compatibility/2006">
          <mc:Choice Requires="x14">
            <control shapeId="13081" r:id="rId1901" name="Button 1817">
              <controlPr defaultSize="0" autoFill="0" autoLine="0" autoPict="0" macro="[0]!Sheet1.deleteRow">
                <anchor moveWithCells="1" sizeWithCells="1">
                  <from>
                    <xdr:col>6</xdr:col>
                    <xdr:colOff>0</xdr:colOff>
                    <xdr:row>3317</xdr:row>
                    <xdr:rowOff>0</xdr:rowOff>
                  </from>
                  <to>
                    <xdr:col>7</xdr:col>
                    <xdr:colOff>0</xdr:colOff>
                    <xdr:row>3317</xdr:row>
                    <xdr:rowOff>161925</xdr:rowOff>
                  </to>
                </anchor>
              </controlPr>
            </control>
          </mc:Choice>
        </mc:AlternateContent>
        <mc:AlternateContent xmlns:mc="http://schemas.openxmlformats.org/markup-compatibility/2006">
          <mc:Choice Requires="x14">
            <control shapeId="13080" r:id="rId1902" name="Button 1816">
              <controlPr defaultSize="0" autoFill="0" autoLine="0" autoPict="0" macro="[0]!Sheet1.deleteProcedure">
                <anchor moveWithCells="1" sizeWithCells="1">
                  <from>
                    <xdr:col>6</xdr:col>
                    <xdr:colOff>0</xdr:colOff>
                    <xdr:row>3320</xdr:row>
                    <xdr:rowOff>0</xdr:rowOff>
                  </from>
                  <to>
                    <xdr:col>7</xdr:col>
                    <xdr:colOff>0</xdr:colOff>
                    <xdr:row>3321</xdr:row>
                    <xdr:rowOff>0</xdr:rowOff>
                  </to>
                </anchor>
              </controlPr>
            </control>
          </mc:Choice>
        </mc:AlternateContent>
        <mc:AlternateContent xmlns:mc="http://schemas.openxmlformats.org/markup-compatibility/2006">
          <mc:Choice Requires="x14">
            <control shapeId="13079" r:id="rId1903" name="Button 1815">
              <controlPr defaultSize="0" autoFill="0" autoLine="0" autoPict="0" macro="[0]!Sheet1.InsertNewTableRow">
                <anchor moveWithCells="1" sizeWithCells="1">
                  <from>
                    <xdr:col>6</xdr:col>
                    <xdr:colOff>0</xdr:colOff>
                    <xdr:row>3327</xdr:row>
                    <xdr:rowOff>0</xdr:rowOff>
                  </from>
                  <to>
                    <xdr:col>7</xdr:col>
                    <xdr:colOff>0</xdr:colOff>
                    <xdr:row>3327</xdr:row>
                    <xdr:rowOff>38100</xdr:rowOff>
                  </to>
                </anchor>
              </controlPr>
            </control>
          </mc:Choice>
        </mc:AlternateContent>
        <mc:AlternateContent xmlns:mc="http://schemas.openxmlformats.org/markup-compatibility/2006">
          <mc:Choice Requires="x14">
            <control shapeId="13078" r:id="rId1904" name="Button 1814">
              <controlPr defaultSize="0" autoFill="0" autoLine="0" autoPict="0" macro="[0]!Sheet1.deleteRow">
                <anchor moveWithCells="1" sizeWithCells="1">
                  <from>
                    <xdr:col>6</xdr:col>
                    <xdr:colOff>0</xdr:colOff>
                    <xdr:row>3328</xdr:row>
                    <xdr:rowOff>0</xdr:rowOff>
                  </from>
                  <to>
                    <xdr:col>7</xdr:col>
                    <xdr:colOff>0</xdr:colOff>
                    <xdr:row>3328</xdr:row>
                    <xdr:rowOff>161925</xdr:rowOff>
                  </to>
                </anchor>
              </controlPr>
            </control>
          </mc:Choice>
        </mc:AlternateContent>
        <mc:AlternateContent xmlns:mc="http://schemas.openxmlformats.org/markup-compatibility/2006">
          <mc:Choice Requires="x14">
            <control shapeId="13077" r:id="rId1905" name="Button 1813">
              <controlPr defaultSize="0" autoFill="0" autoLine="0" autoPict="0" macro="[0]!Sheet1.deleteProcedure">
                <anchor moveWithCells="1" sizeWithCells="1">
                  <from>
                    <xdr:col>6</xdr:col>
                    <xdr:colOff>0</xdr:colOff>
                    <xdr:row>3331</xdr:row>
                    <xdr:rowOff>0</xdr:rowOff>
                  </from>
                  <to>
                    <xdr:col>7</xdr:col>
                    <xdr:colOff>0</xdr:colOff>
                    <xdr:row>3332</xdr:row>
                    <xdr:rowOff>0</xdr:rowOff>
                  </to>
                </anchor>
              </controlPr>
            </control>
          </mc:Choice>
        </mc:AlternateContent>
        <mc:AlternateContent xmlns:mc="http://schemas.openxmlformats.org/markup-compatibility/2006">
          <mc:Choice Requires="x14">
            <control shapeId="13076" r:id="rId1906" name="Button 1812">
              <controlPr defaultSize="0" autoFill="0" autoLine="0" autoPict="0" macro="[0]!Sheet1.InsertNewTableRow">
                <anchor moveWithCells="1" sizeWithCells="1">
                  <from>
                    <xdr:col>6</xdr:col>
                    <xdr:colOff>0</xdr:colOff>
                    <xdr:row>3338</xdr:row>
                    <xdr:rowOff>0</xdr:rowOff>
                  </from>
                  <to>
                    <xdr:col>7</xdr:col>
                    <xdr:colOff>0</xdr:colOff>
                    <xdr:row>3338</xdr:row>
                    <xdr:rowOff>38100</xdr:rowOff>
                  </to>
                </anchor>
              </controlPr>
            </control>
          </mc:Choice>
        </mc:AlternateContent>
        <mc:AlternateContent xmlns:mc="http://schemas.openxmlformats.org/markup-compatibility/2006">
          <mc:Choice Requires="x14">
            <control shapeId="13075" r:id="rId1907" name="Button 1811">
              <controlPr defaultSize="0" autoFill="0" autoLine="0" autoPict="0" macro="[0]!Sheet1.deleteRow">
                <anchor moveWithCells="1" sizeWithCells="1">
                  <from>
                    <xdr:col>6</xdr:col>
                    <xdr:colOff>0</xdr:colOff>
                    <xdr:row>3339</xdr:row>
                    <xdr:rowOff>0</xdr:rowOff>
                  </from>
                  <to>
                    <xdr:col>7</xdr:col>
                    <xdr:colOff>0</xdr:colOff>
                    <xdr:row>3339</xdr:row>
                    <xdr:rowOff>161925</xdr:rowOff>
                  </to>
                </anchor>
              </controlPr>
            </control>
          </mc:Choice>
        </mc:AlternateContent>
        <mc:AlternateContent xmlns:mc="http://schemas.openxmlformats.org/markup-compatibility/2006">
          <mc:Choice Requires="x14">
            <control shapeId="13074" r:id="rId1908" name="Button 1810">
              <controlPr defaultSize="0" autoFill="0" autoLine="0" autoPict="0" macro="[0]!Sheet1.deleteProcedure">
                <anchor moveWithCells="1" sizeWithCells="1">
                  <from>
                    <xdr:col>6</xdr:col>
                    <xdr:colOff>0</xdr:colOff>
                    <xdr:row>3342</xdr:row>
                    <xdr:rowOff>0</xdr:rowOff>
                  </from>
                  <to>
                    <xdr:col>7</xdr:col>
                    <xdr:colOff>0</xdr:colOff>
                    <xdr:row>3343</xdr:row>
                    <xdr:rowOff>0</xdr:rowOff>
                  </to>
                </anchor>
              </controlPr>
            </control>
          </mc:Choice>
        </mc:AlternateContent>
        <mc:AlternateContent xmlns:mc="http://schemas.openxmlformats.org/markup-compatibility/2006">
          <mc:Choice Requires="x14">
            <control shapeId="13073" r:id="rId1909" name="Button 1809">
              <controlPr defaultSize="0" autoFill="0" autoLine="0" autoPict="0" macro="[0]!Sheet1.InsertNewTableRow">
                <anchor moveWithCells="1" sizeWithCells="1">
                  <from>
                    <xdr:col>6</xdr:col>
                    <xdr:colOff>0</xdr:colOff>
                    <xdr:row>3349</xdr:row>
                    <xdr:rowOff>0</xdr:rowOff>
                  </from>
                  <to>
                    <xdr:col>7</xdr:col>
                    <xdr:colOff>0</xdr:colOff>
                    <xdr:row>3349</xdr:row>
                    <xdr:rowOff>38100</xdr:rowOff>
                  </to>
                </anchor>
              </controlPr>
            </control>
          </mc:Choice>
        </mc:AlternateContent>
        <mc:AlternateContent xmlns:mc="http://schemas.openxmlformats.org/markup-compatibility/2006">
          <mc:Choice Requires="x14">
            <control shapeId="13072" r:id="rId1910" name="Button 1808">
              <controlPr defaultSize="0" autoFill="0" autoLine="0" autoPict="0" macro="[0]!Sheet1.deleteRow">
                <anchor moveWithCells="1" sizeWithCells="1">
                  <from>
                    <xdr:col>6</xdr:col>
                    <xdr:colOff>0</xdr:colOff>
                    <xdr:row>3350</xdr:row>
                    <xdr:rowOff>0</xdr:rowOff>
                  </from>
                  <to>
                    <xdr:col>7</xdr:col>
                    <xdr:colOff>0</xdr:colOff>
                    <xdr:row>3350</xdr:row>
                    <xdr:rowOff>161925</xdr:rowOff>
                  </to>
                </anchor>
              </controlPr>
            </control>
          </mc:Choice>
        </mc:AlternateContent>
        <mc:AlternateContent xmlns:mc="http://schemas.openxmlformats.org/markup-compatibility/2006">
          <mc:Choice Requires="x14">
            <control shapeId="13071" r:id="rId1911" name="Button 1807">
              <controlPr defaultSize="0" autoFill="0" autoLine="0" autoPict="0" macro="[0]!Sheet1.deleteProcedure">
                <anchor moveWithCells="1" sizeWithCells="1">
                  <from>
                    <xdr:col>6</xdr:col>
                    <xdr:colOff>0</xdr:colOff>
                    <xdr:row>3353</xdr:row>
                    <xdr:rowOff>0</xdr:rowOff>
                  </from>
                  <to>
                    <xdr:col>7</xdr:col>
                    <xdr:colOff>0</xdr:colOff>
                    <xdr:row>3354</xdr:row>
                    <xdr:rowOff>0</xdr:rowOff>
                  </to>
                </anchor>
              </controlPr>
            </control>
          </mc:Choice>
        </mc:AlternateContent>
        <mc:AlternateContent xmlns:mc="http://schemas.openxmlformats.org/markup-compatibility/2006">
          <mc:Choice Requires="x14">
            <control shapeId="13070" r:id="rId1912" name="Button 1806">
              <controlPr defaultSize="0" autoFill="0" autoLine="0" autoPict="0" macro="[0]!Sheet1.InsertNewTableRow">
                <anchor moveWithCells="1" sizeWithCells="1">
                  <from>
                    <xdr:col>6</xdr:col>
                    <xdr:colOff>0</xdr:colOff>
                    <xdr:row>3360</xdr:row>
                    <xdr:rowOff>0</xdr:rowOff>
                  </from>
                  <to>
                    <xdr:col>7</xdr:col>
                    <xdr:colOff>0</xdr:colOff>
                    <xdr:row>3360</xdr:row>
                    <xdr:rowOff>38100</xdr:rowOff>
                  </to>
                </anchor>
              </controlPr>
            </control>
          </mc:Choice>
        </mc:AlternateContent>
        <mc:AlternateContent xmlns:mc="http://schemas.openxmlformats.org/markup-compatibility/2006">
          <mc:Choice Requires="x14">
            <control shapeId="13069" r:id="rId1913" name="Button 1805">
              <controlPr defaultSize="0" autoFill="0" autoLine="0" autoPict="0" macro="[0]!Sheet1.deleteRow">
                <anchor moveWithCells="1" sizeWithCells="1">
                  <from>
                    <xdr:col>6</xdr:col>
                    <xdr:colOff>0</xdr:colOff>
                    <xdr:row>3361</xdr:row>
                    <xdr:rowOff>0</xdr:rowOff>
                  </from>
                  <to>
                    <xdr:col>7</xdr:col>
                    <xdr:colOff>0</xdr:colOff>
                    <xdr:row>3361</xdr:row>
                    <xdr:rowOff>161925</xdr:rowOff>
                  </to>
                </anchor>
              </controlPr>
            </control>
          </mc:Choice>
        </mc:AlternateContent>
        <mc:AlternateContent xmlns:mc="http://schemas.openxmlformats.org/markup-compatibility/2006">
          <mc:Choice Requires="x14">
            <control shapeId="13068" r:id="rId1914" name="Button 1804">
              <controlPr defaultSize="0" autoFill="0" autoLine="0" autoPict="0" macro="[0]!Sheet1.deleteProcedure">
                <anchor moveWithCells="1" sizeWithCells="1">
                  <from>
                    <xdr:col>6</xdr:col>
                    <xdr:colOff>0</xdr:colOff>
                    <xdr:row>3364</xdr:row>
                    <xdr:rowOff>0</xdr:rowOff>
                  </from>
                  <to>
                    <xdr:col>7</xdr:col>
                    <xdr:colOff>0</xdr:colOff>
                    <xdr:row>3365</xdr:row>
                    <xdr:rowOff>0</xdr:rowOff>
                  </to>
                </anchor>
              </controlPr>
            </control>
          </mc:Choice>
        </mc:AlternateContent>
        <mc:AlternateContent xmlns:mc="http://schemas.openxmlformats.org/markup-compatibility/2006">
          <mc:Choice Requires="x14">
            <control shapeId="13067" r:id="rId1915" name="Button 1803">
              <controlPr defaultSize="0" autoFill="0" autoLine="0" autoPict="0" macro="[0]!Sheet1.InsertNewTableRow">
                <anchor moveWithCells="1" sizeWithCells="1">
                  <from>
                    <xdr:col>6</xdr:col>
                    <xdr:colOff>0</xdr:colOff>
                    <xdr:row>3371</xdr:row>
                    <xdr:rowOff>0</xdr:rowOff>
                  </from>
                  <to>
                    <xdr:col>7</xdr:col>
                    <xdr:colOff>0</xdr:colOff>
                    <xdr:row>3371</xdr:row>
                    <xdr:rowOff>38100</xdr:rowOff>
                  </to>
                </anchor>
              </controlPr>
            </control>
          </mc:Choice>
        </mc:AlternateContent>
        <mc:AlternateContent xmlns:mc="http://schemas.openxmlformats.org/markup-compatibility/2006">
          <mc:Choice Requires="x14">
            <control shapeId="13066" r:id="rId1916" name="Button 1802">
              <controlPr defaultSize="0" autoFill="0" autoLine="0" autoPict="0" macro="[0]!Sheet1.deleteRow">
                <anchor moveWithCells="1" sizeWithCells="1">
                  <from>
                    <xdr:col>6</xdr:col>
                    <xdr:colOff>0</xdr:colOff>
                    <xdr:row>3372</xdr:row>
                    <xdr:rowOff>0</xdr:rowOff>
                  </from>
                  <to>
                    <xdr:col>7</xdr:col>
                    <xdr:colOff>0</xdr:colOff>
                    <xdr:row>3372</xdr:row>
                    <xdr:rowOff>161925</xdr:rowOff>
                  </to>
                </anchor>
              </controlPr>
            </control>
          </mc:Choice>
        </mc:AlternateContent>
        <mc:AlternateContent xmlns:mc="http://schemas.openxmlformats.org/markup-compatibility/2006">
          <mc:Choice Requires="x14">
            <control shapeId="13065" r:id="rId1917" name="Button 1801">
              <controlPr defaultSize="0" autoFill="0" autoLine="0" autoPict="0" macro="[0]!Sheet1.deleteProcedure">
                <anchor moveWithCells="1" sizeWithCells="1">
                  <from>
                    <xdr:col>6</xdr:col>
                    <xdr:colOff>0</xdr:colOff>
                    <xdr:row>3375</xdr:row>
                    <xdr:rowOff>0</xdr:rowOff>
                  </from>
                  <to>
                    <xdr:col>7</xdr:col>
                    <xdr:colOff>0</xdr:colOff>
                    <xdr:row>3376</xdr:row>
                    <xdr:rowOff>0</xdr:rowOff>
                  </to>
                </anchor>
              </controlPr>
            </control>
          </mc:Choice>
        </mc:AlternateContent>
        <mc:AlternateContent xmlns:mc="http://schemas.openxmlformats.org/markup-compatibility/2006">
          <mc:Choice Requires="x14">
            <control shapeId="13064" r:id="rId1918" name="Button 1800">
              <controlPr defaultSize="0" autoFill="0" autoLine="0" autoPict="0" macro="[0]!Sheet1.InsertNewTableRow">
                <anchor moveWithCells="1" sizeWithCells="1">
                  <from>
                    <xdr:col>6</xdr:col>
                    <xdr:colOff>0</xdr:colOff>
                    <xdr:row>3382</xdr:row>
                    <xdr:rowOff>0</xdr:rowOff>
                  </from>
                  <to>
                    <xdr:col>7</xdr:col>
                    <xdr:colOff>0</xdr:colOff>
                    <xdr:row>3382</xdr:row>
                    <xdr:rowOff>38100</xdr:rowOff>
                  </to>
                </anchor>
              </controlPr>
            </control>
          </mc:Choice>
        </mc:AlternateContent>
        <mc:AlternateContent xmlns:mc="http://schemas.openxmlformats.org/markup-compatibility/2006">
          <mc:Choice Requires="x14">
            <control shapeId="13063" r:id="rId1919" name="Button 1799">
              <controlPr defaultSize="0" autoFill="0" autoLine="0" autoPict="0" macro="[0]!Sheet1.deleteRow">
                <anchor moveWithCells="1" sizeWithCells="1">
                  <from>
                    <xdr:col>6</xdr:col>
                    <xdr:colOff>0</xdr:colOff>
                    <xdr:row>3383</xdr:row>
                    <xdr:rowOff>0</xdr:rowOff>
                  </from>
                  <to>
                    <xdr:col>7</xdr:col>
                    <xdr:colOff>0</xdr:colOff>
                    <xdr:row>3383</xdr:row>
                    <xdr:rowOff>161925</xdr:rowOff>
                  </to>
                </anchor>
              </controlPr>
            </control>
          </mc:Choice>
        </mc:AlternateContent>
        <mc:AlternateContent xmlns:mc="http://schemas.openxmlformats.org/markup-compatibility/2006">
          <mc:Choice Requires="x14">
            <control shapeId="13062" r:id="rId1920" name="Button 1798">
              <controlPr defaultSize="0" autoFill="0" autoLine="0" autoPict="0" macro="[0]!Sheet1.deleteProcedure">
                <anchor moveWithCells="1" sizeWithCells="1">
                  <from>
                    <xdr:col>6</xdr:col>
                    <xdr:colOff>0</xdr:colOff>
                    <xdr:row>3386</xdr:row>
                    <xdr:rowOff>0</xdr:rowOff>
                  </from>
                  <to>
                    <xdr:col>7</xdr:col>
                    <xdr:colOff>0</xdr:colOff>
                    <xdr:row>3387</xdr:row>
                    <xdr:rowOff>0</xdr:rowOff>
                  </to>
                </anchor>
              </controlPr>
            </control>
          </mc:Choice>
        </mc:AlternateContent>
        <mc:AlternateContent xmlns:mc="http://schemas.openxmlformats.org/markup-compatibility/2006">
          <mc:Choice Requires="x14">
            <control shapeId="13061" r:id="rId1921" name="Button 1797">
              <controlPr defaultSize="0" autoFill="0" autoLine="0" autoPict="0" macro="[0]!Sheet1.InsertNewTableRow">
                <anchor moveWithCells="1" sizeWithCells="1">
                  <from>
                    <xdr:col>6</xdr:col>
                    <xdr:colOff>0</xdr:colOff>
                    <xdr:row>3393</xdr:row>
                    <xdr:rowOff>0</xdr:rowOff>
                  </from>
                  <to>
                    <xdr:col>7</xdr:col>
                    <xdr:colOff>0</xdr:colOff>
                    <xdr:row>3393</xdr:row>
                    <xdr:rowOff>38100</xdr:rowOff>
                  </to>
                </anchor>
              </controlPr>
            </control>
          </mc:Choice>
        </mc:AlternateContent>
        <mc:AlternateContent xmlns:mc="http://schemas.openxmlformats.org/markup-compatibility/2006">
          <mc:Choice Requires="x14">
            <control shapeId="13060" r:id="rId1922" name="Button 1796">
              <controlPr defaultSize="0" autoFill="0" autoLine="0" autoPict="0" macro="[0]!Sheet1.deleteRow">
                <anchor moveWithCells="1" sizeWithCells="1">
                  <from>
                    <xdr:col>6</xdr:col>
                    <xdr:colOff>0</xdr:colOff>
                    <xdr:row>3394</xdr:row>
                    <xdr:rowOff>0</xdr:rowOff>
                  </from>
                  <to>
                    <xdr:col>7</xdr:col>
                    <xdr:colOff>0</xdr:colOff>
                    <xdr:row>3394</xdr:row>
                    <xdr:rowOff>161925</xdr:rowOff>
                  </to>
                </anchor>
              </controlPr>
            </control>
          </mc:Choice>
        </mc:AlternateContent>
        <mc:AlternateContent xmlns:mc="http://schemas.openxmlformats.org/markup-compatibility/2006">
          <mc:Choice Requires="x14">
            <control shapeId="13059" r:id="rId1923" name="Button 1795">
              <controlPr defaultSize="0" autoFill="0" autoLine="0" autoPict="0" macro="[0]!Sheet1.deleteProcedure">
                <anchor moveWithCells="1" sizeWithCells="1">
                  <from>
                    <xdr:col>6</xdr:col>
                    <xdr:colOff>0</xdr:colOff>
                    <xdr:row>3397</xdr:row>
                    <xdr:rowOff>0</xdr:rowOff>
                  </from>
                  <to>
                    <xdr:col>7</xdr:col>
                    <xdr:colOff>0</xdr:colOff>
                    <xdr:row>3398</xdr:row>
                    <xdr:rowOff>0</xdr:rowOff>
                  </to>
                </anchor>
              </controlPr>
            </control>
          </mc:Choice>
        </mc:AlternateContent>
        <mc:AlternateContent xmlns:mc="http://schemas.openxmlformats.org/markup-compatibility/2006">
          <mc:Choice Requires="x14">
            <control shapeId="13058" r:id="rId1924" name="Button 1794">
              <controlPr defaultSize="0" autoFill="0" autoLine="0" autoPict="0" macro="[0]!Sheet1.InsertNewTableRow">
                <anchor moveWithCells="1" sizeWithCells="1">
                  <from>
                    <xdr:col>6</xdr:col>
                    <xdr:colOff>0</xdr:colOff>
                    <xdr:row>3404</xdr:row>
                    <xdr:rowOff>0</xdr:rowOff>
                  </from>
                  <to>
                    <xdr:col>7</xdr:col>
                    <xdr:colOff>0</xdr:colOff>
                    <xdr:row>3404</xdr:row>
                    <xdr:rowOff>38100</xdr:rowOff>
                  </to>
                </anchor>
              </controlPr>
            </control>
          </mc:Choice>
        </mc:AlternateContent>
        <mc:AlternateContent xmlns:mc="http://schemas.openxmlformats.org/markup-compatibility/2006">
          <mc:Choice Requires="x14">
            <control shapeId="13057" r:id="rId1925" name="Button 1793">
              <controlPr defaultSize="0" autoFill="0" autoLine="0" autoPict="0" macro="[0]!Sheet1.deleteRow">
                <anchor moveWithCells="1" sizeWithCells="1">
                  <from>
                    <xdr:col>6</xdr:col>
                    <xdr:colOff>0</xdr:colOff>
                    <xdr:row>3405</xdr:row>
                    <xdr:rowOff>0</xdr:rowOff>
                  </from>
                  <to>
                    <xdr:col>7</xdr:col>
                    <xdr:colOff>0</xdr:colOff>
                    <xdr:row>3405</xdr:row>
                    <xdr:rowOff>161925</xdr:rowOff>
                  </to>
                </anchor>
              </controlPr>
            </control>
          </mc:Choice>
        </mc:AlternateContent>
        <mc:AlternateContent xmlns:mc="http://schemas.openxmlformats.org/markup-compatibility/2006">
          <mc:Choice Requires="x14">
            <control shapeId="13056" r:id="rId1926" name="Button 1792">
              <controlPr defaultSize="0" autoFill="0" autoLine="0" autoPict="0" macro="[0]!Sheet1.deleteRow">
                <anchor moveWithCells="1" sizeWithCells="1">
                  <from>
                    <xdr:col>6</xdr:col>
                    <xdr:colOff>0</xdr:colOff>
                    <xdr:row>3406</xdr:row>
                    <xdr:rowOff>0</xdr:rowOff>
                  </from>
                  <to>
                    <xdr:col>7</xdr:col>
                    <xdr:colOff>0</xdr:colOff>
                    <xdr:row>3406</xdr:row>
                    <xdr:rowOff>161925</xdr:rowOff>
                  </to>
                </anchor>
              </controlPr>
            </control>
          </mc:Choice>
        </mc:AlternateContent>
        <mc:AlternateContent xmlns:mc="http://schemas.openxmlformats.org/markup-compatibility/2006">
          <mc:Choice Requires="x14">
            <control shapeId="13055" r:id="rId1927" name="Button 1791">
              <controlPr defaultSize="0" autoFill="0" autoLine="0" autoPict="0" macro="[0]!Sheet1.deleteProcedure">
                <anchor moveWithCells="1" sizeWithCells="1">
                  <from>
                    <xdr:col>6</xdr:col>
                    <xdr:colOff>0</xdr:colOff>
                    <xdr:row>3409</xdr:row>
                    <xdr:rowOff>0</xdr:rowOff>
                  </from>
                  <to>
                    <xdr:col>7</xdr:col>
                    <xdr:colOff>0</xdr:colOff>
                    <xdr:row>3410</xdr:row>
                    <xdr:rowOff>0</xdr:rowOff>
                  </to>
                </anchor>
              </controlPr>
            </control>
          </mc:Choice>
        </mc:AlternateContent>
        <mc:AlternateContent xmlns:mc="http://schemas.openxmlformats.org/markup-compatibility/2006">
          <mc:Choice Requires="x14">
            <control shapeId="13054" r:id="rId1928" name="Button 1790">
              <controlPr defaultSize="0" autoFill="0" autoLine="0" autoPict="0" macro="[0]!Sheet1.InsertNewTableRow">
                <anchor moveWithCells="1" sizeWithCells="1">
                  <from>
                    <xdr:col>6</xdr:col>
                    <xdr:colOff>0</xdr:colOff>
                    <xdr:row>3416</xdr:row>
                    <xdr:rowOff>0</xdr:rowOff>
                  </from>
                  <to>
                    <xdr:col>7</xdr:col>
                    <xdr:colOff>0</xdr:colOff>
                    <xdr:row>3416</xdr:row>
                    <xdr:rowOff>38100</xdr:rowOff>
                  </to>
                </anchor>
              </controlPr>
            </control>
          </mc:Choice>
        </mc:AlternateContent>
        <mc:AlternateContent xmlns:mc="http://schemas.openxmlformats.org/markup-compatibility/2006">
          <mc:Choice Requires="x14">
            <control shapeId="13053" r:id="rId1929" name="Button 1789">
              <controlPr defaultSize="0" autoFill="0" autoLine="0" autoPict="0" macro="[0]!Sheet1.deleteRow">
                <anchor moveWithCells="1" sizeWithCells="1">
                  <from>
                    <xdr:col>6</xdr:col>
                    <xdr:colOff>0</xdr:colOff>
                    <xdr:row>3417</xdr:row>
                    <xdr:rowOff>0</xdr:rowOff>
                  </from>
                  <to>
                    <xdr:col>7</xdr:col>
                    <xdr:colOff>0</xdr:colOff>
                    <xdr:row>3417</xdr:row>
                    <xdr:rowOff>161925</xdr:rowOff>
                  </to>
                </anchor>
              </controlPr>
            </control>
          </mc:Choice>
        </mc:AlternateContent>
        <mc:AlternateContent xmlns:mc="http://schemas.openxmlformats.org/markup-compatibility/2006">
          <mc:Choice Requires="x14">
            <control shapeId="13052" r:id="rId1930" name="Button 1788">
              <controlPr defaultSize="0" autoFill="0" autoLine="0" autoPict="0" macro="[0]!Sheet1.deleteRow">
                <anchor moveWithCells="1" sizeWithCells="1">
                  <from>
                    <xdr:col>6</xdr:col>
                    <xdr:colOff>0</xdr:colOff>
                    <xdr:row>3418</xdr:row>
                    <xdr:rowOff>0</xdr:rowOff>
                  </from>
                  <to>
                    <xdr:col>7</xdr:col>
                    <xdr:colOff>0</xdr:colOff>
                    <xdr:row>3418</xdr:row>
                    <xdr:rowOff>161925</xdr:rowOff>
                  </to>
                </anchor>
              </controlPr>
            </control>
          </mc:Choice>
        </mc:AlternateContent>
        <mc:AlternateContent xmlns:mc="http://schemas.openxmlformats.org/markup-compatibility/2006">
          <mc:Choice Requires="x14">
            <control shapeId="13051" r:id="rId1931" name="Button 1787">
              <controlPr defaultSize="0" autoFill="0" autoLine="0" autoPict="0" macro="[0]!Sheet1.deleteProcedure">
                <anchor moveWithCells="1" sizeWithCells="1">
                  <from>
                    <xdr:col>6</xdr:col>
                    <xdr:colOff>0</xdr:colOff>
                    <xdr:row>3421</xdr:row>
                    <xdr:rowOff>0</xdr:rowOff>
                  </from>
                  <to>
                    <xdr:col>7</xdr:col>
                    <xdr:colOff>0</xdr:colOff>
                    <xdr:row>3422</xdr:row>
                    <xdr:rowOff>0</xdr:rowOff>
                  </to>
                </anchor>
              </controlPr>
            </control>
          </mc:Choice>
        </mc:AlternateContent>
        <mc:AlternateContent xmlns:mc="http://schemas.openxmlformats.org/markup-compatibility/2006">
          <mc:Choice Requires="x14">
            <control shapeId="13050" r:id="rId1932" name="Button 1786">
              <controlPr defaultSize="0" autoFill="0" autoLine="0" autoPict="0" macro="[0]!Sheet1.InsertNewTableRow">
                <anchor moveWithCells="1" sizeWithCells="1">
                  <from>
                    <xdr:col>6</xdr:col>
                    <xdr:colOff>0</xdr:colOff>
                    <xdr:row>3428</xdr:row>
                    <xdr:rowOff>0</xdr:rowOff>
                  </from>
                  <to>
                    <xdr:col>7</xdr:col>
                    <xdr:colOff>0</xdr:colOff>
                    <xdr:row>3428</xdr:row>
                    <xdr:rowOff>38100</xdr:rowOff>
                  </to>
                </anchor>
              </controlPr>
            </control>
          </mc:Choice>
        </mc:AlternateContent>
        <mc:AlternateContent xmlns:mc="http://schemas.openxmlformats.org/markup-compatibility/2006">
          <mc:Choice Requires="x14">
            <control shapeId="13049" r:id="rId1933" name="Button 1785">
              <controlPr defaultSize="0" autoFill="0" autoLine="0" autoPict="0" macro="[0]!Sheet1.deleteRow">
                <anchor moveWithCells="1" sizeWithCells="1">
                  <from>
                    <xdr:col>6</xdr:col>
                    <xdr:colOff>0</xdr:colOff>
                    <xdr:row>3429</xdr:row>
                    <xdr:rowOff>0</xdr:rowOff>
                  </from>
                  <to>
                    <xdr:col>7</xdr:col>
                    <xdr:colOff>0</xdr:colOff>
                    <xdr:row>3429</xdr:row>
                    <xdr:rowOff>161925</xdr:rowOff>
                  </to>
                </anchor>
              </controlPr>
            </control>
          </mc:Choice>
        </mc:AlternateContent>
        <mc:AlternateContent xmlns:mc="http://schemas.openxmlformats.org/markup-compatibility/2006">
          <mc:Choice Requires="x14">
            <control shapeId="13048" r:id="rId1934" name="Button 1784">
              <controlPr defaultSize="0" autoFill="0" autoLine="0" autoPict="0" macro="[0]!Sheet1.deleteRow">
                <anchor moveWithCells="1" sizeWithCells="1">
                  <from>
                    <xdr:col>6</xdr:col>
                    <xdr:colOff>0</xdr:colOff>
                    <xdr:row>3430</xdr:row>
                    <xdr:rowOff>0</xdr:rowOff>
                  </from>
                  <to>
                    <xdr:col>7</xdr:col>
                    <xdr:colOff>0</xdr:colOff>
                    <xdr:row>3430</xdr:row>
                    <xdr:rowOff>161925</xdr:rowOff>
                  </to>
                </anchor>
              </controlPr>
            </control>
          </mc:Choice>
        </mc:AlternateContent>
        <mc:AlternateContent xmlns:mc="http://schemas.openxmlformats.org/markup-compatibility/2006">
          <mc:Choice Requires="x14">
            <control shapeId="13047" r:id="rId1935" name="Button 1783">
              <controlPr defaultSize="0" autoFill="0" autoLine="0" autoPict="0" macro="[0]!Sheet1.deleteProcedure">
                <anchor moveWithCells="1" sizeWithCells="1">
                  <from>
                    <xdr:col>6</xdr:col>
                    <xdr:colOff>0</xdr:colOff>
                    <xdr:row>3433</xdr:row>
                    <xdr:rowOff>0</xdr:rowOff>
                  </from>
                  <to>
                    <xdr:col>7</xdr:col>
                    <xdr:colOff>0</xdr:colOff>
                    <xdr:row>3434</xdr:row>
                    <xdr:rowOff>0</xdr:rowOff>
                  </to>
                </anchor>
              </controlPr>
            </control>
          </mc:Choice>
        </mc:AlternateContent>
        <mc:AlternateContent xmlns:mc="http://schemas.openxmlformats.org/markup-compatibility/2006">
          <mc:Choice Requires="x14">
            <control shapeId="13046" r:id="rId1936" name="Button 1782">
              <controlPr defaultSize="0" autoFill="0" autoLine="0" autoPict="0" macro="[0]!Sheet1.InsertNewTableRow">
                <anchor moveWithCells="1" sizeWithCells="1">
                  <from>
                    <xdr:col>6</xdr:col>
                    <xdr:colOff>0</xdr:colOff>
                    <xdr:row>3440</xdr:row>
                    <xdr:rowOff>0</xdr:rowOff>
                  </from>
                  <to>
                    <xdr:col>7</xdr:col>
                    <xdr:colOff>0</xdr:colOff>
                    <xdr:row>3440</xdr:row>
                    <xdr:rowOff>38100</xdr:rowOff>
                  </to>
                </anchor>
              </controlPr>
            </control>
          </mc:Choice>
        </mc:AlternateContent>
        <mc:AlternateContent xmlns:mc="http://schemas.openxmlformats.org/markup-compatibility/2006">
          <mc:Choice Requires="x14">
            <control shapeId="13045" r:id="rId1937" name="Button 1781">
              <controlPr defaultSize="0" autoFill="0" autoLine="0" autoPict="0" macro="[0]!Sheet1.deleteRow">
                <anchor moveWithCells="1" sizeWithCells="1">
                  <from>
                    <xdr:col>6</xdr:col>
                    <xdr:colOff>0</xdr:colOff>
                    <xdr:row>3441</xdr:row>
                    <xdr:rowOff>0</xdr:rowOff>
                  </from>
                  <to>
                    <xdr:col>7</xdr:col>
                    <xdr:colOff>0</xdr:colOff>
                    <xdr:row>3441</xdr:row>
                    <xdr:rowOff>161925</xdr:rowOff>
                  </to>
                </anchor>
              </controlPr>
            </control>
          </mc:Choice>
        </mc:AlternateContent>
        <mc:AlternateContent xmlns:mc="http://schemas.openxmlformats.org/markup-compatibility/2006">
          <mc:Choice Requires="x14">
            <control shapeId="13044" r:id="rId1938" name="Button 1780">
              <controlPr defaultSize="0" autoFill="0" autoLine="0" autoPict="0" macro="[0]!Sheet1.deleteProcedure">
                <anchor moveWithCells="1" sizeWithCells="1">
                  <from>
                    <xdr:col>6</xdr:col>
                    <xdr:colOff>0</xdr:colOff>
                    <xdr:row>3444</xdr:row>
                    <xdr:rowOff>0</xdr:rowOff>
                  </from>
                  <to>
                    <xdr:col>7</xdr:col>
                    <xdr:colOff>0</xdr:colOff>
                    <xdr:row>3445</xdr:row>
                    <xdr:rowOff>0</xdr:rowOff>
                  </to>
                </anchor>
              </controlPr>
            </control>
          </mc:Choice>
        </mc:AlternateContent>
        <mc:AlternateContent xmlns:mc="http://schemas.openxmlformats.org/markup-compatibility/2006">
          <mc:Choice Requires="x14">
            <control shapeId="13043" r:id="rId1939" name="Button 1779">
              <controlPr defaultSize="0" autoFill="0" autoLine="0" autoPict="0" macro="[0]!Sheet1.InsertNewTableRow">
                <anchor moveWithCells="1" sizeWithCells="1">
                  <from>
                    <xdr:col>6</xdr:col>
                    <xdr:colOff>0</xdr:colOff>
                    <xdr:row>3451</xdr:row>
                    <xdr:rowOff>0</xdr:rowOff>
                  </from>
                  <to>
                    <xdr:col>7</xdr:col>
                    <xdr:colOff>0</xdr:colOff>
                    <xdr:row>3451</xdr:row>
                    <xdr:rowOff>38100</xdr:rowOff>
                  </to>
                </anchor>
              </controlPr>
            </control>
          </mc:Choice>
        </mc:AlternateContent>
        <mc:AlternateContent xmlns:mc="http://schemas.openxmlformats.org/markup-compatibility/2006">
          <mc:Choice Requires="x14">
            <control shapeId="13042" r:id="rId1940" name="Button 1778">
              <controlPr defaultSize="0" autoFill="0" autoLine="0" autoPict="0" macro="[0]!Sheet1.deleteRow">
                <anchor moveWithCells="1" sizeWithCells="1">
                  <from>
                    <xdr:col>6</xdr:col>
                    <xdr:colOff>0</xdr:colOff>
                    <xdr:row>3452</xdr:row>
                    <xdr:rowOff>0</xdr:rowOff>
                  </from>
                  <to>
                    <xdr:col>7</xdr:col>
                    <xdr:colOff>0</xdr:colOff>
                    <xdr:row>3452</xdr:row>
                    <xdr:rowOff>161925</xdr:rowOff>
                  </to>
                </anchor>
              </controlPr>
            </control>
          </mc:Choice>
        </mc:AlternateContent>
        <mc:AlternateContent xmlns:mc="http://schemas.openxmlformats.org/markup-compatibility/2006">
          <mc:Choice Requires="x14">
            <control shapeId="13041" r:id="rId1941" name="Button 1777">
              <controlPr defaultSize="0" autoFill="0" autoLine="0" autoPict="0" macro="[0]!Sheet1.deleteRow">
                <anchor moveWithCells="1" sizeWithCells="1">
                  <from>
                    <xdr:col>6</xdr:col>
                    <xdr:colOff>0</xdr:colOff>
                    <xdr:row>3453</xdr:row>
                    <xdr:rowOff>0</xdr:rowOff>
                  </from>
                  <to>
                    <xdr:col>7</xdr:col>
                    <xdr:colOff>0</xdr:colOff>
                    <xdr:row>3453</xdr:row>
                    <xdr:rowOff>161925</xdr:rowOff>
                  </to>
                </anchor>
              </controlPr>
            </control>
          </mc:Choice>
        </mc:AlternateContent>
        <mc:AlternateContent xmlns:mc="http://schemas.openxmlformats.org/markup-compatibility/2006">
          <mc:Choice Requires="x14">
            <control shapeId="13040" r:id="rId1942" name="Button 1776">
              <controlPr defaultSize="0" autoFill="0" autoLine="0" autoPict="0" macro="[0]!Sheet1.deleteProcedure">
                <anchor moveWithCells="1" sizeWithCells="1">
                  <from>
                    <xdr:col>6</xdr:col>
                    <xdr:colOff>0</xdr:colOff>
                    <xdr:row>3456</xdr:row>
                    <xdr:rowOff>0</xdr:rowOff>
                  </from>
                  <to>
                    <xdr:col>7</xdr:col>
                    <xdr:colOff>0</xdr:colOff>
                    <xdr:row>3457</xdr:row>
                    <xdr:rowOff>0</xdr:rowOff>
                  </to>
                </anchor>
              </controlPr>
            </control>
          </mc:Choice>
        </mc:AlternateContent>
        <mc:AlternateContent xmlns:mc="http://schemas.openxmlformats.org/markup-compatibility/2006">
          <mc:Choice Requires="x14">
            <control shapeId="13039" r:id="rId1943" name="Button 1775">
              <controlPr defaultSize="0" autoFill="0" autoLine="0" autoPict="0" macro="[0]!Sheet1.InsertNewTableRow">
                <anchor moveWithCells="1" sizeWithCells="1">
                  <from>
                    <xdr:col>6</xdr:col>
                    <xdr:colOff>0</xdr:colOff>
                    <xdr:row>3463</xdr:row>
                    <xdr:rowOff>0</xdr:rowOff>
                  </from>
                  <to>
                    <xdr:col>7</xdr:col>
                    <xdr:colOff>0</xdr:colOff>
                    <xdr:row>3463</xdr:row>
                    <xdr:rowOff>38100</xdr:rowOff>
                  </to>
                </anchor>
              </controlPr>
            </control>
          </mc:Choice>
        </mc:AlternateContent>
        <mc:AlternateContent xmlns:mc="http://schemas.openxmlformats.org/markup-compatibility/2006">
          <mc:Choice Requires="x14">
            <control shapeId="13038" r:id="rId1944" name="Button 1774">
              <controlPr defaultSize="0" autoFill="0" autoLine="0" autoPict="0" macro="[0]!Sheet1.deleteRow">
                <anchor moveWithCells="1" sizeWithCells="1">
                  <from>
                    <xdr:col>6</xdr:col>
                    <xdr:colOff>0</xdr:colOff>
                    <xdr:row>3464</xdr:row>
                    <xdr:rowOff>0</xdr:rowOff>
                  </from>
                  <to>
                    <xdr:col>7</xdr:col>
                    <xdr:colOff>0</xdr:colOff>
                    <xdr:row>3464</xdr:row>
                    <xdr:rowOff>161925</xdr:rowOff>
                  </to>
                </anchor>
              </controlPr>
            </control>
          </mc:Choice>
        </mc:AlternateContent>
        <mc:AlternateContent xmlns:mc="http://schemas.openxmlformats.org/markup-compatibility/2006">
          <mc:Choice Requires="x14">
            <control shapeId="13037" r:id="rId1945" name="Button 1773">
              <controlPr defaultSize="0" autoFill="0" autoLine="0" autoPict="0" macro="[0]!Sheet1.deleteRow">
                <anchor moveWithCells="1" sizeWithCells="1">
                  <from>
                    <xdr:col>6</xdr:col>
                    <xdr:colOff>0</xdr:colOff>
                    <xdr:row>3465</xdr:row>
                    <xdr:rowOff>0</xdr:rowOff>
                  </from>
                  <to>
                    <xdr:col>7</xdr:col>
                    <xdr:colOff>0</xdr:colOff>
                    <xdr:row>3465</xdr:row>
                    <xdr:rowOff>161925</xdr:rowOff>
                  </to>
                </anchor>
              </controlPr>
            </control>
          </mc:Choice>
        </mc:AlternateContent>
        <mc:AlternateContent xmlns:mc="http://schemas.openxmlformats.org/markup-compatibility/2006">
          <mc:Choice Requires="x14">
            <control shapeId="13036" r:id="rId1946" name="Button 1772">
              <controlPr defaultSize="0" autoFill="0" autoLine="0" autoPict="0" macro="[0]!Sheet1.deleteProcedure">
                <anchor moveWithCells="1" sizeWithCells="1">
                  <from>
                    <xdr:col>6</xdr:col>
                    <xdr:colOff>0</xdr:colOff>
                    <xdr:row>3468</xdr:row>
                    <xdr:rowOff>0</xdr:rowOff>
                  </from>
                  <to>
                    <xdr:col>7</xdr:col>
                    <xdr:colOff>0</xdr:colOff>
                    <xdr:row>3469</xdr:row>
                    <xdr:rowOff>0</xdr:rowOff>
                  </to>
                </anchor>
              </controlPr>
            </control>
          </mc:Choice>
        </mc:AlternateContent>
        <mc:AlternateContent xmlns:mc="http://schemas.openxmlformats.org/markup-compatibility/2006">
          <mc:Choice Requires="x14">
            <control shapeId="13035" r:id="rId1947" name="Button 1771">
              <controlPr defaultSize="0" autoFill="0" autoLine="0" autoPict="0" macro="[0]!Sheet1.InsertNewTableRow">
                <anchor moveWithCells="1" sizeWithCells="1">
                  <from>
                    <xdr:col>6</xdr:col>
                    <xdr:colOff>0</xdr:colOff>
                    <xdr:row>3475</xdr:row>
                    <xdr:rowOff>0</xdr:rowOff>
                  </from>
                  <to>
                    <xdr:col>7</xdr:col>
                    <xdr:colOff>0</xdr:colOff>
                    <xdr:row>3475</xdr:row>
                    <xdr:rowOff>38100</xdr:rowOff>
                  </to>
                </anchor>
              </controlPr>
            </control>
          </mc:Choice>
        </mc:AlternateContent>
        <mc:AlternateContent xmlns:mc="http://schemas.openxmlformats.org/markup-compatibility/2006">
          <mc:Choice Requires="x14">
            <control shapeId="13034" r:id="rId1948" name="Button 1770">
              <controlPr defaultSize="0" autoFill="0" autoLine="0" autoPict="0" macro="[0]!Sheet1.deleteRow">
                <anchor moveWithCells="1" sizeWithCells="1">
                  <from>
                    <xdr:col>6</xdr:col>
                    <xdr:colOff>0</xdr:colOff>
                    <xdr:row>3476</xdr:row>
                    <xdr:rowOff>0</xdr:rowOff>
                  </from>
                  <to>
                    <xdr:col>7</xdr:col>
                    <xdr:colOff>0</xdr:colOff>
                    <xdr:row>3476</xdr:row>
                    <xdr:rowOff>161925</xdr:rowOff>
                  </to>
                </anchor>
              </controlPr>
            </control>
          </mc:Choice>
        </mc:AlternateContent>
        <mc:AlternateContent xmlns:mc="http://schemas.openxmlformats.org/markup-compatibility/2006">
          <mc:Choice Requires="x14">
            <control shapeId="13033" r:id="rId1949" name="Button 1769">
              <controlPr defaultSize="0" autoFill="0" autoLine="0" autoPict="0" macro="[0]!Sheet1.deleteProcedure">
                <anchor moveWithCells="1" sizeWithCells="1">
                  <from>
                    <xdr:col>6</xdr:col>
                    <xdr:colOff>0</xdr:colOff>
                    <xdr:row>3479</xdr:row>
                    <xdr:rowOff>0</xdr:rowOff>
                  </from>
                  <to>
                    <xdr:col>7</xdr:col>
                    <xdr:colOff>0</xdr:colOff>
                    <xdr:row>3480</xdr:row>
                    <xdr:rowOff>0</xdr:rowOff>
                  </to>
                </anchor>
              </controlPr>
            </control>
          </mc:Choice>
        </mc:AlternateContent>
        <mc:AlternateContent xmlns:mc="http://schemas.openxmlformats.org/markup-compatibility/2006">
          <mc:Choice Requires="x14">
            <control shapeId="13032" r:id="rId1950" name="Button 1768">
              <controlPr defaultSize="0" autoFill="0" autoLine="0" autoPict="0" macro="[0]!Sheet1.InsertNewTableRow">
                <anchor moveWithCells="1" sizeWithCells="1">
                  <from>
                    <xdr:col>6</xdr:col>
                    <xdr:colOff>0</xdr:colOff>
                    <xdr:row>3486</xdr:row>
                    <xdr:rowOff>0</xdr:rowOff>
                  </from>
                  <to>
                    <xdr:col>7</xdr:col>
                    <xdr:colOff>0</xdr:colOff>
                    <xdr:row>3486</xdr:row>
                    <xdr:rowOff>38100</xdr:rowOff>
                  </to>
                </anchor>
              </controlPr>
            </control>
          </mc:Choice>
        </mc:AlternateContent>
        <mc:AlternateContent xmlns:mc="http://schemas.openxmlformats.org/markup-compatibility/2006">
          <mc:Choice Requires="x14">
            <control shapeId="13031" r:id="rId1951" name="Button 1767">
              <controlPr defaultSize="0" autoFill="0" autoLine="0" autoPict="0" macro="[0]!Sheet1.deleteRow">
                <anchor moveWithCells="1" sizeWithCells="1">
                  <from>
                    <xdr:col>6</xdr:col>
                    <xdr:colOff>0</xdr:colOff>
                    <xdr:row>3487</xdr:row>
                    <xdr:rowOff>0</xdr:rowOff>
                  </from>
                  <to>
                    <xdr:col>7</xdr:col>
                    <xdr:colOff>0</xdr:colOff>
                    <xdr:row>3487</xdr:row>
                    <xdr:rowOff>161925</xdr:rowOff>
                  </to>
                </anchor>
              </controlPr>
            </control>
          </mc:Choice>
        </mc:AlternateContent>
        <mc:AlternateContent xmlns:mc="http://schemas.openxmlformats.org/markup-compatibility/2006">
          <mc:Choice Requires="x14">
            <control shapeId="13030" r:id="rId1952" name="Button 1766">
              <controlPr defaultSize="0" autoFill="0" autoLine="0" autoPict="0" macro="[0]!Sheet1.deleteProcedure">
                <anchor moveWithCells="1" sizeWithCells="1">
                  <from>
                    <xdr:col>6</xdr:col>
                    <xdr:colOff>0</xdr:colOff>
                    <xdr:row>3490</xdr:row>
                    <xdr:rowOff>0</xdr:rowOff>
                  </from>
                  <to>
                    <xdr:col>7</xdr:col>
                    <xdr:colOff>0</xdr:colOff>
                    <xdr:row>3491</xdr:row>
                    <xdr:rowOff>0</xdr:rowOff>
                  </to>
                </anchor>
              </controlPr>
            </control>
          </mc:Choice>
        </mc:AlternateContent>
        <mc:AlternateContent xmlns:mc="http://schemas.openxmlformats.org/markup-compatibility/2006">
          <mc:Choice Requires="x14">
            <control shapeId="13029" r:id="rId1953" name="Button 1765">
              <controlPr defaultSize="0" autoFill="0" autoLine="0" autoPict="0" macro="[0]!Sheet1.InsertNewTableRow">
                <anchor moveWithCells="1" sizeWithCells="1">
                  <from>
                    <xdr:col>6</xdr:col>
                    <xdr:colOff>0</xdr:colOff>
                    <xdr:row>3497</xdr:row>
                    <xdr:rowOff>0</xdr:rowOff>
                  </from>
                  <to>
                    <xdr:col>7</xdr:col>
                    <xdr:colOff>0</xdr:colOff>
                    <xdr:row>3497</xdr:row>
                    <xdr:rowOff>38100</xdr:rowOff>
                  </to>
                </anchor>
              </controlPr>
            </control>
          </mc:Choice>
        </mc:AlternateContent>
        <mc:AlternateContent xmlns:mc="http://schemas.openxmlformats.org/markup-compatibility/2006">
          <mc:Choice Requires="x14">
            <control shapeId="13028" r:id="rId1954" name="Button 1764">
              <controlPr defaultSize="0" autoFill="0" autoLine="0" autoPict="0" macro="[0]!Sheet1.deleteRow">
                <anchor moveWithCells="1" sizeWithCells="1">
                  <from>
                    <xdr:col>6</xdr:col>
                    <xdr:colOff>0</xdr:colOff>
                    <xdr:row>3498</xdr:row>
                    <xdr:rowOff>0</xdr:rowOff>
                  </from>
                  <to>
                    <xdr:col>7</xdr:col>
                    <xdr:colOff>0</xdr:colOff>
                    <xdr:row>3498</xdr:row>
                    <xdr:rowOff>161925</xdr:rowOff>
                  </to>
                </anchor>
              </controlPr>
            </control>
          </mc:Choice>
        </mc:AlternateContent>
        <mc:AlternateContent xmlns:mc="http://schemas.openxmlformats.org/markup-compatibility/2006">
          <mc:Choice Requires="x14">
            <control shapeId="13027" r:id="rId1955" name="Button 1763">
              <controlPr defaultSize="0" autoFill="0" autoLine="0" autoPict="0" macro="[0]!Sheet1.deleteProcedure">
                <anchor moveWithCells="1" sizeWithCells="1">
                  <from>
                    <xdr:col>6</xdr:col>
                    <xdr:colOff>0</xdr:colOff>
                    <xdr:row>3501</xdr:row>
                    <xdr:rowOff>0</xdr:rowOff>
                  </from>
                  <to>
                    <xdr:col>7</xdr:col>
                    <xdr:colOff>0</xdr:colOff>
                    <xdr:row>3502</xdr:row>
                    <xdr:rowOff>0</xdr:rowOff>
                  </to>
                </anchor>
              </controlPr>
            </control>
          </mc:Choice>
        </mc:AlternateContent>
        <mc:AlternateContent xmlns:mc="http://schemas.openxmlformats.org/markup-compatibility/2006">
          <mc:Choice Requires="x14">
            <control shapeId="13026" r:id="rId1956" name="Button 1762">
              <controlPr defaultSize="0" autoFill="0" autoLine="0" autoPict="0" macro="[0]!Sheet1.InsertNewTableRow">
                <anchor moveWithCells="1" sizeWithCells="1">
                  <from>
                    <xdr:col>6</xdr:col>
                    <xdr:colOff>0</xdr:colOff>
                    <xdr:row>3508</xdr:row>
                    <xdr:rowOff>0</xdr:rowOff>
                  </from>
                  <to>
                    <xdr:col>7</xdr:col>
                    <xdr:colOff>0</xdr:colOff>
                    <xdr:row>3508</xdr:row>
                    <xdr:rowOff>38100</xdr:rowOff>
                  </to>
                </anchor>
              </controlPr>
            </control>
          </mc:Choice>
        </mc:AlternateContent>
        <mc:AlternateContent xmlns:mc="http://schemas.openxmlformats.org/markup-compatibility/2006">
          <mc:Choice Requires="x14">
            <control shapeId="13025" r:id="rId1957" name="Button 1761">
              <controlPr defaultSize="0" autoFill="0" autoLine="0" autoPict="0" macro="[0]!Sheet1.deleteRow">
                <anchor moveWithCells="1" sizeWithCells="1">
                  <from>
                    <xdr:col>6</xdr:col>
                    <xdr:colOff>0</xdr:colOff>
                    <xdr:row>3509</xdr:row>
                    <xdr:rowOff>0</xdr:rowOff>
                  </from>
                  <to>
                    <xdr:col>7</xdr:col>
                    <xdr:colOff>0</xdr:colOff>
                    <xdr:row>3509</xdr:row>
                    <xdr:rowOff>161925</xdr:rowOff>
                  </to>
                </anchor>
              </controlPr>
            </control>
          </mc:Choice>
        </mc:AlternateContent>
        <mc:AlternateContent xmlns:mc="http://schemas.openxmlformats.org/markup-compatibility/2006">
          <mc:Choice Requires="x14">
            <control shapeId="13024" r:id="rId1958" name="Button 1760">
              <controlPr defaultSize="0" autoFill="0" autoLine="0" autoPict="0" macro="[0]!Sheet1.deleteProcedure">
                <anchor moveWithCells="1" sizeWithCells="1">
                  <from>
                    <xdr:col>6</xdr:col>
                    <xdr:colOff>0</xdr:colOff>
                    <xdr:row>3512</xdr:row>
                    <xdr:rowOff>0</xdr:rowOff>
                  </from>
                  <to>
                    <xdr:col>7</xdr:col>
                    <xdr:colOff>0</xdr:colOff>
                    <xdr:row>3513</xdr:row>
                    <xdr:rowOff>0</xdr:rowOff>
                  </to>
                </anchor>
              </controlPr>
            </control>
          </mc:Choice>
        </mc:AlternateContent>
        <mc:AlternateContent xmlns:mc="http://schemas.openxmlformats.org/markup-compatibility/2006">
          <mc:Choice Requires="x14">
            <control shapeId="13023" r:id="rId1959" name="Button 1759">
              <controlPr defaultSize="0" autoFill="0" autoLine="0" autoPict="0" macro="[0]!Sheet1.InsertNewTableRow">
                <anchor moveWithCells="1" sizeWithCells="1">
                  <from>
                    <xdr:col>6</xdr:col>
                    <xdr:colOff>0</xdr:colOff>
                    <xdr:row>3519</xdr:row>
                    <xdr:rowOff>0</xdr:rowOff>
                  </from>
                  <to>
                    <xdr:col>7</xdr:col>
                    <xdr:colOff>0</xdr:colOff>
                    <xdr:row>3519</xdr:row>
                    <xdr:rowOff>38100</xdr:rowOff>
                  </to>
                </anchor>
              </controlPr>
            </control>
          </mc:Choice>
        </mc:AlternateContent>
        <mc:AlternateContent xmlns:mc="http://schemas.openxmlformats.org/markup-compatibility/2006">
          <mc:Choice Requires="x14">
            <control shapeId="13022" r:id="rId1960" name="Button 1758">
              <controlPr defaultSize="0" autoFill="0" autoLine="0" autoPict="0" macro="[0]!Sheet1.deleteRow">
                <anchor moveWithCells="1" sizeWithCells="1">
                  <from>
                    <xdr:col>6</xdr:col>
                    <xdr:colOff>0</xdr:colOff>
                    <xdr:row>3520</xdr:row>
                    <xdr:rowOff>0</xdr:rowOff>
                  </from>
                  <to>
                    <xdr:col>7</xdr:col>
                    <xdr:colOff>0</xdr:colOff>
                    <xdr:row>3520</xdr:row>
                    <xdr:rowOff>161925</xdr:rowOff>
                  </to>
                </anchor>
              </controlPr>
            </control>
          </mc:Choice>
        </mc:AlternateContent>
        <mc:AlternateContent xmlns:mc="http://schemas.openxmlformats.org/markup-compatibility/2006">
          <mc:Choice Requires="x14">
            <control shapeId="13021" r:id="rId1961" name="Button 1757">
              <controlPr defaultSize="0" autoFill="0" autoLine="0" autoPict="0" macro="[0]!Sheet1.deleteProcedure">
                <anchor moveWithCells="1" sizeWithCells="1">
                  <from>
                    <xdr:col>6</xdr:col>
                    <xdr:colOff>0</xdr:colOff>
                    <xdr:row>3523</xdr:row>
                    <xdr:rowOff>0</xdr:rowOff>
                  </from>
                  <to>
                    <xdr:col>7</xdr:col>
                    <xdr:colOff>0</xdr:colOff>
                    <xdr:row>3524</xdr:row>
                    <xdr:rowOff>0</xdr:rowOff>
                  </to>
                </anchor>
              </controlPr>
            </control>
          </mc:Choice>
        </mc:AlternateContent>
        <mc:AlternateContent xmlns:mc="http://schemas.openxmlformats.org/markup-compatibility/2006">
          <mc:Choice Requires="x14">
            <control shapeId="13020" r:id="rId1962" name="Button 1756">
              <controlPr defaultSize="0" autoFill="0" autoLine="0" autoPict="0" macro="[0]!Sheet1.InsertNewTableRow">
                <anchor moveWithCells="1" sizeWithCells="1">
                  <from>
                    <xdr:col>6</xdr:col>
                    <xdr:colOff>0</xdr:colOff>
                    <xdr:row>3530</xdr:row>
                    <xdr:rowOff>0</xdr:rowOff>
                  </from>
                  <to>
                    <xdr:col>7</xdr:col>
                    <xdr:colOff>0</xdr:colOff>
                    <xdr:row>3530</xdr:row>
                    <xdr:rowOff>38100</xdr:rowOff>
                  </to>
                </anchor>
              </controlPr>
            </control>
          </mc:Choice>
        </mc:AlternateContent>
        <mc:AlternateContent xmlns:mc="http://schemas.openxmlformats.org/markup-compatibility/2006">
          <mc:Choice Requires="x14">
            <control shapeId="13019" r:id="rId1963" name="Button 1755">
              <controlPr defaultSize="0" autoFill="0" autoLine="0" autoPict="0" macro="[0]!Sheet1.deleteRow">
                <anchor moveWithCells="1" sizeWithCells="1">
                  <from>
                    <xdr:col>6</xdr:col>
                    <xdr:colOff>0</xdr:colOff>
                    <xdr:row>3531</xdr:row>
                    <xdr:rowOff>0</xdr:rowOff>
                  </from>
                  <to>
                    <xdr:col>7</xdr:col>
                    <xdr:colOff>0</xdr:colOff>
                    <xdr:row>3531</xdr:row>
                    <xdr:rowOff>161925</xdr:rowOff>
                  </to>
                </anchor>
              </controlPr>
            </control>
          </mc:Choice>
        </mc:AlternateContent>
        <mc:AlternateContent xmlns:mc="http://schemas.openxmlformats.org/markup-compatibility/2006">
          <mc:Choice Requires="x14">
            <control shapeId="13018" r:id="rId1964" name="Button 1754">
              <controlPr defaultSize="0" autoFill="0" autoLine="0" autoPict="0" macro="[0]!Sheet1.deleteRow">
                <anchor moveWithCells="1" sizeWithCells="1">
                  <from>
                    <xdr:col>6</xdr:col>
                    <xdr:colOff>0</xdr:colOff>
                    <xdr:row>3532</xdr:row>
                    <xdr:rowOff>0</xdr:rowOff>
                  </from>
                  <to>
                    <xdr:col>7</xdr:col>
                    <xdr:colOff>0</xdr:colOff>
                    <xdr:row>3532</xdr:row>
                    <xdr:rowOff>161925</xdr:rowOff>
                  </to>
                </anchor>
              </controlPr>
            </control>
          </mc:Choice>
        </mc:AlternateContent>
        <mc:AlternateContent xmlns:mc="http://schemas.openxmlformats.org/markup-compatibility/2006">
          <mc:Choice Requires="x14">
            <control shapeId="13017" r:id="rId1965" name="Button 1753">
              <controlPr defaultSize="0" autoFill="0" autoLine="0" autoPict="0" macro="[0]!Sheet1.deleteProcedure">
                <anchor moveWithCells="1" sizeWithCells="1">
                  <from>
                    <xdr:col>6</xdr:col>
                    <xdr:colOff>0</xdr:colOff>
                    <xdr:row>3535</xdr:row>
                    <xdr:rowOff>0</xdr:rowOff>
                  </from>
                  <to>
                    <xdr:col>7</xdr:col>
                    <xdr:colOff>0</xdr:colOff>
                    <xdr:row>3536</xdr:row>
                    <xdr:rowOff>0</xdr:rowOff>
                  </to>
                </anchor>
              </controlPr>
            </control>
          </mc:Choice>
        </mc:AlternateContent>
        <mc:AlternateContent xmlns:mc="http://schemas.openxmlformats.org/markup-compatibility/2006">
          <mc:Choice Requires="x14">
            <control shapeId="13016" r:id="rId1966" name="Button 1752">
              <controlPr defaultSize="0" autoFill="0" autoLine="0" autoPict="0" macro="[0]!Sheet1.InsertNewTableRow">
                <anchor moveWithCells="1" sizeWithCells="1">
                  <from>
                    <xdr:col>6</xdr:col>
                    <xdr:colOff>0</xdr:colOff>
                    <xdr:row>3542</xdr:row>
                    <xdr:rowOff>0</xdr:rowOff>
                  </from>
                  <to>
                    <xdr:col>7</xdr:col>
                    <xdr:colOff>0</xdr:colOff>
                    <xdr:row>3542</xdr:row>
                    <xdr:rowOff>38100</xdr:rowOff>
                  </to>
                </anchor>
              </controlPr>
            </control>
          </mc:Choice>
        </mc:AlternateContent>
        <mc:AlternateContent xmlns:mc="http://schemas.openxmlformats.org/markup-compatibility/2006">
          <mc:Choice Requires="x14">
            <control shapeId="13015" r:id="rId1967" name="Button 1751">
              <controlPr defaultSize="0" autoFill="0" autoLine="0" autoPict="0" macro="[0]!Sheet1.deleteRow">
                <anchor moveWithCells="1" sizeWithCells="1">
                  <from>
                    <xdr:col>6</xdr:col>
                    <xdr:colOff>0</xdr:colOff>
                    <xdr:row>3543</xdr:row>
                    <xdr:rowOff>0</xdr:rowOff>
                  </from>
                  <to>
                    <xdr:col>7</xdr:col>
                    <xdr:colOff>0</xdr:colOff>
                    <xdr:row>3543</xdr:row>
                    <xdr:rowOff>161925</xdr:rowOff>
                  </to>
                </anchor>
              </controlPr>
            </control>
          </mc:Choice>
        </mc:AlternateContent>
        <mc:AlternateContent xmlns:mc="http://schemas.openxmlformats.org/markup-compatibility/2006">
          <mc:Choice Requires="x14">
            <control shapeId="13014" r:id="rId1968" name="Button 1750">
              <controlPr defaultSize="0" autoFill="0" autoLine="0" autoPict="0" macro="[0]!Sheet1.deleteProcedure">
                <anchor moveWithCells="1" sizeWithCells="1">
                  <from>
                    <xdr:col>6</xdr:col>
                    <xdr:colOff>0</xdr:colOff>
                    <xdr:row>3546</xdr:row>
                    <xdr:rowOff>0</xdr:rowOff>
                  </from>
                  <to>
                    <xdr:col>7</xdr:col>
                    <xdr:colOff>0</xdr:colOff>
                    <xdr:row>3547</xdr:row>
                    <xdr:rowOff>0</xdr:rowOff>
                  </to>
                </anchor>
              </controlPr>
            </control>
          </mc:Choice>
        </mc:AlternateContent>
        <mc:AlternateContent xmlns:mc="http://schemas.openxmlformats.org/markup-compatibility/2006">
          <mc:Choice Requires="x14">
            <control shapeId="13013" r:id="rId1969" name="Button 1749">
              <controlPr defaultSize="0" autoFill="0" autoLine="0" autoPict="0" macro="[0]!Sheet1.InsertNewTableRow">
                <anchor moveWithCells="1" sizeWithCells="1">
                  <from>
                    <xdr:col>6</xdr:col>
                    <xdr:colOff>0</xdr:colOff>
                    <xdr:row>3553</xdr:row>
                    <xdr:rowOff>0</xdr:rowOff>
                  </from>
                  <to>
                    <xdr:col>7</xdr:col>
                    <xdr:colOff>0</xdr:colOff>
                    <xdr:row>3553</xdr:row>
                    <xdr:rowOff>38100</xdr:rowOff>
                  </to>
                </anchor>
              </controlPr>
            </control>
          </mc:Choice>
        </mc:AlternateContent>
        <mc:AlternateContent xmlns:mc="http://schemas.openxmlformats.org/markup-compatibility/2006">
          <mc:Choice Requires="x14">
            <control shapeId="13012" r:id="rId1970" name="Button 1748">
              <controlPr defaultSize="0" autoFill="0" autoLine="0" autoPict="0" macro="[0]!Sheet1.deleteRow">
                <anchor moveWithCells="1" sizeWithCells="1">
                  <from>
                    <xdr:col>6</xdr:col>
                    <xdr:colOff>0</xdr:colOff>
                    <xdr:row>3554</xdr:row>
                    <xdr:rowOff>0</xdr:rowOff>
                  </from>
                  <to>
                    <xdr:col>7</xdr:col>
                    <xdr:colOff>0</xdr:colOff>
                    <xdr:row>3554</xdr:row>
                    <xdr:rowOff>161925</xdr:rowOff>
                  </to>
                </anchor>
              </controlPr>
            </control>
          </mc:Choice>
        </mc:AlternateContent>
        <mc:AlternateContent xmlns:mc="http://schemas.openxmlformats.org/markup-compatibility/2006">
          <mc:Choice Requires="x14">
            <control shapeId="13011" r:id="rId1971" name="Button 1747">
              <controlPr defaultSize="0" autoFill="0" autoLine="0" autoPict="0" macro="[0]!Sheet1.deleteProcedure">
                <anchor moveWithCells="1" sizeWithCells="1">
                  <from>
                    <xdr:col>6</xdr:col>
                    <xdr:colOff>0</xdr:colOff>
                    <xdr:row>3557</xdr:row>
                    <xdr:rowOff>0</xdr:rowOff>
                  </from>
                  <to>
                    <xdr:col>7</xdr:col>
                    <xdr:colOff>0</xdr:colOff>
                    <xdr:row>3558</xdr:row>
                    <xdr:rowOff>0</xdr:rowOff>
                  </to>
                </anchor>
              </controlPr>
            </control>
          </mc:Choice>
        </mc:AlternateContent>
        <mc:AlternateContent xmlns:mc="http://schemas.openxmlformats.org/markup-compatibility/2006">
          <mc:Choice Requires="x14">
            <control shapeId="13010" r:id="rId1972" name="Button 1746">
              <controlPr defaultSize="0" autoFill="0" autoLine="0" autoPict="0" macro="[0]!Sheet1.InsertNewTableRow">
                <anchor moveWithCells="1" sizeWithCells="1">
                  <from>
                    <xdr:col>6</xdr:col>
                    <xdr:colOff>0</xdr:colOff>
                    <xdr:row>3564</xdr:row>
                    <xdr:rowOff>0</xdr:rowOff>
                  </from>
                  <to>
                    <xdr:col>7</xdr:col>
                    <xdr:colOff>0</xdr:colOff>
                    <xdr:row>3564</xdr:row>
                    <xdr:rowOff>38100</xdr:rowOff>
                  </to>
                </anchor>
              </controlPr>
            </control>
          </mc:Choice>
        </mc:AlternateContent>
        <mc:AlternateContent xmlns:mc="http://schemas.openxmlformats.org/markup-compatibility/2006">
          <mc:Choice Requires="x14">
            <control shapeId="13009" r:id="rId1973" name="Button 1745">
              <controlPr defaultSize="0" autoFill="0" autoLine="0" autoPict="0" macro="[0]!Sheet1.deleteRow">
                <anchor moveWithCells="1" sizeWithCells="1">
                  <from>
                    <xdr:col>6</xdr:col>
                    <xdr:colOff>0</xdr:colOff>
                    <xdr:row>3565</xdr:row>
                    <xdr:rowOff>0</xdr:rowOff>
                  </from>
                  <to>
                    <xdr:col>7</xdr:col>
                    <xdr:colOff>0</xdr:colOff>
                    <xdr:row>3565</xdr:row>
                    <xdr:rowOff>161925</xdr:rowOff>
                  </to>
                </anchor>
              </controlPr>
            </control>
          </mc:Choice>
        </mc:AlternateContent>
        <mc:AlternateContent xmlns:mc="http://schemas.openxmlformats.org/markup-compatibility/2006">
          <mc:Choice Requires="x14">
            <control shapeId="13008" r:id="rId1974" name="Button 1744">
              <controlPr defaultSize="0" autoFill="0" autoLine="0" autoPict="0" macro="[0]!Sheet1.deleteRow">
                <anchor moveWithCells="1" sizeWithCells="1">
                  <from>
                    <xdr:col>6</xdr:col>
                    <xdr:colOff>0</xdr:colOff>
                    <xdr:row>3566</xdr:row>
                    <xdr:rowOff>0</xdr:rowOff>
                  </from>
                  <to>
                    <xdr:col>7</xdr:col>
                    <xdr:colOff>0</xdr:colOff>
                    <xdr:row>3566</xdr:row>
                    <xdr:rowOff>161925</xdr:rowOff>
                  </to>
                </anchor>
              </controlPr>
            </control>
          </mc:Choice>
        </mc:AlternateContent>
        <mc:AlternateContent xmlns:mc="http://schemas.openxmlformats.org/markup-compatibility/2006">
          <mc:Choice Requires="x14">
            <control shapeId="13007" r:id="rId1975" name="Button 1743">
              <controlPr defaultSize="0" autoFill="0" autoLine="0" autoPict="0" macro="[0]!Sheet1.deleteRow">
                <anchor moveWithCells="1" sizeWithCells="1">
                  <from>
                    <xdr:col>6</xdr:col>
                    <xdr:colOff>0</xdr:colOff>
                    <xdr:row>3567</xdr:row>
                    <xdr:rowOff>0</xdr:rowOff>
                  </from>
                  <to>
                    <xdr:col>7</xdr:col>
                    <xdr:colOff>0</xdr:colOff>
                    <xdr:row>3567</xdr:row>
                    <xdr:rowOff>161925</xdr:rowOff>
                  </to>
                </anchor>
              </controlPr>
            </control>
          </mc:Choice>
        </mc:AlternateContent>
        <mc:AlternateContent xmlns:mc="http://schemas.openxmlformats.org/markup-compatibility/2006">
          <mc:Choice Requires="x14">
            <control shapeId="13006" r:id="rId1976" name="Button 1742">
              <controlPr defaultSize="0" autoFill="0" autoLine="0" autoPict="0" macro="[0]!Sheet1.deleteRow">
                <anchor moveWithCells="1" sizeWithCells="1">
                  <from>
                    <xdr:col>6</xdr:col>
                    <xdr:colOff>0</xdr:colOff>
                    <xdr:row>3568</xdr:row>
                    <xdr:rowOff>0</xdr:rowOff>
                  </from>
                  <to>
                    <xdr:col>7</xdr:col>
                    <xdr:colOff>0</xdr:colOff>
                    <xdr:row>3568</xdr:row>
                    <xdr:rowOff>161925</xdr:rowOff>
                  </to>
                </anchor>
              </controlPr>
            </control>
          </mc:Choice>
        </mc:AlternateContent>
        <mc:AlternateContent xmlns:mc="http://schemas.openxmlformats.org/markup-compatibility/2006">
          <mc:Choice Requires="x14">
            <control shapeId="13005" r:id="rId1977" name="Button 1741">
              <controlPr defaultSize="0" autoFill="0" autoLine="0" autoPict="0" macro="[0]!Sheet1.deleteRow">
                <anchor moveWithCells="1" sizeWithCells="1">
                  <from>
                    <xdr:col>6</xdr:col>
                    <xdr:colOff>0</xdr:colOff>
                    <xdr:row>3569</xdr:row>
                    <xdr:rowOff>0</xdr:rowOff>
                  </from>
                  <to>
                    <xdr:col>7</xdr:col>
                    <xdr:colOff>0</xdr:colOff>
                    <xdr:row>3569</xdr:row>
                    <xdr:rowOff>161925</xdr:rowOff>
                  </to>
                </anchor>
              </controlPr>
            </control>
          </mc:Choice>
        </mc:AlternateContent>
        <mc:AlternateContent xmlns:mc="http://schemas.openxmlformats.org/markup-compatibility/2006">
          <mc:Choice Requires="x14">
            <control shapeId="13004" r:id="rId1978" name="Button 1740">
              <controlPr defaultSize="0" autoFill="0" autoLine="0" autoPict="0" macro="[0]!Sheet1.deleteRow">
                <anchor moveWithCells="1" sizeWithCells="1">
                  <from>
                    <xdr:col>6</xdr:col>
                    <xdr:colOff>0</xdr:colOff>
                    <xdr:row>3570</xdr:row>
                    <xdr:rowOff>0</xdr:rowOff>
                  </from>
                  <to>
                    <xdr:col>7</xdr:col>
                    <xdr:colOff>0</xdr:colOff>
                    <xdr:row>3570</xdr:row>
                    <xdr:rowOff>161925</xdr:rowOff>
                  </to>
                </anchor>
              </controlPr>
            </control>
          </mc:Choice>
        </mc:AlternateContent>
        <mc:AlternateContent xmlns:mc="http://schemas.openxmlformats.org/markup-compatibility/2006">
          <mc:Choice Requires="x14">
            <control shapeId="13003" r:id="rId1979" name="Button 1739">
              <controlPr defaultSize="0" autoFill="0" autoLine="0" autoPict="0" macro="[0]!Sheet1.deleteRow">
                <anchor moveWithCells="1" sizeWithCells="1">
                  <from>
                    <xdr:col>6</xdr:col>
                    <xdr:colOff>0</xdr:colOff>
                    <xdr:row>3571</xdr:row>
                    <xdr:rowOff>0</xdr:rowOff>
                  </from>
                  <to>
                    <xdr:col>7</xdr:col>
                    <xdr:colOff>0</xdr:colOff>
                    <xdr:row>3571</xdr:row>
                    <xdr:rowOff>161925</xdr:rowOff>
                  </to>
                </anchor>
              </controlPr>
            </control>
          </mc:Choice>
        </mc:AlternateContent>
        <mc:AlternateContent xmlns:mc="http://schemas.openxmlformats.org/markup-compatibility/2006">
          <mc:Choice Requires="x14">
            <control shapeId="13002" r:id="rId1980" name="Button 1738">
              <controlPr defaultSize="0" autoFill="0" autoLine="0" autoPict="0" macro="[0]!Sheet1.deleteRow">
                <anchor moveWithCells="1" sizeWithCells="1">
                  <from>
                    <xdr:col>6</xdr:col>
                    <xdr:colOff>0</xdr:colOff>
                    <xdr:row>3572</xdr:row>
                    <xdr:rowOff>0</xdr:rowOff>
                  </from>
                  <to>
                    <xdr:col>7</xdr:col>
                    <xdr:colOff>0</xdr:colOff>
                    <xdr:row>3572</xdr:row>
                    <xdr:rowOff>161925</xdr:rowOff>
                  </to>
                </anchor>
              </controlPr>
            </control>
          </mc:Choice>
        </mc:AlternateContent>
        <mc:AlternateContent xmlns:mc="http://schemas.openxmlformats.org/markup-compatibility/2006">
          <mc:Choice Requires="x14">
            <control shapeId="13001" r:id="rId1981" name="Button 1737">
              <controlPr defaultSize="0" autoFill="0" autoLine="0" autoPict="0" macro="[0]!Sheet1.deleteRow">
                <anchor moveWithCells="1" sizeWithCells="1">
                  <from>
                    <xdr:col>6</xdr:col>
                    <xdr:colOff>0</xdr:colOff>
                    <xdr:row>3573</xdr:row>
                    <xdr:rowOff>0</xdr:rowOff>
                  </from>
                  <to>
                    <xdr:col>7</xdr:col>
                    <xdr:colOff>0</xdr:colOff>
                    <xdr:row>3573</xdr:row>
                    <xdr:rowOff>161925</xdr:rowOff>
                  </to>
                </anchor>
              </controlPr>
            </control>
          </mc:Choice>
        </mc:AlternateContent>
        <mc:AlternateContent xmlns:mc="http://schemas.openxmlformats.org/markup-compatibility/2006">
          <mc:Choice Requires="x14">
            <control shapeId="13000" r:id="rId1982" name="Button 1736">
              <controlPr defaultSize="0" autoFill="0" autoLine="0" autoPict="0" macro="[0]!Sheet1.deleteRow">
                <anchor moveWithCells="1" sizeWithCells="1">
                  <from>
                    <xdr:col>6</xdr:col>
                    <xdr:colOff>0</xdr:colOff>
                    <xdr:row>3574</xdr:row>
                    <xdr:rowOff>0</xdr:rowOff>
                  </from>
                  <to>
                    <xdr:col>7</xdr:col>
                    <xdr:colOff>0</xdr:colOff>
                    <xdr:row>3574</xdr:row>
                    <xdr:rowOff>161925</xdr:rowOff>
                  </to>
                </anchor>
              </controlPr>
            </control>
          </mc:Choice>
        </mc:AlternateContent>
        <mc:AlternateContent xmlns:mc="http://schemas.openxmlformats.org/markup-compatibility/2006">
          <mc:Choice Requires="x14">
            <control shapeId="12999" r:id="rId1983" name="Button 1735">
              <controlPr defaultSize="0" autoFill="0" autoLine="0" autoPict="0" macro="[0]!Sheet1.deleteRow">
                <anchor moveWithCells="1" sizeWithCells="1">
                  <from>
                    <xdr:col>6</xdr:col>
                    <xdr:colOff>0</xdr:colOff>
                    <xdr:row>3575</xdr:row>
                    <xdr:rowOff>0</xdr:rowOff>
                  </from>
                  <to>
                    <xdr:col>7</xdr:col>
                    <xdr:colOff>0</xdr:colOff>
                    <xdr:row>3575</xdr:row>
                    <xdr:rowOff>161925</xdr:rowOff>
                  </to>
                </anchor>
              </controlPr>
            </control>
          </mc:Choice>
        </mc:AlternateContent>
        <mc:AlternateContent xmlns:mc="http://schemas.openxmlformats.org/markup-compatibility/2006">
          <mc:Choice Requires="x14">
            <control shapeId="12998" r:id="rId1984" name="Button 1734">
              <controlPr defaultSize="0" autoFill="0" autoLine="0" autoPict="0" macro="[0]!Sheet1.deleteRow">
                <anchor moveWithCells="1" sizeWithCells="1">
                  <from>
                    <xdr:col>6</xdr:col>
                    <xdr:colOff>0</xdr:colOff>
                    <xdr:row>3576</xdr:row>
                    <xdr:rowOff>0</xdr:rowOff>
                  </from>
                  <to>
                    <xdr:col>7</xdr:col>
                    <xdr:colOff>0</xdr:colOff>
                    <xdr:row>3576</xdr:row>
                    <xdr:rowOff>161925</xdr:rowOff>
                  </to>
                </anchor>
              </controlPr>
            </control>
          </mc:Choice>
        </mc:AlternateContent>
        <mc:AlternateContent xmlns:mc="http://schemas.openxmlformats.org/markup-compatibility/2006">
          <mc:Choice Requires="x14">
            <control shapeId="12997" r:id="rId1985" name="Button 1733">
              <controlPr defaultSize="0" autoFill="0" autoLine="0" autoPict="0" macro="[0]!Sheet1.deleteRow">
                <anchor moveWithCells="1" sizeWithCells="1">
                  <from>
                    <xdr:col>6</xdr:col>
                    <xdr:colOff>0</xdr:colOff>
                    <xdr:row>3577</xdr:row>
                    <xdr:rowOff>0</xdr:rowOff>
                  </from>
                  <to>
                    <xdr:col>7</xdr:col>
                    <xdr:colOff>0</xdr:colOff>
                    <xdr:row>3577</xdr:row>
                    <xdr:rowOff>161925</xdr:rowOff>
                  </to>
                </anchor>
              </controlPr>
            </control>
          </mc:Choice>
        </mc:AlternateContent>
        <mc:AlternateContent xmlns:mc="http://schemas.openxmlformats.org/markup-compatibility/2006">
          <mc:Choice Requires="x14">
            <control shapeId="12996" r:id="rId1986" name="Button 1732">
              <controlPr defaultSize="0" autoFill="0" autoLine="0" autoPict="0" macro="[0]!Sheet1.deleteRow">
                <anchor moveWithCells="1" sizeWithCells="1">
                  <from>
                    <xdr:col>6</xdr:col>
                    <xdr:colOff>0</xdr:colOff>
                    <xdr:row>3578</xdr:row>
                    <xdr:rowOff>0</xdr:rowOff>
                  </from>
                  <to>
                    <xdr:col>7</xdr:col>
                    <xdr:colOff>0</xdr:colOff>
                    <xdr:row>3578</xdr:row>
                    <xdr:rowOff>161925</xdr:rowOff>
                  </to>
                </anchor>
              </controlPr>
            </control>
          </mc:Choice>
        </mc:AlternateContent>
        <mc:AlternateContent xmlns:mc="http://schemas.openxmlformats.org/markup-compatibility/2006">
          <mc:Choice Requires="x14">
            <control shapeId="12995" r:id="rId1987" name="Button 1731">
              <controlPr defaultSize="0" autoFill="0" autoLine="0" autoPict="0" macro="[0]!Sheet1.deleteRow">
                <anchor moveWithCells="1" sizeWithCells="1">
                  <from>
                    <xdr:col>6</xdr:col>
                    <xdr:colOff>0</xdr:colOff>
                    <xdr:row>3579</xdr:row>
                    <xdr:rowOff>0</xdr:rowOff>
                  </from>
                  <to>
                    <xdr:col>7</xdr:col>
                    <xdr:colOff>0</xdr:colOff>
                    <xdr:row>3579</xdr:row>
                    <xdr:rowOff>161925</xdr:rowOff>
                  </to>
                </anchor>
              </controlPr>
            </control>
          </mc:Choice>
        </mc:AlternateContent>
        <mc:AlternateContent xmlns:mc="http://schemas.openxmlformats.org/markup-compatibility/2006">
          <mc:Choice Requires="x14">
            <control shapeId="12994" r:id="rId1988" name="Button 1730">
              <controlPr defaultSize="0" autoFill="0" autoLine="0" autoPict="0" macro="[0]!Sheet1.deleteRow">
                <anchor moveWithCells="1" sizeWithCells="1">
                  <from>
                    <xdr:col>6</xdr:col>
                    <xdr:colOff>0</xdr:colOff>
                    <xdr:row>3580</xdr:row>
                    <xdr:rowOff>0</xdr:rowOff>
                  </from>
                  <to>
                    <xdr:col>7</xdr:col>
                    <xdr:colOff>0</xdr:colOff>
                    <xdr:row>3580</xdr:row>
                    <xdr:rowOff>161925</xdr:rowOff>
                  </to>
                </anchor>
              </controlPr>
            </control>
          </mc:Choice>
        </mc:AlternateContent>
        <mc:AlternateContent xmlns:mc="http://schemas.openxmlformats.org/markup-compatibility/2006">
          <mc:Choice Requires="x14">
            <control shapeId="12993" r:id="rId1989" name="Button 1729">
              <controlPr defaultSize="0" autoFill="0" autoLine="0" autoPict="0" macro="[0]!Sheet1.deleteRow">
                <anchor moveWithCells="1" sizeWithCells="1">
                  <from>
                    <xdr:col>6</xdr:col>
                    <xdr:colOff>0</xdr:colOff>
                    <xdr:row>3581</xdr:row>
                    <xdr:rowOff>0</xdr:rowOff>
                  </from>
                  <to>
                    <xdr:col>7</xdr:col>
                    <xdr:colOff>0</xdr:colOff>
                    <xdr:row>3581</xdr:row>
                    <xdr:rowOff>161925</xdr:rowOff>
                  </to>
                </anchor>
              </controlPr>
            </control>
          </mc:Choice>
        </mc:AlternateContent>
        <mc:AlternateContent xmlns:mc="http://schemas.openxmlformats.org/markup-compatibility/2006">
          <mc:Choice Requires="x14">
            <control shapeId="12992" r:id="rId1990" name="Button 1728">
              <controlPr defaultSize="0" autoFill="0" autoLine="0" autoPict="0" macro="[0]!Sheet1.deleteRow">
                <anchor moveWithCells="1" sizeWithCells="1">
                  <from>
                    <xdr:col>6</xdr:col>
                    <xdr:colOff>0</xdr:colOff>
                    <xdr:row>3582</xdr:row>
                    <xdr:rowOff>0</xdr:rowOff>
                  </from>
                  <to>
                    <xdr:col>7</xdr:col>
                    <xdr:colOff>0</xdr:colOff>
                    <xdr:row>3582</xdr:row>
                    <xdr:rowOff>161925</xdr:rowOff>
                  </to>
                </anchor>
              </controlPr>
            </control>
          </mc:Choice>
        </mc:AlternateContent>
        <mc:AlternateContent xmlns:mc="http://schemas.openxmlformats.org/markup-compatibility/2006">
          <mc:Choice Requires="x14">
            <control shapeId="12991" r:id="rId1991" name="Button 1727">
              <controlPr defaultSize="0" autoFill="0" autoLine="0" autoPict="0" macro="[0]!Sheet1.deleteRow">
                <anchor moveWithCells="1" sizeWithCells="1">
                  <from>
                    <xdr:col>6</xdr:col>
                    <xdr:colOff>0</xdr:colOff>
                    <xdr:row>3583</xdr:row>
                    <xdr:rowOff>0</xdr:rowOff>
                  </from>
                  <to>
                    <xdr:col>7</xdr:col>
                    <xdr:colOff>0</xdr:colOff>
                    <xdr:row>3583</xdr:row>
                    <xdr:rowOff>161925</xdr:rowOff>
                  </to>
                </anchor>
              </controlPr>
            </control>
          </mc:Choice>
        </mc:AlternateContent>
        <mc:AlternateContent xmlns:mc="http://schemas.openxmlformats.org/markup-compatibility/2006">
          <mc:Choice Requires="x14">
            <control shapeId="12990" r:id="rId1992" name="Button 1726">
              <controlPr defaultSize="0" autoFill="0" autoLine="0" autoPict="0" macro="[0]!Sheet1.deleteRow">
                <anchor moveWithCells="1" sizeWithCells="1">
                  <from>
                    <xdr:col>6</xdr:col>
                    <xdr:colOff>0</xdr:colOff>
                    <xdr:row>3584</xdr:row>
                    <xdr:rowOff>0</xdr:rowOff>
                  </from>
                  <to>
                    <xdr:col>7</xdr:col>
                    <xdr:colOff>0</xdr:colOff>
                    <xdr:row>3584</xdr:row>
                    <xdr:rowOff>161925</xdr:rowOff>
                  </to>
                </anchor>
              </controlPr>
            </control>
          </mc:Choice>
        </mc:AlternateContent>
        <mc:AlternateContent xmlns:mc="http://schemas.openxmlformats.org/markup-compatibility/2006">
          <mc:Choice Requires="x14">
            <control shapeId="12989" r:id="rId1993" name="Button 1725">
              <controlPr defaultSize="0" autoFill="0" autoLine="0" autoPict="0" macro="[0]!Sheet1.deleteRow">
                <anchor moveWithCells="1" sizeWithCells="1">
                  <from>
                    <xdr:col>6</xdr:col>
                    <xdr:colOff>0</xdr:colOff>
                    <xdr:row>3585</xdr:row>
                    <xdr:rowOff>0</xdr:rowOff>
                  </from>
                  <to>
                    <xdr:col>7</xdr:col>
                    <xdr:colOff>0</xdr:colOff>
                    <xdr:row>3585</xdr:row>
                    <xdr:rowOff>161925</xdr:rowOff>
                  </to>
                </anchor>
              </controlPr>
            </control>
          </mc:Choice>
        </mc:AlternateContent>
        <mc:AlternateContent xmlns:mc="http://schemas.openxmlformats.org/markup-compatibility/2006">
          <mc:Choice Requires="x14">
            <control shapeId="12988" r:id="rId1994" name="Button 1724">
              <controlPr defaultSize="0" autoFill="0" autoLine="0" autoPict="0" macro="[0]!Sheet1.deleteRow">
                <anchor moveWithCells="1" sizeWithCells="1">
                  <from>
                    <xdr:col>6</xdr:col>
                    <xdr:colOff>0</xdr:colOff>
                    <xdr:row>3586</xdr:row>
                    <xdr:rowOff>0</xdr:rowOff>
                  </from>
                  <to>
                    <xdr:col>7</xdr:col>
                    <xdr:colOff>0</xdr:colOff>
                    <xdr:row>3586</xdr:row>
                    <xdr:rowOff>161925</xdr:rowOff>
                  </to>
                </anchor>
              </controlPr>
            </control>
          </mc:Choice>
        </mc:AlternateContent>
        <mc:AlternateContent xmlns:mc="http://schemas.openxmlformats.org/markup-compatibility/2006">
          <mc:Choice Requires="x14">
            <control shapeId="12987" r:id="rId1995" name="Button 1723">
              <controlPr defaultSize="0" autoFill="0" autoLine="0" autoPict="0" macro="[0]!Sheet1.deleteRow">
                <anchor moveWithCells="1" sizeWithCells="1">
                  <from>
                    <xdr:col>6</xdr:col>
                    <xdr:colOff>0</xdr:colOff>
                    <xdr:row>3587</xdr:row>
                    <xdr:rowOff>0</xdr:rowOff>
                  </from>
                  <to>
                    <xdr:col>7</xdr:col>
                    <xdr:colOff>0</xdr:colOff>
                    <xdr:row>3587</xdr:row>
                    <xdr:rowOff>161925</xdr:rowOff>
                  </to>
                </anchor>
              </controlPr>
            </control>
          </mc:Choice>
        </mc:AlternateContent>
        <mc:AlternateContent xmlns:mc="http://schemas.openxmlformats.org/markup-compatibility/2006">
          <mc:Choice Requires="x14">
            <control shapeId="12986" r:id="rId1996" name="Button 1722">
              <controlPr defaultSize="0" autoFill="0" autoLine="0" autoPict="0" macro="[0]!Sheet1.deleteRow">
                <anchor moveWithCells="1" sizeWithCells="1">
                  <from>
                    <xdr:col>6</xdr:col>
                    <xdr:colOff>0</xdr:colOff>
                    <xdr:row>3588</xdr:row>
                    <xdr:rowOff>0</xdr:rowOff>
                  </from>
                  <to>
                    <xdr:col>7</xdr:col>
                    <xdr:colOff>0</xdr:colOff>
                    <xdr:row>3588</xdr:row>
                    <xdr:rowOff>161925</xdr:rowOff>
                  </to>
                </anchor>
              </controlPr>
            </control>
          </mc:Choice>
        </mc:AlternateContent>
        <mc:AlternateContent xmlns:mc="http://schemas.openxmlformats.org/markup-compatibility/2006">
          <mc:Choice Requires="x14">
            <control shapeId="12985" r:id="rId1997" name="Button 1721">
              <controlPr defaultSize="0" autoFill="0" autoLine="0" autoPict="0" macro="[0]!Sheet1.deleteRow">
                <anchor moveWithCells="1" sizeWithCells="1">
                  <from>
                    <xdr:col>6</xdr:col>
                    <xdr:colOff>0</xdr:colOff>
                    <xdr:row>3589</xdr:row>
                    <xdr:rowOff>0</xdr:rowOff>
                  </from>
                  <to>
                    <xdr:col>7</xdr:col>
                    <xdr:colOff>0</xdr:colOff>
                    <xdr:row>3589</xdr:row>
                    <xdr:rowOff>161925</xdr:rowOff>
                  </to>
                </anchor>
              </controlPr>
            </control>
          </mc:Choice>
        </mc:AlternateContent>
        <mc:AlternateContent xmlns:mc="http://schemas.openxmlformats.org/markup-compatibility/2006">
          <mc:Choice Requires="x14">
            <control shapeId="12984" r:id="rId1998" name="Button 1720">
              <controlPr defaultSize="0" autoFill="0" autoLine="0" autoPict="0" macro="[0]!Sheet1.deleteRow">
                <anchor moveWithCells="1" sizeWithCells="1">
                  <from>
                    <xdr:col>6</xdr:col>
                    <xdr:colOff>0</xdr:colOff>
                    <xdr:row>3590</xdr:row>
                    <xdr:rowOff>0</xdr:rowOff>
                  </from>
                  <to>
                    <xdr:col>7</xdr:col>
                    <xdr:colOff>0</xdr:colOff>
                    <xdr:row>3590</xdr:row>
                    <xdr:rowOff>161925</xdr:rowOff>
                  </to>
                </anchor>
              </controlPr>
            </control>
          </mc:Choice>
        </mc:AlternateContent>
        <mc:AlternateContent xmlns:mc="http://schemas.openxmlformats.org/markup-compatibility/2006">
          <mc:Choice Requires="x14">
            <control shapeId="12983" r:id="rId1999" name="Button 1719">
              <controlPr defaultSize="0" autoFill="0" autoLine="0" autoPict="0" macro="[0]!Sheet1.deleteRow">
                <anchor moveWithCells="1" sizeWithCells="1">
                  <from>
                    <xdr:col>6</xdr:col>
                    <xdr:colOff>0</xdr:colOff>
                    <xdr:row>3591</xdr:row>
                    <xdr:rowOff>0</xdr:rowOff>
                  </from>
                  <to>
                    <xdr:col>7</xdr:col>
                    <xdr:colOff>0</xdr:colOff>
                    <xdr:row>3591</xdr:row>
                    <xdr:rowOff>161925</xdr:rowOff>
                  </to>
                </anchor>
              </controlPr>
            </control>
          </mc:Choice>
        </mc:AlternateContent>
        <mc:AlternateContent xmlns:mc="http://schemas.openxmlformats.org/markup-compatibility/2006">
          <mc:Choice Requires="x14">
            <control shapeId="12982" r:id="rId2000" name="Button 1718">
              <controlPr defaultSize="0" autoFill="0" autoLine="0" autoPict="0" macro="[0]!Sheet1.deleteRow">
                <anchor moveWithCells="1" sizeWithCells="1">
                  <from>
                    <xdr:col>6</xdr:col>
                    <xdr:colOff>0</xdr:colOff>
                    <xdr:row>3592</xdr:row>
                    <xdr:rowOff>0</xdr:rowOff>
                  </from>
                  <to>
                    <xdr:col>7</xdr:col>
                    <xdr:colOff>0</xdr:colOff>
                    <xdr:row>3592</xdr:row>
                    <xdr:rowOff>161925</xdr:rowOff>
                  </to>
                </anchor>
              </controlPr>
            </control>
          </mc:Choice>
        </mc:AlternateContent>
        <mc:AlternateContent xmlns:mc="http://schemas.openxmlformats.org/markup-compatibility/2006">
          <mc:Choice Requires="x14">
            <control shapeId="12981" r:id="rId2001" name="Button 1717">
              <controlPr defaultSize="0" autoFill="0" autoLine="0" autoPict="0" macro="[0]!Sheet1.deleteRow">
                <anchor moveWithCells="1" sizeWithCells="1">
                  <from>
                    <xdr:col>6</xdr:col>
                    <xdr:colOff>0</xdr:colOff>
                    <xdr:row>3593</xdr:row>
                    <xdr:rowOff>0</xdr:rowOff>
                  </from>
                  <to>
                    <xdr:col>7</xdr:col>
                    <xdr:colOff>0</xdr:colOff>
                    <xdr:row>3593</xdr:row>
                    <xdr:rowOff>161925</xdr:rowOff>
                  </to>
                </anchor>
              </controlPr>
            </control>
          </mc:Choice>
        </mc:AlternateContent>
        <mc:AlternateContent xmlns:mc="http://schemas.openxmlformats.org/markup-compatibility/2006">
          <mc:Choice Requires="x14">
            <control shapeId="12980" r:id="rId2002" name="Button 1716">
              <controlPr defaultSize="0" autoFill="0" autoLine="0" autoPict="0" macro="[0]!Sheet1.deleteRow">
                <anchor moveWithCells="1" sizeWithCells="1">
                  <from>
                    <xdr:col>6</xdr:col>
                    <xdr:colOff>0</xdr:colOff>
                    <xdr:row>3594</xdr:row>
                    <xdr:rowOff>0</xdr:rowOff>
                  </from>
                  <to>
                    <xdr:col>7</xdr:col>
                    <xdr:colOff>0</xdr:colOff>
                    <xdr:row>3594</xdr:row>
                    <xdr:rowOff>161925</xdr:rowOff>
                  </to>
                </anchor>
              </controlPr>
            </control>
          </mc:Choice>
        </mc:AlternateContent>
        <mc:AlternateContent xmlns:mc="http://schemas.openxmlformats.org/markup-compatibility/2006">
          <mc:Choice Requires="x14">
            <control shapeId="12979" r:id="rId2003" name="Button 1715">
              <controlPr defaultSize="0" autoFill="0" autoLine="0" autoPict="0" macro="[0]!Sheet1.deleteRow">
                <anchor moveWithCells="1" sizeWithCells="1">
                  <from>
                    <xdr:col>6</xdr:col>
                    <xdr:colOff>0</xdr:colOff>
                    <xdr:row>3595</xdr:row>
                    <xdr:rowOff>0</xdr:rowOff>
                  </from>
                  <to>
                    <xdr:col>7</xdr:col>
                    <xdr:colOff>0</xdr:colOff>
                    <xdr:row>3595</xdr:row>
                    <xdr:rowOff>161925</xdr:rowOff>
                  </to>
                </anchor>
              </controlPr>
            </control>
          </mc:Choice>
        </mc:AlternateContent>
        <mc:AlternateContent xmlns:mc="http://schemas.openxmlformats.org/markup-compatibility/2006">
          <mc:Choice Requires="x14">
            <control shapeId="12978" r:id="rId2004" name="Button 1714">
              <controlPr defaultSize="0" autoFill="0" autoLine="0" autoPict="0" macro="[0]!Sheet1.deleteRow">
                <anchor moveWithCells="1" sizeWithCells="1">
                  <from>
                    <xdr:col>6</xdr:col>
                    <xdr:colOff>0</xdr:colOff>
                    <xdr:row>3596</xdr:row>
                    <xdr:rowOff>0</xdr:rowOff>
                  </from>
                  <to>
                    <xdr:col>7</xdr:col>
                    <xdr:colOff>0</xdr:colOff>
                    <xdr:row>3596</xdr:row>
                    <xdr:rowOff>161925</xdr:rowOff>
                  </to>
                </anchor>
              </controlPr>
            </control>
          </mc:Choice>
        </mc:AlternateContent>
        <mc:AlternateContent xmlns:mc="http://schemas.openxmlformats.org/markup-compatibility/2006">
          <mc:Choice Requires="x14">
            <control shapeId="12977" r:id="rId2005" name="Button 1713">
              <controlPr defaultSize="0" autoFill="0" autoLine="0" autoPict="0" macro="[0]!Sheet1.deleteRow">
                <anchor moveWithCells="1" sizeWithCells="1">
                  <from>
                    <xdr:col>6</xdr:col>
                    <xdr:colOff>0</xdr:colOff>
                    <xdr:row>3597</xdr:row>
                    <xdr:rowOff>0</xdr:rowOff>
                  </from>
                  <to>
                    <xdr:col>7</xdr:col>
                    <xdr:colOff>0</xdr:colOff>
                    <xdr:row>3597</xdr:row>
                    <xdr:rowOff>161925</xdr:rowOff>
                  </to>
                </anchor>
              </controlPr>
            </control>
          </mc:Choice>
        </mc:AlternateContent>
        <mc:AlternateContent xmlns:mc="http://schemas.openxmlformats.org/markup-compatibility/2006">
          <mc:Choice Requires="x14">
            <control shapeId="12976" r:id="rId2006" name="Button 1712">
              <controlPr defaultSize="0" autoFill="0" autoLine="0" autoPict="0" macro="[0]!Sheet1.deleteRow">
                <anchor moveWithCells="1" sizeWithCells="1">
                  <from>
                    <xdr:col>6</xdr:col>
                    <xdr:colOff>0</xdr:colOff>
                    <xdr:row>3598</xdr:row>
                    <xdr:rowOff>0</xdr:rowOff>
                  </from>
                  <to>
                    <xdr:col>7</xdr:col>
                    <xdr:colOff>0</xdr:colOff>
                    <xdr:row>3598</xdr:row>
                    <xdr:rowOff>161925</xdr:rowOff>
                  </to>
                </anchor>
              </controlPr>
            </control>
          </mc:Choice>
        </mc:AlternateContent>
        <mc:AlternateContent xmlns:mc="http://schemas.openxmlformats.org/markup-compatibility/2006">
          <mc:Choice Requires="x14">
            <control shapeId="12975" r:id="rId2007" name="Button 1711">
              <controlPr defaultSize="0" autoFill="0" autoLine="0" autoPict="0" macro="[0]!Sheet1.deleteRow">
                <anchor moveWithCells="1" sizeWithCells="1">
                  <from>
                    <xdr:col>6</xdr:col>
                    <xdr:colOff>0</xdr:colOff>
                    <xdr:row>3599</xdr:row>
                    <xdr:rowOff>0</xdr:rowOff>
                  </from>
                  <to>
                    <xdr:col>7</xdr:col>
                    <xdr:colOff>0</xdr:colOff>
                    <xdr:row>3599</xdr:row>
                    <xdr:rowOff>161925</xdr:rowOff>
                  </to>
                </anchor>
              </controlPr>
            </control>
          </mc:Choice>
        </mc:AlternateContent>
        <mc:AlternateContent xmlns:mc="http://schemas.openxmlformats.org/markup-compatibility/2006">
          <mc:Choice Requires="x14">
            <control shapeId="12974" r:id="rId2008" name="Button 1710">
              <controlPr defaultSize="0" autoFill="0" autoLine="0" autoPict="0" macro="[0]!Sheet1.deleteRow">
                <anchor moveWithCells="1" sizeWithCells="1">
                  <from>
                    <xdr:col>6</xdr:col>
                    <xdr:colOff>0</xdr:colOff>
                    <xdr:row>3600</xdr:row>
                    <xdr:rowOff>0</xdr:rowOff>
                  </from>
                  <to>
                    <xdr:col>7</xdr:col>
                    <xdr:colOff>0</xdr:colOff>
                    <xdr:row>3600</xdr:row>
                    <xdr:rowOff>161925</xdr:rowOff>
                  </to>
                </anchor>
              </controlPr>
            </control>
          </mc:Choice>
        </mc:AlternateContent>
        <mc:AlternateContent xmlns:mc="http://schemas.openxmlformats.org/markup-compatibility/2006">
          <mc:Choice Requires="x14">
            <control shapeId="12973" r:id="rId2009" name="Button 1709">
              <controlPr defaultSize="0" autoFill="0" autoLine="0" autoPict="0" macro="[0]!Sheet1.deleteRow">
                <anchor moveWithCells="1" sizeWithCells="1">
                  <from>
                    <xdr:col>6</xdr:col>
                    <xdr:colOff>0</xdr:colOff>
                    <xdr:row>3601</xdr:row>
                    <xdr:rowOff>0</xdr:rowOff>
                  </from>
                  <to>
                    <xdr:col>7</xdr:col>
                    <xdr:colOff>0</xdr:colOff>
                    <xdr:row>3601</xdr:row>
                    <xdr:rowOff>161925</xdr:rowOff>
                  </to>
                </anchor>
              </controlPr>
            </control>
          </mc:Choice>
        </mc:AlternateContent>
        <mc:AlternateContent xmlns:mc="http://schemas.openxmlformats.org/markup-compatibility/2006">
          <mc:Choice Requires="x14">
            <control shapeId="12972" r:id="rId2010" name="Button 1708">
              <controlPr defaultSize="0" autoFill="0" autoLine="0" autoPict="0" macro="[0]!Sheet1.deleteRow">
                <anchor moveWithCells="1" sizeWithCells="1">
                  <from>
                    <xdr:col>6</xdr:col>
                    <xdr:colOff>0</xdr:colOff>
                    <xdr:row>3602</xdr:row>
                    <xdr:rowOff>0</xdr:rowOff>
                  </from>
                  <to>
                    <xdr:col>7</xdr:col>
                    <xdr:colOff>0</xdr:colOff>
                    <xdr:row>3602</xdr:row>
                    <xdr:rowOff>161925</xdr:rowOff>
                  </to>
                </anchor>
              </controlPr>
            </control>
          </mc:Choice>
        </mc:AlternateContent>
        <mc:AlternateContent xmlns:mc="http://schemas.openxmlformats.org/markup-compatibility/2006">
          <mc:Choice Requires="x14">
            <control shapeId="12971" r:id="rId2011" name="Button 1707">
              <controlPr defaultSize="0" autoFill="0" autoLine="0" autoPict="0" macro="[0]!Sheet1.deleteRow">
                <anchor moveWithCells="1" sizeWithCells="1">
                  <from>
                    <xdr:col>6</xdr:col>
                    <xdr:colOff>0</xdr:colOff>
                    <xdr:row>3603</xdr:row>
                    <xdr:rowOff>0</xdr:rowOff>
                  </from>
                  <to>
                    <xdr:col>7</xdr:col>
                    <xdr:colOff>0</xdr:colOff>
                    <xdr:row>3603</xdr:row>
                    <xdr:rowOff>161925</xdr:rowOff>
                  </to>
                </anchor>
              </controlPr>
            </control>
          </mc:Choice>
        </mc:AlternateContent>
        <mc:AlternateContent xmlns:mc="http://schemas.openxmlformats.org/markup-compatibility/2006">
          <mc:Choice Requires="x14">
            <control shapeId="12970" r:id="rId2012" name="Button 1706">
              <controlPr defaultSize="0" autoFill="0" autoLine="0" autoPict="0" macro="[0]!Sheet1.deleteRow">
                <anchor moveWithCells="1" sizeWithCells="1">
                  <from>
                    <xdr:col>6</xdr:col>
                    <xdr:colOff>0</xdr:colOff>
                    <xdr:row>3604</xdr:row>
                    <xdr:rowOff>0</xdr:rowOff>
                  </from>
                  <to>
                    <xdr:col>7</xdr:col>
                    <xdr:colOff>0</xdr:colOff>
                    <xdr:row>3604</xdr:row>
                    <xdr:rowOff>161925</xdr:rowOff>
                  </to>
                </anchor>
              </controlPr>
            </control>
          </mc:Choice>
        </mc:AlternateContent>
        <mc:AlternateContent xmlns:mc="http://schemas.openxmlformats.org/markup-compatibility/2006">
          <mc:Choice Requires="x14">
            <control shapeId="12969" r:id="rId2013" name="Button 1705">
              <controlPr defaultSize="0" autoFill="0" autoLine="0" autoPict="0" macro="[0]!Sheet1.deleteRow">
                <anchor moveWithCells="1" sizeWithCells="1">
                  <from>
                    <xdr:col>6</xdr:col>
                    <xdr:colOff>0</xdr:colOff>
                    <xdr:row>3605</xdr:row>
                    <xdr:rowOff>0</xdr:rowOff>
                  </from>
                  <to>
                    <xdr:col>7</xdr:col>
                    <xdr:colOff>0</xdr:colOff>
                    <xdr:row>3605</xdr:row>
                    <xdr:rowOff>161925</xdr:rowOff>
                  </to>
                </anchor>
              </controlPr>
            </control>
          </mc:Choice>
        </mc:AlternateContent>
        <mc:AlternateContent xmlns:mc="http://schemas.openxmlformats.org/markup-compatibility/2006">
          <mc:Choice Requires="x14">
            <control shapeId="12968" r:id="rId2014" name="Button 1704">
              <controlPr defaultSize="0" autoFill="0" autoLine="0" autoPict="0" macro="[0]!Sheet1.deleteRow">
                <anchor moveWithCells="1" sizeWithCells="1">
                  <from>
                    <xdr:col>6</xdr:col>
                    <xdr:colOff>0</xdr:colOff>
                    <xdr:row>3606</xdr:row>
                    <xdr:rowOff>0</xdr:rowOff>
                  </from>
                  <to>
                    <xdr:col>7</xdr:col>
                    <xdr:colOff>0</xdr:colOff>
                    <xdr:row>3606</xdr:row>
                    <xdr:rowOff>161925</xdr:rowOff>
                  </to>
                </anchor>
              </controlPr>
            </control>
          </mc:Choice>
        </mc:AlternateContent>
        <mc:AlternateContent xmlns:mc="http://schemas.openxmlformats.org/markup-compatibility/2006">
          <mc:Choice Requires="x14">
            <control shapeId="12967" r:id="rId2015" name="Button 1703">
              <controlPr defaultSize="0" autoFill="0" autoLine="0" autoPict="0" macro="[0]!Sheet1.deleteRow">
                <anchor moveWithCells="1" sizeWithCells="1">
                  <from>
                    <xdr:col>6</xdr:col>
                    <xdr:colOff>0</xdr:colOff>
                    <xdr:row>3607</xdr:row>
                    <xdr:rowOff>0</xdr:rowOff>
                  </from>
                  <to>
                    <xdr:col>7</xdr:col>
                    <xdr:colOff>0</xdr:colOff>
                    <xdr:row>3607</xdr:row>
                    <xdr:rowOff>161925</xdr:rowOff>
                  </to>
                </anchor>
              </controlPr>
            </control>
          </mc:Choice>
        </mc:AlternateContent>
        <mc:AlternateContent xmlns:mc="http://schemas.openxmlformats.org/markup-compatibility/2006">
          <mc:Choice Requires="x14">
            <control shapeId="12966" r:id="rId2016" name="Button 1702">
              <controlPr defaultSize="0" autoFill="0" autoLine="0" autoPict="0" macro="[0]!Sheet1.deleteRow">
                <anchor moveWithCells="1" sizeWithCells="1">
                  <from>
                    <xdr:col>6</xdr:col>
                    <xdr:colOff>0</xdr:colOff>
                    <xdr:row>3608</xdr:row>
                    <xdr:rowOff>0</xdr:rowOff>
                  </from>
                  <to>
                    <xdr:col>7</xdr:col>
                    <xdr:colOff>0</xdr:colOff>
                    <xdr:row>3608</xdr:row>
                    <xdr:rowOff>161925</xdr:rowOff>
                  </to>
                </anchor>
              </controlPr>
            </control>
          </mc:Choice>
        </mc:AlternateContent>
        <mc:AlternateContent xmlns:mc="http://schemas.openxmlformats.org/markup-compatibility/2006">
          <mc:Choice Requires="x14">
            <control shapeId="12965" r:id="rId2017" name="Button 1701">
              <controlPr defaultSize="0" autoFill="0" autoLine="0" autoPict="0" macro="[0]!Sheet1.deleteRow">
                <anchor moveWithCells="1" sizeWithCells="1">
                  <from>
                    <xdr:col>6</xdr:col>
                    <xdr:colOff>0</xdr:colOff>
                    <xdr:row>3609</xdr:row>
                    <xdr:rowOff>0</xdr:rowOff>
                  </from>
                  <to>
                    <xdr:col>7</xdr:col>
                    <xdr:colOff>0</xdr:colOff>
                    <xdr:row>3609</xdr:row>
                    <xdr:rowOff>161925</xdr:rowOff>
                  </to>
                </anchor>
              </controlPr>
            </control>
          </mc:Choice>
        </mc:AlternateContent>
        <mc:AlternateContent xmlns:mc="http://schemas.openxmlformats.org/markup-compatibility/2006">
          <mc:Choice Requires="x14">
            <control shapeId="12964" r:id="rId2018" name="Button 1700">
              <controlPr defaultSize="0" autoFill="0" autoLine="0" autoPict="0" macro="[0]!Sheet1.deleteRow">
                <anchor moveWithCells="1" sizeWithCells="1">
                  <from>
                    <xdr:col>6</xdr:col>
                    <xdr:colOff>0</xdr:colOff>
                    <xdr:row>3610</xdr:row>
                    <xdr:rowOff>0</xdr:rowOff>
                  </from>
                  <to>
                    <xdr:col>7</xdr:col>
                    <xdr:colOff>0</xdr:colOff>
                    <xdr:row>3610</xdr:row>
                    <xdr:rowOff>161925</xdr:rowOff>
                  </to>
                </anchor>
              </controlPr>
            </control>
          </mc:Choice>
        </mc:AlternateContent>
        <mc:AlternateContent xmlns:mc="http://schemas.openxmlformats.org/markup-compatibility/2006">
          <mc:Choice Requires="x14">
            <control shapeId="12963" r:id="rId2019" name="Button 1699">
              <controlPr defaultSize="0" autoFill="0" autoLine="0" autoPict="0" macro="[0]!Sheet1.deleteRow">
                <anchor moveWithCells="1" sizeWithCells="1">
                  <from>
                    <xdr:col>6</xdr:col>
                    <xdr:colOff>0</xdr:colOff>
                    <xdr:row>3611</xdr:row>
                    <xdr:rowOff>0</xdr:rowOff>
                  </from>
                  <to>
                    <xdr:col>7</xdr:col>
                    <xdr:colOff>0</xdr:colOff>
                    <xdr:row>3611</xdr:row>
                    <xdr:rowOff>161925</xdr:rowOff>
                  </to>
                </anchor>
              </controlPr>
            </control>
          </mc:Choice>
        </mc:AlternateContent>
        <mc:AlternateContent xmlns:mc="http://schemas.openxmlformats.org/markup-compatibility/2006">
          <mc:Choice Requires="x14">
            <control shapeId="12962" r:id="rId2020" name="Button 1698">
              <controlPr defaultSize="0" autoFill="0" autoLine="0" autoPict="0" macro="[0]!Sheet1.deleteRow">
                <anchor moveWithCells="1" sizeWithCells="1">
                  <from>
                    <xdr:col>6</xdr:col>
                    <xdr:colOff>0</xdr:colOff>
                    <xdr:row>3612</xdr:row>
                    <xdr:rowOff>0</xdr:rowOff>
                  </from>
                  <to>
                    <xdr:col>7</xdr:col>
                    <xdr:colOff>0</xdr:colOff>
                    <xdr:row>3612</xdr:row>
                    <xdr:rowOff>161925</xdr:rowOff>
                  </to>
                </anchor>
              </controlPr>
            </control>
          </mc:Choice>
        </mc:AlternateContent>
        <mc:AlternateContent xmlns:mc="http://schemas.openxmlformats.org/markup-compatibility/2006">
          <mc:Choice Requires="x14">
            <control shapeId="12961" r:id="rId2021" name="Button 1697">
              <controlPr defaultSize="0" autoFill="0" autoLine="0" autoPict="0" macro="[0]!Sheet1.deleteRow">
                <anchor moveWithCells="1" sizeWithCells="1">
                  <from>
                    <xdr:col>6</xdr:col>
                    <xdr:colOff>0</xdr:colOff>
                    <xdr:row>3613</xdr:row>
                    <xdr:rowOff>0</xdr:rowOff>
                  </from>
                  <to>
                    <xdr:col>7</xdr:col>
                    <xdr:colOff>0</xdr:colOff>
                    <xdr:row>3613</xdr:row>
                    <xdr:rowOff>161925</xdr:rowOff>
                  </to>
                </anchor>
              </controlPr>
            </control>
          </mc:Choice>
        </mc:AlternateContent>
        <mc:AlternateContent xmlns:mc="http://schemas.openxmlformats.org/markup-compatibility/2006">
          <mc:Choice Requires="x14">
            <control shapeId="12960" r:id="rId2022" name="Button 1696">
              <controlPr defaultSize="0" autoFill="0" autoLine="0" autoPict="0" macro="[0]!Sheet1.deleteRow">
                <anchor moveWithCells="1" sizeWithCells="1">
                  <from>
                    <xdr:col>6</xdr:col>
                    <xdr:colOff>0</xdr:colOff>
                    <xdr:row>3614</xdr:row>
                    <xdr:rowOff>0</xdr:rowOff>
                  </from>
                  <to>
                    <xdr:col>7</xdr:col>
                    <xdr:colOff>0</xdr:colOff>
                    <xdr:row>3614</xdr:row>
                    <xdr:rowOff>161925</xdr:rowOff>
                  </to>
                </anchor>
              </controlPr>
            </control>
          </mc:Choice>
        </mc:AlternateContent>
        <mc:AlternateContent xmlns:mc="http://schemas.openxmlformats.org/markup-compatibility/2006">
          <mc:Choice Requires="x14">
            <control shapeId="12959" r:id="rId2023" name="Button 1695">
              <controlPr defaultSize="0" autoFill="0" autoLine="0" autoPict="0" macro="[0]!Sheet1.deleteRow">
                <anchor moveWithCells="1" sizeWithCells="1">
                  <from>
                    <xdr:col>6</xdr:col>
                    <xdr:colOff>0</xdr:colOff>
                    <xdr:row>3615</xdr:row>
                    <xdr:rowOff>0</xdr:rowOff>
                  </from>
                  <to>
                    <xdr:col>7</xdr:col>
                    <xdr:colOff>0</xdr:colOff>
                    <xdr:row>3615</xdr:row>
                    <xdr:rowOff>161925</xdr:rowOff>
                  </to>
                </anchor>
              </controlPr>
            </control>
          </mc:Choice>
        </mc:AlternateContent>
        <mc:AlternateContent xmlns:mc="http://schemas.openxmlformats.org/markup-compatibility/2006">
          <mc:Choice Requires="x14">
            <control shapeId="12958" r:id="rId2024" name="Button 1694">
              <controlPr defaultSize="0" autoFill="0" autoLine="0" autoPict="0" macro="[0]!Sheet1.deleteRow">
                <anchor moveWithCells="1" sizeWithCells="1">
                  <from>
                    <xdr:col>6</xdr:col>
                    <xdr:colOff>0</xdr:colOff>
                    <xdr:row>3616</xdr:row>
                    <xdr:rowOff>0</xdr:rowOff>
                  </from>
                  <to>
                    <xdr:col>7</xdr:col>
                    <xdr:colOff>0</xdr:colOff>
                    <xdr:row>3616</xdr:row>
                    <xdr:rowOff>161925</xdr:rowOff>
                  </to>
                </anchor>
              </controlPr>
            </control>
          </mc:Choice>
        </mc:AlternateContent>
        <mc:AlternateContent xmlns:mc="http://schemas.openxmlformats.org/markup-compatibility/2006">
          <mc:Choice Requires="x14">
            <control shapeId="12957" r:id="rId2025" name="Button 1693">
              <controlPr defaultSize="0" autoFill="0" autoLine="0" autoPict="0" macro="[0]!Sheet1.deleteRow">
                <anchor moveWithCells="1" sizeWithCells="1">
                  <from>
                    <xdr:col>6</xdr:col>
                    <xdr:colOff>0</xdr:colOff>
                    <xdr:row>3617</xdr:row>
                    <xdr:rowOff>0</xdr:rowOff>
                  </from>
                  <to>
                    <xdr:col>7</xdr:col>
                    <xdr:colOff>0</xdr:colOff>
                    <xdr:row>3617</xdr:row>
                    <xdr:rowOff>161925</xdr:rowOff>
                  </to>
                </anchor>
              </controlPr>
            </control>
          </mc:Choice>
        </mc:AlternateContent>
        <mc:AlternateContent xmlns:mc="http://schemas.openxmlformats.org/markup-compatibility/2006">
          <mc:Choice Requires="x14">
            <control shapeId="12956" r:id="rId2026" name="Button 1692">
              <controlPr defaultSize="0" autoFill="0" autoLine="0" autoPict="0" macro="[0]!Sheet1.deleteRow">
                <anchor moveWithCells="1" sizeWithCells="1">
                  <from>
                    <xdr:col>6</xdr:col>
                    <xdr:colOff>0</xdr:colOff>
                    <xdr:row>3618</xdr:row>
                    <xdr:rowOff>0</xdr:rowOff>
                  </from>
                  <to>
                    <xdr:col>7</xdr:col>
                    <xdr:colOff>0</xdr:colOff>
                    <xdr:row>3618</xdr:row>
                    <xdr:rowOff>161925</xdr:rowOff>
                  </to>
                </anchor>
              </controlPr>
            </control>
          </mc:Choice>
        </mc:AlternateContent>
        <mc:AlternateContent xmlns:mc="http://schemas.openxmlformats.org/markup-compatibility/2006">
          <mc:Choice Requires="x14">
            <control shapeId="12955" r:id="rId2027" name="Button 1691">
              <controlPr defaultSize="0" autoFill="0" autoLine="0" autoPict="0" macro="[0]!Sheet1.deleteRow">
                <anchor moveWithCells="1" sizeWithCells="1">
                  <from>
                    <xdr:col>6</xdr:col>
                    <xdr:colOff>0</xdr:colOff>
                    <xdr:row>3619</xdr:row>
                    <xdr:rowOff>0</xdr:rowOff>
                  </from>
                  <to>
                    <xdr:col>7</xdr:col>
                    <xdr:colOff>0</xdr:colOff>
                    <xdr:row>3619</xdr:row>
                    <xdr:rowOff>161925</xdr:rowOff>
                  </to>
                </anchor>
              </controlPr>
            </control>
          </mc:Choice>
        </mc:AlternateContent>
        <mc:AlternateContent xmlns:mc="http://schemas.openxmlformats.org/markup-compatibility/2006">
          <mc:Choice Requires="x14">
            <control shapeId="12954" r:id="rId2028" name="Button 1690">
              <controlPr defaultSize="0" autoFill="0" autoLine="0" autoPict="0" macro="[0]!Sheet1.deleteRow">
                <anchor moveWithCells="1" sizeWithCells="1">
                  <from>
                    <xdr:col>6</xdr:col>
                    <xdr:colOff>0</xdr:colOff>
                    <xdr:row>3620</xdr:row>
                    <xdr:rowOff>0</xdr:rowOff>
                  </from>
                  <to>
                    <xdr:col>7</xdr:col>
                    <xdr:colOff>0</xdr:colOff>
                    <xdr:row>3620</xdr:row>
                    <xdr:rowOff>161925</xdr:rowOff>
                  </to>
                </anchor>
              </controlPr>
            </control>
          </mc:Choice>
        </mc:AlternateContent>
        <mc:AlternateContent xmlns:mc="http://schemas.openxmlformats.org/markup-compatibility/2006">
          <mc:Choice Requires="x14">
            <control shapeId="12953" r:id="rId2029" name="Button 1689">
              <controlPr defaultSize="0" autoFill="0" autoLine="0" autoPict="0" macro="[0]!Sheet1.deleteRow">
                <anchor moveWithCells="1" sizeWithCells="1">
                  <from>
                    <xdr:col>6</xdr:col>
                    <xdr:colOff>0</xdr:colOff>
                    <xdr:row>3621</xdr:row>
                    <xdr:rowOff>0</xdr:rowOff>
                  </from>
                  <to>
                    <xdr:col>7</xdr:col>
                    <xdr:colOff>0</xdr:colOff>
                    <xdr:row>3621</xdr:row>
                    <xdr:rowOff>161925</xdr:rowOff>
                  </to>
                </anchor>
              </controlPr>
            </control>
          </mc:Choice>
        </mc:AlternateContent>
        <mc:AlternateContent xmlns:mc="http://schemas.openxmlformats.org/markup-compatibility/2006">
          <mc:Choice Requires="x14">
            <control shapeId="12952" r:id="rId2030" name="Button 1688">
              <controlPr defaultSize="0" autoFill="0" autoLine="0" autoPict="0" macro="[0]!Sheet1.deleteRow">
                <anchor moveWithCells="1" sizeWithCells="1">
                  <from>
                    <xdr:col>6</xdr:col>
                    <xdr:colOff>0</xdr:colOff>
                    <xdr:row>3622</xdr:row>
                    <xdr:rowOff>0</xdr:rowOff>
                  </from>
                  <to>
                    <xdr:col>7</xdr:col>
                    <xdr:colOff>0</xdr:colOff>
                    <xdr:row>3622</xdr:row>
                    <xdr:rowOff>161925</xdr:rowOff>
                  </to>
                </anchor>
              </controlPr>
            </control>
          </mc:Choice>
        </mc:AlternateContent>
        <mc:AlternateContent xmlns:mc="http://schemas.openxmlformats.org/markup-compatibility/2006">
          <mc:Choice Requires="x14">
            <control shapeId="12951" r:id="rId2031" name="Button 1687">
              <controlPr defaultSize="0" autoFill="0" autoLine="0" autoPict="0" macro="[0]!Sheet1.deleteRow">
                <anchor moveWithCells="1" sizeWithCells="1">
                  <from>
                    <xdr:col>6</xdr:col>
                    <xdr:colOff>0</xdr:colOff>
                    <xdr:row>3623</xdr:row>
                    <xdr:rowOff>0</xdr:rowOff>
                  </from>
                  <to>
                    <xdr:col>7</xdr:col>
                    <xdr:colOff>0</xdr:colOff>
                    <xdr:row>3623</xdr:row>
                    <xdr:rowOff>161925</xdr:rowOff>
                  </to>
                </anchor>
              </controlPr>
            </control>
          </mc:Choice>
        </mc:AlternateContent>
        <mc:AlternateContent xmlns:mc="http://schemas.openxmlformats.org/markup-compatibility/2006">
          <mc:Choice Requires="x14">
            <control shapeId="12950" r:id="rId2032" name="Button 1686">
              <controlPr defaultSize="0" autoFill="0" autoLine="0" autoPict="0" macro="[0]!Sheet1.deleteRow">
                <anchor moveWithCells="1" sizeWithCells="1">
                  <from>
                    <xdr:col>6</xdr:col>
                    <xdr:colOff>0</xdr:colOff>
                    <xdr:row>3624</xdr:row>
                    <xdr:rowOff>0</xdr:rowOff>
                  </from>
                  <to>
                    <xdr:col>7</xdr:col>
                    <xdr:colOff>0</xdr:colOff>
                    <xdr:row>3624</xdr:row>
                    <xdr:rowOff>161925</xdr:rowOff>
                  </to>
                </anchor>
              </controlPr>
            </control>
          </mc:Choice>
        </mc:AlternateContent>
        <mc:AlternateContent xmlns:mc="http://schemas.openxmlformats.org/markup-compatibility/2006">
          <mc:Choice Requires="x14">
            <control shapeId="12949" r:id="rId2033" name="Button 1685">
              <controlPr defaultSize="0" autoFill="0" autoLine="0" autoPict="0" macro="[0]!Sheet1.deleteRow">
                <anchor moveWithCells="1" sizeWithCells="1">
                  <from>
                    <xdr:col>6</xdr:col>
                    <xdr:colOff>0</xdr:colOff>
                    <xdr:row>3625</xdr:row>
                    <xdr:rowOff>0</xdr:rowOff>
                  </from>
                  <to>
                    <xdr:col>7</xdr:col>
                    <xdr:colOff>0</xdr:colOff>
                    <xdr:row>3625</xdr:row>
                    <xdr:rowOff>161925</xdr:rowOff>
                  </to>
                </anchor>
              </controlPr>
            </control>
          </mc:Choice>
        </mc:AlternateContent>
        <mc:AlternateContent xmlns:mc="http://schemas.openxmlformats.org/markup-compatibility/2006">
          <mc:Choice Requires="x14">
            <control shapeId="12948" r:id="rId2034" name="Button 1684">
              <controlPr defaultSize="0" autoFill="0" autoLine="0" autoPict="0" macro="[0]!Sheet1.deleteRow">
                <anchor moveWithCells="1" sizeWithCells="1">
                  <from>
                    <xdr:col>6</xdr:col>
                    <xdr:colOff>0</xdr:colOff>
                    <xdr:row>3626</xdr:row>
                    <xdr:rowOff>0</xdr:rowOff>
                  </from>
                  <to>
                    <xdr:col>7</xdr:col>
                    <xdr:colOff>0</xdr:colOff>
                    <xdr:row>3626</xdr:row>
                    <xdr:rowOff>161925</xdr:rowOff>
                  </to>
                </anchor>
              </controlPr>
            </control>
          </mc:Choice>
        </mc:AlternateContent>
        <mc:AlternateContent xmlns:mc="http://schemas.openxmlformats.org/markup-compatibility/2006">
          <mc:Choice Requires="x14">
            <control shapeId="12947" r:id="rId2035" name="Button 1683">
              <controlPr defaultSize="0" autoFill="0" autoLine="0" autoPict="0" macro="[0]!Sheet1.deleteRow">
                <anchor moveWithCells="1" sizeWithCells="1">
                  <from>
                    <xdr:col>6</xdr:col>
                    <xdr:colOff>0</xdr:colOff>
                    <xdr:row>3627</xdr:row>
                    <xdr:rowOff>0</xdr:rowOff>
                  </from>
                  <to>
                    <xdr:col>7</xdr:col>
                    <xdr:colOff>0</xdr:colOff>
                    <xdr:row>3627</xdr:row>
                    <xdr:rowOff>161925</xdr:rowOff>
                  </to>
                </anchor>
              </controlPr>
            </control>
          </mc:Choice>
        </mc:AlternateContent>
        <mc:AlternateContent xmlns:mc="http://schemas.openxmlformats.org/markup-compatibility/2006">
          <mc:Choice Requires="x14">
            <control shapeId="12946" r:id="rId2036" name="Button 1682">
              <controlPr defaultSize="0" autoFill="0" autoLine="0" autoPict="0" macro="[0]!Sheet1.deleteRow">
                <anchor moveWithCells="1" sizeWithCells="1">
                  <from>
                    <xdr:col>6</xdr:col>
                    <xdr:colOff>0</xdr:colOff>
                    <xdr:row>3628</xdr:row>
                    <xdr:rowOff>0</xdr:rowOff>
                  </from>
                  <to>
                    <xdr:col>7</xdr:col>
                    <xdr:colOff>0</xdr:colOff>
                    <xdr:row>3628</xdr:row>
                    <xdr:rowOff>161925</xdr:rowOff>
                  </to>
                </anchor>
              </controlPr>
            </control>
          </mc:Choice>
        </mc:AlternateContent>
        <mc:AlternateContent xmlns:mc="http://schemas.openxmlformats.org/markup-compatibility/2006">
          <mc:Choice Requires="x14">
            <control shapeId="12945" r:id="rId2037" name="Button 1681">
              <controlPr defaultSize="0" autoFill="0" autoLine="0" autoPict="0" macro="[0]!Sheet1.deleteRow">
                <anchor moveWithCells="1" sizeWithCells="1">
                  <from>
                    <xdr:col>6</xdr:col>
                    <xdr:colOff>0</xdr:colOff>
                    <xdr:row>3629</xdr:row>
                    <xdr:rowOff>0</xdr:rowOff>
                  </from>
                  <to>
                    <xdr:col>7</xdr:col>
                    <xdr:colOff>0</xdr:colOff>
                    <xdr:row>3629</xdr:row>
                    <xdr:rowOff>161925</xdr:rowOff>
                  </to>
                </anchor>
              </controlPr>
            </control>
          </mc:Choice>
        </mc:AlternateContent>
        <mc:AlternateContent xmlns:mc="http://schemas.openxmlformats.org/markup-compatibility/2006">
          <mc:Choice Requires="x14">
            <control shapeId="12944" r:id="rId2038" name="Button 1680">
              <controlPr defaultSize="0" autoFill="0" autoLine="0" autoPict="0" macro="[0]!Sheet1.deleteRow">
                <anchor moveWithCells="1" sizeWithCells="1">
                  <from>
                    <xdr:col>6</xdr:col>
                    <xdr:colOff>0</xdr:colOff>
                    <xdr:row>3630</xdr:row>
                    <xdr:rowOff>0</xdr:rowOff>
                  </from>
                  <to>
                    <xdr:col>7</xdr:col>
                    <xdr:colOff>0</xdr:colOff>
                    <xdr:row>3630</xdr:row>
                    <xdr:rowOff>161925</xdr:rowOff>
                  </to>
                </anchor>
              </controlPr>
            </control>
          </mc:Choice>
        </mc:AlternateContent>
        <mc:AlternateContent xmlns:mc="http://schemas.openxmlformats.org/markup-compatibility/2006">
          <mc:Choice Requires="x14">
            <control shapeId="12943" r:id="rId2039" name="Button 1679">
              <controlPr defaultSize="0" autoFill="0" autoLine="0" autoPict="0" macro="[0]!Sheet1.deleteRow">
                <anchor moveWithCells="1" sizeWithCells="1">
                  <from>
                    <xdr:col>6</xdr:col>
                    <xdr:colOff>0</xdr:colOff>
                    <xdr:row>3631</xdr:row>
                    <xdr:rowOff>0</xdr:rowOff>
                  </from>
                  <to>
                    <xdr:col>7</xdr:col>
                    <xdr:colOff>0</xdr:colOff>
                    <xdr:row>3631</xdr:row>
                    <xdr:rowOff>161925</xdr:rowOff>
                  </to>
                </anchor>
              </controlPr>
            </control>
          </mc:Choice>
        </mc:AlternateContent>
        <mc:AlternateContent xmlns:mc="http://schemas.openxmlformats.org/markup-compatibility/2006">
          <mc:Choice Requires="x14">
            <control shapeId="12942" r:id="rId2040" name="Button 1678">
              <controlPr defaultSize="0" autoFill="0" autoLine="0" autoPict="0" macro="[0]!Sheet1.deleteRow">
                <anchor moveWithCells="1" sizeWithCells="1">
                  <from>
                    <xdr:col>6</xdr:col>
                    <xdr:colOff>0</xdr:colOff>
                    <xdr:row>3632</xdr:row>
                    <xdr:rowOff>0</xdr:rowOff>
                  </from>
                  <to>
                    <xdr:col>7</xdr:col>
                    <xdr:colOff>0</xdr:colOff>
                    <xdr:row>3632</xdr:row>
                    <xdr:rowOff>161925</xdr:rowOff>
                  </to>
                </anchor>
              </controlPr>
            </control>
          </mc:Choice>
        </mc:AlternateContent>
        <mc:AlternateContent xmlns:mc="http://schemas.openxmlformats.org/markup-compatibility/2006">
          <mc:Choice Requires="x14">
            <control shapeId="12941" r:id="rId2041" name="Button 1677">
              <controlPr defaultSize="0" autoFill="0" autoLine="0" autoPict="0" macro="[0]!Sheet1.deleteRow">
                <anchor moveWithCells="1" sizeWithCells="1">
                  <from>
                    <xdr:col>6</xdr:col>
                    <xdr:colOff>0</xdr:colOff>
                    <xdr:row>3633</xdr:row>
                    <xdr:rowOff>0</xdr:rowOff>
                  </from>
                  <to>
                    <xdr:col>7</xdr:col>
                    <xdr:colOff>0</xdr:colOff>
                    <xdr:row>3633</xdr:row>
                    <xdr:rowOff>161925</xdr:rowOff>
                  </to>
                </anchor>
              </controlPr>
            </control>
          </mc:Choice>
        </mc:AlternateContent>
        <mc:AlternateContent xmlns:mc="http://schemas.openxmlformats.org/markup-compatibility/2006">
          <mc:Choice Requires="x14">
            <control shapeId="12940" r:id="rId2042" name="Button 1676">
              <controlPr defaultSize="0" autoFill="0" autoLine="0" autoPict="0" macro="[0]!Sheet1.deleteRow">
                <anchor moveWithCells="1" sizeWithCells="1">
                  <from>
                    <xdr:col>6</xdr:col>
                    <xdr:colOff>0</xdr:colOff>
                    <xdr:row>3634</xdr:row>
                    <xdr:rowOff>0</xdr:rowOff>
                  </from>
                  <to>
                    <xdr:col>7</xdr:col>
                    <xdr:colOff>0</xdr:colOff>
                    <xdr:row>3634</xdr:row>
                    <xdr:rowOff>161925</xdr:rowOff>
                  </to>
                </anchor>
              </controlPr>
            </control>
          </mc:Choice>
        </mc:AlternateContent>
        <mc:AlternateContent xmlns:mc="http://schemas.openxmlformats.org/markup-compatibility/2006">
          <mc:Choice Requires="x14">
            <control shapeId="12939" r:id="rId2043" name="Button 1675">
              <controlPr defaultSize="0" autoFill="0" autoLine="0" autoPict="0" macro="[0]!Sheet1.deleteRow">
                <anchor moveWithCells="1" sizeWithCells="1">
                  <from>
                    <xdr:col>6</xdr:col>
                    <xdr:colOff>0</xdr:colOff>
                    <xdr:row>3635</xdr:row>
                    <xdr:rowOff>0</xdr:rowOff>
                  </from>
                  <to>
                    <xdr:col>7</xdr:col>
                    <xdr:colOff>0</xdr:colOff>
                    <xdr:row>3635</xdr:row>
                    <xdr:rowOff>161925</xdr:rowOff>
                  </to>
                </anchor>
              </controlPr>
            </control>
          </mc:Choice>
        </mc:AlternateContent>
        <mc:AlternateContent xmlns:mc="http://schemas.openxmlformats.org/markup-compatibility/2006">
          <mc:Choice Requires="x14">
            <control shapeId="12938" r:id="rId2044" name="Button 1674">
              <controlPr defaultSize="0" autoFill="0" autoLine="0" autoPict="0" macro="[0]!Sheet1.deleteRow">
                <anchor moveWithCells="1" sizeWithCells="1">
                  <from>
                    <xdr:col>6</xdr:col>
                    <xdr:colOff>0</xdr:colOff>
                    <xdr:row>3636</xdr:row>
                    <xdr:rowOff>0</xdr:rowOff>
                  </from>
                  <to>
                    <xdr:col>7</xdr:col>
                    <xdr:colOff>0</xdr:colOff>
                    <xdr:row>3636</xdr:row>
                    <xdr:rowOff>161925</xdr:rowOff>
                  </to>
                </anchor>
              </controlPr>
            </control>
          </mc:Choice>
        </mc:AlternateContent>
        <mc:AlternateContent xmlns:mc="http://schemas.openxmlformats.org/markup-compatibility/2006">
          <mc:Choice Requires="x14">
            <control shapeId="12937" r:id="rId2045" name="Button 1673">
              <controlPr defaultSize="0" autoFill="0" autoLine="0" autoPict="0" macro="[0]!Sheet1.deleteRow">
                <anchor moveWithCells="1" sizeWithCells="1">
                  <from>
                    <xdr:col>6</xdr:col>
                    <xdr:colOff>0</xdr:colOff>
                    <xdr:row>3637</xdr:row>
                    <xdr:rowOff>0</xdr:rowOff>
                  </from>
                  <to>
                    <xdr:col>7</xdr:col>
                    <xdr:colOff>0</xdr:colOff>
                    <xdr:row>3637</xdr:row>
                    <xdr:rowOff>161925</xdr:rowOff>
                  </to>
                </anchor>
              </controlPr>
            </control>
          </mc:Choice>
        </mc:AlternateContent>
        <mc:AlternateContent xmlns:mc="http://schemas.openxmlformats.org/markup-compatibility/2006">
          <mc:Choice Requires="x14">
            <control shapeId="12936" r:id="rId2046" name="Button 1672">
              <controlPr defaultSize="0" autoFill="0" autoLine="0" autoPict="0" macro="[0]!Sheet1.deleteRow">
                <anchor moveWithCells="1" sizeWithCells="1">
                  <from>
                    <xdr:col>6</xdr:col>
                    <xdr:colOff>0</xdr:colOff>
                    <xdr:row>3638</xdr:row>
                    <xdr:rowOff>0</xdr:rowOff>
                  </from>
                  <to>
                    <xdr:col>7</xdr:col>
                    <xdr:colOff>0</xdr:colOff>
                    <xdr:row>3638</xdr:row>
                    <xdr:rowOff>161925</xdr:rowOff>
                  </to>
                </anchor>
              </controlPr>
            </control>
          </mc:Choice>
        </mc:AlternateContent>
        <mc:AlternateContent xmlns:mc="http://schemas.openxmlformats.org/markup-compatibility/2006">
          <mc:Choice Requires="x14">
            <control shapeId="12935" r:id="rId2047" name="Button 1671">
              <controlPr defaultSize="0" autoFill="0" autoLine="0" autoPict="0" macro="[0]!Sheet1.deleteRow">
                <anchor moveWithCells="1" sizeWithCells="1">
                  <from>
                    <xdr:col>6</xdr:col>
                    <xdr:colOff>0</xdr:colOff>
                    <xdr:row>3639</xdr:row>
                    <xdr:rowOff>0</xdr:rowOff>
                  </from>
                  <to>
                    <xdr:col>7</xdr:col>
                    <xdr:colOff>0</xdr:colOff>
                    <xdr:row>3639</xdr:row>
                    <xdr:rowOff>161925</xdr:rowOff>
                  </to>
                </anchor>
              </controlPr>
            </control>
          </mc:Choice>
        </mc:AlternateContent>
        <mc:AlternateContent xmlns:mc="http://schemas.openxmlformats.org/markup-compatibility/2006">
          <mc:Choice Requires="x14">
            <control shapeId="12934" r:id="rId2048" name="Button 1670">
              <controlPr defaultSize="0" autoFill="0" autoLine="0" autoPict="0" macro="[0]!Sheet1.deleteRow">
                <anchor moveWithCells="1" sizeWithCells="1">
                  <from>
                    <xdr:col>6</xdr:col>
                    <xdr:colOff>0</xdr:colOff>
                    <xdr:row>3640</xdr:row>
                    <xdr:rowOff>0</xdr:rowOff>
                  </from>
                  <to>
                    <xdr:col>7</xdr:col>
                    <xdr:colOff>0</xdr:colOff>
                    <xdr:row>3640</xdr:row>
                    <xdr:rowOff>161925</xdr:rowOff>
                  </to>
                </anchor>
              </controlPr>
            </control>
          </mc:Choice>
        </mc:AlternateContent>
        <mc:AlternateContent xmlns:mc="http://schemas.openxmlformats.org/markup-compatibility/2006">
          <mc:Choice Requires="x14">
            <control shapeId="12933" r:id="rId2049" name="Button 1669">
              <controlPr defaultSize="0" autoFill="0" autoLine="0" autoPict="0" macro="[0]!Sheet1.deleteRow">
                <anchor moveWithCells="1" sizeWithCells="1">
                  <from>
                    <xdr:col>6</xdr:col>
                    <xdr:colOff>0</xdr:colOff>
                    <xdr:row>3641</xdr:row>
                    <xdr:rowOff>0</xdr:rowOff>
                  </from>
                  <to>
                    <xdr:col>7</xdr:col>
                    <xdr:colOff>0</xdr:colOff>
                    <xdr:row>3641</xdr:row>
                    <xdr:rowOff>161925</xdr:rowOff>
                  </to>
                </anchor>
              </controlPr>
            </control>
          </mc:Choice>
        </mc:AlternateContent>
        <mc:AlternateContent xmlns:mc="http://schemas.openxmlformats.org/markup-compatibility/2006">
          <mc:Choice Requires="x14">
            <control shapeId="12932" r:id="rId2050" name="Button 1668">
              <controlPr defaultSize="0" autoFill="0" autoLine="0" autoPict="0" macro="[0]!Sheet1.deleteRow">
                <anchor moveWithCells="1" sizeWithCells="1">
                  <from>
                    <xdr:col>6</xdr:col>
                    <xdr:colOff>0</xdr:colOff>
                    <xdr:row>3642</xdr:row>
                    <xdr:rowOff>0</xdr:rowOff>
                  </from>
                  <to>
                    <xdr:col>7</xdr:col>
                    <xdr:colOff>0</xdr:colOff>
                    <xdr:row>3642</xdr:row>
                    <xdr:rowOff>161925</xdr:rowOff>
                  </to>
                </anchor>
              </controlPr>
            </control>
          </mc:Choice>
        </mc:AlternateContent>
        <mc:AlternateContent xmlns:mc="http://schemas.openxmlformats.org/markup-compatibility/2006">
          <mc:Choice Requires="x14">
            <control shapeId="12931" r:id="rId2051" name="Button 1667">
              <controlPr defaultSize="0" autoFill="0" autoLine="0" autoPict="0" macro="[0]!Sheet1.deleteRow">
                <anchor moveWithCells="1" sizeWithCells="1">
                  <from>
                    <xdr:col>6</xdr:col>
                    <xdr:colOff>0</xdr:colOff>
                    <xdr:row>3643</xdr:row>
                    <xdr:rowOff>0</xdr:rowOff>
                  </from>
                  <to>
                    <xdr:col>7</xdr:col>
                    <xdr:colOff>0</xdr:colOff>
                    <xdr:row>3643</xdr:row>
                    <xdr:rowOff>161925</xdr:rowOff>
                  </to>
                </anchor>
              </controlPr>
            </control>
          </mc:Choice>
        </mc:AlternateContent>
        <mc:AlternateContent xmlns:mc="http://schemas.openxmlformats.org/markup-compatibility/2006">
          <mc:Choice Requires="x14">
            <control shapeId="12930" r:id="rId2052" name="Button 1666">
              <controlPr defaultSize="0" autoFill="0" autoLine="0" autoPict="0" macro="[0]!Sheet1.deleteRow">
                <anchor moveWithCells="1" sizeWithCells="1">
                  <from>
                    <xdr:col>6</xdr:col>
                    <xdr:colOff>0</xdr:colOff>
                    <xdr:row>3644</xdr:row>
                    <xdr:rowOff>0</xdr:rowOff>
                  </from>
                  <to>
                    <xdr:col>7</xdr:col>
                    <xdr:colOff>0</xdr:colOff>
                    <xdr:row>3644</xdr:row>
                    <xdr:rowOff>161925</xdr:rowOff>
                  </to>
                </anchor>
              </controlPr>
            </control>
          </mc:Choice>
        </mc:AlternateContent>
        <mc:AlternateContent xmlns:mc="http://schemas.openxmlformats.org/markup-compatibility/2006">
          <mc:Choice Requires="x14">
            <control shapeId="12929" r:id="rId2053" name="Button 1665">
              <controlPr defaultSize="0" autoFill="0" autoLine="0" autoPict="0" macro="[0]!Sheet1.deleteRow">
                <anchor moveWithCells="1" sizeWithCells="1">
                  <from>
                    <xdr:col>6</xdr:col>
                    <xdr:colOff>0</xdr:colOff>
                    <xdr:row>3645</xdr:row>
                    <xdr:rowOff>0</xdr:rowOff>
                  </from>
                  <to>
                    <xdr:col>7</xdr:col>
                    <xdr:colOff>0</xdr:colOff>
                    <xdr:row>3645</xdr:row>
                    <xdr:rowOff>161925</xdr:rowOff>
                  </to>
                </anchor>
              </controlPr>
            </control>
          </mc:Choice>
        </mc:AlternateContent>
        <mc:AlternateContent xmlns:mc="http://schemas.openxmlformats.org/markup-compatibility/2006">
          <mc:Choice Requires="x14">
            <control shapeId="12928" r:id="rId2054" name="Button 1664">
              <controlPr defaultSize="0" autoFill="0" autoLine="0" autoPict="0" macro="[0]!Sheet1.deleteRow">
                <anchor moveWithCells="1" sizeWithCells="1">
                  <from>
                    <xdr:col>6</xdr:col>
                    <xdr:colOff>0</xdr:colOff>
                    <xdr:row>3646</xdr:row>
                    <xdr:rowOff>0</xdr:rowOff>
                  </from>
                  <to>
                    <xdr:col>7</xdr:col>
                    <xdr:colOff>0</xdr:colOff>
                    <xdr:row>3646</xdr:row>
                    <xdr:rowOff>161925</xdr:rowOff>
                  </to>
                </anchor>
              </controlPr>
            </control>
          </mc:Choice>
        </mc:AlternateContent>
        <mc:AlternateContent xmlns:mc="http://schemas.openxmlformats.org/markup-compatibility/2006">
          <mc:Choice Requires="x14">
            <control shapeId="12927" r:id="rId2055" name="Button 1663">
              <controlPr defaultSize="0" autoFill="0" autoLine="0" autoPict="0" macro="[0]!Sheet1.deleteRow">
                <anchor moveWithCells="1" sizeWithCells="1">
                  <from>
                    <xdr:col>6</xdr:col>
                    <xdr:colOff>0</xdr:colOff>
                    <xdr:row>3647</xdr:row>
                    <xdr:rowOff>0</xdr:rowOff>
                  </from>
                  <to>
                    <xdr:col>7</xdr:col>
                    <xdr:colOff>0</xdr:colOff>
                    <xdr:row>3647</xdr:row>
                    <xdr:rowOff>161925</xdr:rowOff>
                  </to>
                </anchor>
              </controlPr>
            </control>
          </mc:Choice>
        </mc:AlternateContent>
        <mc:AlternateContent xmlns:mc="http://schemas.openxmlformats.org/markup-compatibility/2006">
          <mc:Choice Requires="x14">
            <control shapeId="12926" r:id="rId2056" name="Button 1662">
              <controlPr defaultSize="0" autoFill="0" autoLine="0" autoPict="0" macro="[0]!Sheet1.deleteRow">
                <anchor moveWithCells="1" sizeWithCells="1">
                  <from>
                    <xdr:col>6</xdr:col>
                    <xdr:colOff>0</xdr:colOff>
                    <xdr:row>3648</xdr:row>
                    <xdr:rowOff>0</xdr:rowOff>
                  </from>
                  <to>
                    <xdr:col>7</xdr:col>
                    <xdr:colOff>0</xdr:colOff>
                    <xdr:row>3648</xdr:row>
                    <xdr:rowOff>161925</xdr:rowOff>
                  </to>
                </anchor>
              </controlPr>
            </control>
          </mc:Choice>
        </mc:AlternateContent>
        <mc:AlternateContent xmlns:mc="http://schemas.openxmlformats.org/markup-compatibility/2006">
          <mc:Choice Requires="x14">
            <control shapeId="12925" r:id="rId2057" name="Button 1661">
              <controlPr defaultSize="0" autoFill="0" autoLine="0" autoPict="0" macro="[0]!Sheet1.deleteRow">
                <anchor moveWithCells="1" sizeWithCells="1">
                  <from>
                    <xdr:col>6</xdr:col>
                    <xdr:colOff>0</xdr:colOff>
                    <xdr:row>3649</xdr:row>
                    <xdr:rowOff>0</xdr:rowOff>
                  </from>
                  <to>
                    <xdr:col>7</xdr:col>
                    <xdr:colOff>0</xdr:colOff>
                    <xdr:row>3649</xdr:row>
                    <xdr:rowOff>161925</xdr:rowOff>
                  </to>
                </anchor>
              </controlPr>
            </control>
          </mc:Choice>
        </mc:AlternateContent>
        <mc:AlternateContent xmlns:mc="http://schemas.openxmlformats.org/markup-compatibility/2006">
          <mc:Choice Requires="x14">
            <control shapeId="12924" r:id="rId2058" name="Button 1660">
              <controlPr defaultSize="0" autoFill="0" autoLine="0" autoPict="0" macro="[0]!Sheet1.deleteRow">
                <anchor moveWithCells="1" sizeWithCells="1">
                  <from>
                    <xdr:col>6</xdr:col>
                    <xdr:colOff>0</xdr:colOff>
                    <xdr:row>3650</xdr:row>
                    <xdr:rowOff>0</xdr:rowOff>
                  </from>
                  <to>
                    <xdr:col>7</xdr:col>
                    <xdr:colOff>0</xdr:colOff>
                    <xdr:row>3650</xdr:row>
                    <xdr:rowOff>161925</xdr:rowOff>
                  </to>
                </anchor>
              </controlPr>
            </control>
          </mc:Choice>
        </mc:AlternateContent>
        <mc:AlternateContent xmlns:mc="http://schemas.openxmlformats.org/markup-compatibility/2006">
          <mc:Choice Requires="x14">
            <control shapeId="12923" r:id="rId2059" name="Button 1659">
              <controlPr defaultSize="0" autoFill="0" autoLine="0" autoPict="0" macro="[0]!Sheet1.deleteRow">
                <anchor moveWithCells="1" sizeWithCells="1">
                  <from>
                    <xdr:col>6</xdr:col>
                    <xdr:colOff>0</xdr:colOff>
                    <xdr:row>3651</xdr:row>
                    <xdr:rowOff>0</xdr:rowOff>
                  </from>
                  <to>
                    <xdr:col>7</xdr:col>
                    <xdr:colOff>0</xdr:colOff>
                    <xdr:row>3651</xdr:row>
                    <xdr:rowOff>161925</xdr:rowOff>
                  </to>
                </anchor>
              </controlPr>
            </control>
          </mc:Choice>
        </mc:AlternateContent>
        <mc:AlternateContent xmlns:mc="http://schemas.openxmlformats.org/markup-compatibility/2006">
          <mc:Choice Requires="x14">
            <control shapeId="12922" r:id="rId2060" name="Button 1658">
              <controlPr defaultSize="0" autoFill="0" autoLine="0" autoPict="0" macro="[0]!Sheet1.deleteRow">
                <anchor moveWithCells="1" sizeWithCells="1">
                  <from>
                    <xdr:col>6</xdr:col>
                    <xdr:colOff>0</xdr:colOff>
                    <xdr:row>3652</xdr:row>
                    <xdr:rowOff>0</xdr:rowOff>
                  </from>
                  <to>
                    <xdr:col>7</xdr:col>
                    <xdr:colOff>0</xdr:colOff>
                    <xdr:row>3652</xdr:row>
                    <xdr:rowOff>161925</xdr:rowOff>
                  </to>
                </anchor>
              </controlPr>
            </control>
          </mc:Choice>
        </mc:AlternateContent>
        <mc:AlternateContent xmlns:mc="http://schemas.openxmlformats.org/markup-compatibility/2006">
          <mc:Choice Requires="x14">
            <control shapeId="12921" r:id="rId2061" name="Button 1657">
              <controlPr defaultSize="0" autoFill="0" autoLine="0" autoPict="0" macro="[0]!Sheet1.deleteRow">
                <anchor moveWithCells="1" sizeWithCells="1">
                  <from>
                    <xdr:col>6</xdr:col>
                    <xdr:colOff>0</xdr:colOff>
                    <xdr:row>3653</xdr:row>
                    <xdr:rowOff>0</xdr:rowOff>
                  </from>
                  <to>
                    <xdr:col>7</xdr:col>
                    <xdr:colOff>0</xdr:colOff>
                    <xdr:row>3653</xdr:row>
                    <xdr:rowOff>161925</xdr:rowOff>
                  </to>
                </anchor>
              </controlPr>
            </control>
          </mc:Choice>
        </mc:AlternateContent>
        <mc:AlternateContent xmlns:mc="http://schemas.openxmlformats.org/markup-compatibility/2006">
          <mc:Choice Requires="x14">
            <control shapeId="12920" r:id="rId2062" name="Button 1656">
              <controlPr defaultSize="0" autoFill="0" autoLine="0" autoPict="0" macro="[0]!Sheet1.deleteRow">
                <anchor moveWithCells="1" sizeWithCells="1">
                  <from>
                    <xdr:col>6</xdr:col>
                    <xdr:colOff>0</xdr:colOff>
                    <xdr:row>3654</xdr:row>
                    <xdr:rowOff>0</xdr:rowOff>
                  </from>
                  <to>
                    <xdr:col>7</xdr:col>
                    <xdr:colOff>0</xdr:colOff>
                    <xdr:row>3654</xdr:row>
                    <xdr:rowOff>161925</xdr:rowOff>
                  </to>
                </anchor>
              </controlPr>
            </control>
          </mc:Choice>
        </mc:AlternateContent>
        <mc:AlternateContent xmlns:mc="http://schemas.openxmlformats.org/markup-compatibility/2006">
          <mc:Choice Requires="x14">
            <control shapeId="12919" r:id="rId2063" name="Button 1655">
              <controlPr defaultSize="0" autoFill="0" autoLine="0" autoPict="0" macro="[0]!Sheet1.deleteRow">
                <anchor moveWithCells="1" sizeWithCells="1">
                  <from>
                    <xdr:col>6</xdr:col>
                    <xdr:colOff>0</xdr:colOff>
                    <xdr:row>3655</xdr:row>
                    <xdr:rowOff>0</xdr:rowOff>
                  </from>
                  <to>
                    <xdr:col>7</xdr:col>
                    <xdr:colOff>0</xdr:colOff>
                    <xdr:row>3655</xdr:row>
                    <xdr:rowOff>161925</xdr:rowOff>
                  </to>
                </anchor>
              </controlPr>
            </control>
          </mc:Choice>
        </mc:AlternateContent>
        <mc:AlternateContent xmlns:mc="http://schemas.openxmlformats.org/markup-compatibility/2006">
          <mc:Choice Requires="x14">
            <control shapeId="12918" r:id="rId2064" name="Button 1654">
              <controlPr defaultSize="0" autoFill="0" autoLine="0" autoPict="0" macro="[0]!Sheet1.deleteRow">
                <anchor moveWithCells="1" sizeWithCells="1">
                  <from>
                    <xdr:col>6</xdr:col>
                    <xdr:colOff>0</xdr:colOff>
                    <xdr:row>3656</xdr:row>
                    <xdr:rowOff>0</xdr:rowOff>
                  </from>
                  <to>
                    <xdr:col>7</xdr:col>
                    <xdr:colOff>0</xdr:colOff>
                    <xdr:row>3656</xdr:row>
                    <xdr:rowOff>161925</xdr:rowOff>
                  </to>
                </anchor>
              </controlPr>
            </control>
          </mc:Choice>
        </mc:AlternateContent>
        <mc:AlternateContent xmlns:mc="http://schemas.openxmlformats.org/markup-compatibility/2006">
          <mc:Choice Requires="x14">
            <control shapeId="12917" r:id="rId2065" name="Button 1653">
              <controlPr defaultSize="0" autoFill="0" autoLine="0" autoPict="0" macro="[0]!Sheet1.deleteRow">
                <anchor moveWithCells="1" sizeWithCells="1">
                  <from>
                    <xdr:col>6</xdr:col>
                    <xdr:colOff>0</xdr:colOff>
                    <xdr:row>3657</xdr:row>
                    <xdr:rowOff>0</xdr:rowOff>
                  </from>
                  <to>
                    <xdr:col>7</xdr:col>
                    <xdr:colOff>0</xdr:colOff>
                    <xdr:row>3657</xdr:row>
                    <xdr:rowOff>161925</xdr:rowOff>
                  </to>
                </anchor>
              </controlPr>
            </control>
          </mc:Choice>
        </mc:AlternateContent>
        <mc:AlternateContent xmlns:mc="http://schemas.openxmlformats.org/markup-compatibility/2006">
          <mc:Choice Requires="x14">
            <control shapeId="12916" r:id="rId2066" name="Button 1652">
              <controlPr defaultSize="0" autoFill="0" autoLine="0" autoPict="0" macro="[0]!Sheet1.deleteRow">
                <anchor moveWithCells="1" sizeWithCells="1">
                  <from>
                    <xdr:col>6</xdr:col>
                    <xdr:colOff>0</xdr:colOff>
                    <xdr:row>3658</xdr:row>
                    <xdr:rowOff>0</xdr:rowOff>
                  </from>
                  <to>
                    <xdr:col>7</xdr:col>
                    <xdr:colOff>0</xdr:colOff>
                    <xdr:row>3658</xdr:row>
                    <xdr:rowOff>161925</xdr:rowOff>
                  </to>
                </anchor>
              </controlPr>
            </control>
          </mc:Choice>
        </mc:AlternateContent>
        <mc:AlternateContent xmlns:mc="http://schemas.openxmlformats.org/markup-compatibility/2006">
          <mc:Choice Requires="x14">
            <control shapeId="12915" r:id="rId2067" name="Button 1651">
              <controlPr defaultSize="0" autoFill="0" autoLine="0" autoPict="0" macro="[0]!Sheet1.deleteRow">
                <anchor moveWithCells="1" sizeWithCells="1">
                  <from>
                    <xdr:col>6</xdr:col>
                    <xdr:colOff>0</xdr:colOff>
                    <xdr:row>3659</xdr:row>
                    <xdr:rowOff>0</xdr:rowOff>
                  </from>
                  <to>
                    <xdr:col>7</xdr:col>
                    <xdr:colOff>0</xdr:colOff>
                    <xdr:row>3659</xdr:row>
                    <xdr:rowOff>161925</xdr:rowOff>
                  </to>
                </anchor>
              </controlPr>
            </control>
          </mc:Choice>
        </mc:AlternateContent>
        <mc:AlternateContent xmlns:mc="http://schemas.openxmlformats.org/markup-compatibility/2006">
          <mc:Choice Requires="x14">
            <control shapeId="12914" r:id="rId2068" name="Button 1650">
              <controlPr defaultSize="0" autoFill="0" autoLine="0" autoPict="0" macro="[0]!Sheet1.deleteRow">
                <anchor moveWithCells="1" sizeWithCells="1">
                  <from>
                    <xdr:col>6</xdr:col>
                    <xdr:colOff>0</xdr:colOff>
                    <xdr:row>3660</xdr:row>
                    <xdr:rowOff>0</xdr:rowOff>
                  </from>
                  <to>
                    <xdr:col>7</xdr:col>
                    <xdr:colOff>0</xdr:colOff>
                    <xdr:row>3660</xdr:row>
                    <xdr:rowOff>161925</xdr:rowOff>
                  </to>
                </anchor>
              </controlPr>
            </control>
          </mc:Choice>
        </mc:AlternateContent>
        <mc:AlternateContent xmlns:mc="http://schemas.openxmlformats.org/markup-compatibility/2006">
          <mc:Choice Requires="x14">
            <control shapeId="12913" r:id="rId2069" name="Button 1649">
              <controlPr defaultSize="0" autoFill="0" autoLine="0" autoPict="0" macro="[0]!Sheet1.deleteRow">
                <anchor moveWithCells="1" sizeWithCells="1">
                  <from>
                    <xdr:col>6</xdr:col>
                    <xdr:colOff>0</xdr:colOff>
                    <xdr:row>3661</xdr:row>
                    <xdr:rowOff>0</xdr:rowOff>
                  </from>
                  <to>
                    <xdr:col>7</xdr:col>
                    <xdr:colOff>0</xdr:colOff>
                    <xdr:row>3661</xdr:row>
                    <xdr:rowOff>161925</xdr:rowOff>
                  </to>
                </anchor>
              </controlPr>
            </control>
          </mc:Choice>
        </mc:AlternateContent>
        <mc:AlternateContent xmlns:mc="http://schemas.openxmlformats.org/markup-compatibility/2006">
          <mc:Choice Requires="x14">
            <control shapeId="12912" r:id="rId2070" name="Button 1648">
              <controlPr defaultSize="0" autoFill="0" autoLine="0" autoPict="0" macro="[0]!Sheet1.deleteRow">
                <anchor moveWithCells="1" sizeWithCells="1">
                  <from>
                    <xdr:col>6</xdr:col>
                    <xdr:colOff>0</xdr:colOff>
                    <xdr:row>3662</xdr:row>
                    <xdr:rowOff>0</xdr:rowOff>
                  </from>
                  <to>
                    <xdr:col>7</xdr:col>
                    <xdr:colOff>0</xdr:colOff>
                    <xdr:row>3662</xdr:row>
                    <xdr:rowOff>161925</xdr:rowOff>
                  </to>
                </anchor>
              </controlPr>
            </control>
          </mc:Choice>
        </mc:AlternateContent>
        <mc:AlternateContent xmlns:mc="http://schemas.openxmlformats.org/markup-compatibility/2006">
          <mc:Choice Requires="x14">
            <control shapeId="12911" r:id="rId2071" name="Button 1647">
              <controlPr defaultSize="0" autoFill="0" autoLine="0" autoPict="0" macro="[0]!Sheet1.deleteRow">
                <anchor moveWithCells="1" sizeWithCells="1">
                  <from>
                    <xdr:col>6</xdr:col>
                    <xdr:colOff>0</xdr:colOff>
                    <xdr:row>3663</xdr:row>
                    <xdr:rowOff>0</xdr:rowOff>
                  </from>
                  <to>
                    <xdr:col>7</xdr:col>
                    <xdr:colOff>0</xdr:colOff>
                    <xdr:row>3663</xdr:row>
                    <xdr:rowOff>161925</xdr:rowOff>
                  </to>
                </anchor>
              </controlPr>
            </control>
          </mc:Choice>
        </mc:AlternateContent>
        <mc:AlternateContent xmlns:mc="http://schemas.openxmlformats.org/markup-compatibility/2006">
          <mc:Choice Requires="x14">
            <control shapeId="12910" r:id="rId2072" name="Button 1646">
              <controlPr defaultSize="0" autoFill="0" autoLine="0" autoPict="0" macro="[0]!Sheet1.deleteRow">
                <anchor moveWithCells="1" sizeWithCells="1">
                  <from>
                    <xdr:col>6</xdr:col>
                    <xdr:colOff>0</xdr:colOff>
                    <xdr:row>3664</xdr:row>
                    <xdr:rowOff>0</xdr:rowOff>
                  </from>
                  <to>
                    <xdr:col>7</xdr:col>
                    <xdr:colOff>0</xdr:colOff>
                    <xdr:row>3664</xdr:row>
                    <xdr:rowOff>161925</xdr:rowOff>
                  </to>
                </anchor>
              </controlPr>
            </control>
          </mc:Choice>
        </mc:AlternateContent>
        <mc:AlternateContent xmlns:mc="http://schemas.openxmlformats.org/markup-compatibility/2006">
          <mc:Choice Requires="x14">
            <control shapeId="12909" r:id="rId2073" name="Button 1645">
              <controlPr defaultSize="0" autoFill="0" autoLine="0" autoPict="0" macro="[0]!Sheet1.deleteRow">
                <anchor moveWithCells="1" sizeWithCells="1">
                  <from>
                    <xdr:col>6</xdr:col>
                    <xdr:colOff>0</xdr:colOff>
                    <xdr:row>3665</xdr:row>
                    <xdr:rowOff>0</xdr:rowOff>
                  </from>
                  <to>
                    <xdr:col>7</xdr:col>
                    <xdr:colOff>0</xdr:colOff>
                    <xdr:row>3665</xdr:row>
                    <xdr:rowOff>161925</xdr:rowOff>
                  </to>
                </anchor>
              </controlPr>
            </control>
          </mc:Choice>
        </mc:AlternateContent>
        <mc:AlternateContent xmlns:mc="http://schemas.openxmlformats.org/markup-compatibility/2006">
          <mc:Choice Requires="x14">
            <control shapeId="12908" r:id="rId2074" name="Button 1644">
              <controlPr defaultSize="0" autoFill="0" autoLine="0" autoPict="0" macro="[0]!Sheet1.deleteRow">
                <anchor moveWithCells="1" sizeWithCells="1">
                  <from>
                    <xdr:col>6</xdr:col>
                    <xdr:colOff>0</xdr:colOff>
                    <xdr:row>3666</xdr:row>
                    <xdr:rowOff>0</xdr:rowOff>
                  </from>
                  <to>
                    <xdr:col>7</xdr:col>
                    <xdr:colOff>0</xdr:colOff>
                    <xdr:row>3666</xdr:row>
                    <xdr:rowOff>161925</xdr:rowOff>
                  </to>
                </anchor>
              </controlPr>
            </control>
          </mc:Choice>
        </mc:AlternateContent>
        <mc:AlternateContent xmlns:mc="http://schemas.openxmlformats.org/markup-compatibility/2006">
          <mc:Choice Requires="x14">
            <control shapeId="12907" r:id="rId2075" name="Button 1643">
              <controlPr defaultSize="0" autoFill="0" autoLine="0" autoPict="0" macro="[0]!Sheet1.deleteRow">
                <anchor moveWithCells="1" sizeWithCells="1">
                  <from>
                    <xdr:col>6</xdr:col>
                    <xdr:colOff>0</xdr:colOff>
                    <xdr:row>3667</xdr:row>
                    <xdr:rowOff>0</xdr:rowOff>
                  </from>
                  <to>
                    <xdr:col>7</xdr:col>
                    <xdr:colOff>0</xdr:colOff>
                    <xdr:row>3667</xdr:row>
                    <xdr:rowOff>161925</xdr:rowOff>
                  </to>
                </anchor>
              </controlPr>
            </control>
          </mc:Choice>
        </mc:AlternateContent>
        <mc:AlternateContent xmlns:mc="http://schemas.openxmlformats.org/markup-compatibility/2006">
          <mc:Choice Requires="x14">
            <control shapeId="12906" r:id="rId2076" name="Button 1642">
              <controlPr defaultSize="0" autoFill="0" autoLine="0" autoPict="0" macro="[0]!Sheet1.deleteRow">
                <anchor moveWithCells="1" sizeWithCells="1">
                  <from>
                    <xdr:col>6</xdr:col>
                    <xdr:colOff>0</xdr:colOff>
                    <xdr:row>3668</xdr:row>
                    <xdr:rowOff>0</xdr:rowOff>
                  </from>
                  <to>
                    <xdr:col>7</xdr:col>
                    <xdr:colOff>0</xdr:colOff>
                    <xdr:row>3668</xdr:row>
                    <xdr:rowOff>161925</xdr:rowOff>
                  </to>
                </anchor>
              </controlPr>
            </control>
          </mc:Choice>
        </mc:AlternateContent>
        <mc:AlternateContent xmlns:mc="http://schemas.openxmlformats.org/markup-compatibility/2006">
          <mc:Choice Requires="x14">
            <control shapeId="12905" r:id="rId2077" name="Button 1641">
              <controlPr defaultSize="0" autoFill="0" autoLine="0" autoPict="0" macro="[0]!Sheet1.deleteRow">
                <anchor moveWithCells="1" sizeWithCells="1">
                  <from>
                    <xdr:col>6</xdr:col>
                    <xdr:colOff>0</xdr:colOff>
                    <xdr:row>3669</xdr:row>
                    <xdr:rowOff>0</xdr:rowOff>
                  </from>
                  <to>
                    <xdr:col>7</xdr:col>
                    <xdr:colOff>0</xdr:colOff>
                    <xdr:row>3669</xdr:row>
                    <xdr:rowOff>161925</xdr:rowOff>
                  </to>
                </anchor>
              </controlPr>
            </control>
          </mc:Choice>
        </mc:AlternateContent>
        <mc:AlternateContent xmlns:mc="http://schemas.openxmlformats.org/markup-compatibility/2006">
          <mc:Choice Requires="x14">
            <control shapeId="12904" r:id="rId2078" name="Button 1640">
              <controlPr defaultSize="0" autoFill="0" autoLine="0" autoPict="0" macro="[0]!Sheet1.deleteRow">
                <anchor moveWithCells="1" sizeWithCells="1">
                  <from>
                    <xdr:col>6</xdr:col>
                    <xdr:colOff>0</xdr:colOff>
                    <xdr:row>3670</xdr:row>
                    <xdr:rowOff>0</xdr:rowOff>
                  </from>
                  <to>
                    <xdr:col>7</xdr:col>
                    <xdr:colOff>0</xdr:colOff>
                    <xdr:row>3670</xdr:row>
                    <xdr:rowOff>161925</xdr:rowOff>
                  </to>
                </anchor>
              </controlPr>
            </control>
          </mc:Choice>
        </mc:AlternateContent>
        <mc:AlternateContent xmlns:mc="http://schemas.openxmlformats.org/markup-compatibility/2006">
          <mc:Choice Requires="x14">
            <control shapeId="12903" r:id="rId2079" name="Button 1639">
              <controlPr defaultSize="0" autoFill="0" autoLine="0" autoPict="0" macro="[0]!Sheet1.deleteRow">
                <anchor moveWithCells="1" sizeWithCells="1">
                  <from>
                    <xdr:col>6</xdr:col>
                    <xdr:colOff>0</xdr:colOff>
                    <xdr:row>3671</xdr:row>
                    <xdr:rowOff>0</xdr:rowOff>
                  </from>
                  <to>
                    <xdr:col>7</xdr:col>
                    <xdr:colOff>0</xdr:colOff>
                    <xdr:row>3671</xdr:row>
                    <xdr:rowOff>161925</xdr:rowOff>
                  </to>
                </anchor>
              </controlPr>
            </control>
          </mc:Choice>
        </mc:AlternateContent>
        <mc:AlternateContent xmlns:mc="http://schemas.openxmlformats.org/markup-compatibility/2006">
          <mc:Choice Requires="x14">
            <control shapeId="12902" r:id="rId2080" name="Button 1638">
              <controlPr defaultSize="0" autoFill="0" autoLine="0" autoPict="0" macro="[0]!Sheet1.deleteRow">
                <anchor moveWithCells="1" sizeWithCells="1">
                  <from>
                    <xdr:col>6</xdr:col>
                    <xdr:colOff>0</xdr:colOff>
                    <xdr:row>3672</xdr:row>
                    <xdr:rowOff>0</xdr:rowOff>
                  </from>
                  <to>
                    <xdr:col>7</xdr:col>
                    <xdr:colOff>0</xdr:colOff>
                    <xdr:row>3672</xdr:row>
                    <xdr:rowOff>161925</xdr:rowOff>
                  </to>
                </anchor>
              </controlPr>
            </control>
          </mc:Choice>
        </mc:AlternateContent>
        <mc:AlternateContent xmlns:mc="http://schemas.openxmlformats.org/markup-compatibility/2006">
          <mc:Choice Requires="x14">
            <control shapeId="12901" r:id="rId2081" name="Button 1637">
              <controlPr defaultSize="0" autoFill="0" autoLine="0" autoPict="0" macro="[0]!Sheet1.deleteRow">
                <anchor moveWithCells="1" sizeWithCells="1">
                  <from>
                    <xdr:col>6</xdr:col>
                    <xdr:colOff>0</xdr:colOff>
                    <xdr:row>3673</xdr:row>
                    <xdr:rowOff>0</xdr:rowOff>
                  </from>
                  <to>
                    <xdr:col>7</xdr:col>
                    <xdr:colOff>0</xdr:colOff>
                    <xdr:row>3673</xdr:row>
                    <xdr:rowOff>161925</xdr:rowOff>
                  </to>
                </anchor>
              </controlPr>
            </control>
          </mc:Choice>
        </mc:AlternateContent>
        <mc:AlternateContent xmlns:mc="http://schemas.openxmlformats.org/markup-compatibility/2006">
          <mc:Choice Requires="x14">
            <control shapeId="12900" r:id="rId2082" name="Button 1636">
              <controlPr defaultSize="0" autoFill="0" autoLine="0" autoPict="0" macro="[0]!Sheet1.deleteRow">
                <anchor moveWithCells="1" sizeWithCells="1">
                  <from>
                    <xdr:col>6</xdr:col>
                    <xdr:colOff>0</xdr:colOff>
                    <xdr:row>3674</xdr:row>
                    <xdr:rowOff>0</xdr:rowOff>
                  </from>
                  <to>
                    <xdr:col>7</xdr:col>
                    <xdr:colOff>0</xdr:colOff>
                    <xdr:row>3674</xdr:row>
                    <xdr:rowOff>161925</xdr:rowOff>
                  </to>
                </anchor>
              </controlPr>
            </control>
          </mc:Choice>
        </mc:AlternateContent>
        <mc:AlternateContent xmlns:mc="http://schemas.openxmlformats.org/markup-compatibility/2006">
          <mc:Choice Requires="x14">
            <control shapeId="12899" r:id="rId2083" name="Button 1635">
              <controlPr defaultSize="0" autoFill="0" autoLine="0" autoPict="0" macro="[0]!Sheet1.deleteRow">
                <anchor moveWithCells="1" sizeWithCells="1">
                  <from>
                    <xdr:col>6</xdr:col>
                    <xdr:colOff>0</xdr:colOff>
                    <xdr:row>3675</xdr:row>
                    <xdr:rowOff>0</xdr:rowOff>
                  </from>
                  <to>
                    <xdr:col>7</xdr:col>
                    <xdr:colOff>0</xdr:colOff>
                    <xdr:row>3675</xdr:row>
                    <xdr:rowOff>161925</xdr:rowOff>
                  </to>
                </anchor>
              </controlPr>
            </control>
          </mc:Choice>
        </mc:AlternateContent>
        <mc:AlternateContent xmlns:mc="http://schemas.openxmlformats.org/markup-compatibility/2006">
          <mc:Choice Requires="x14">
            <control shapeId="12898" r:id="rId2084" name="Button 1634">
              <controlPr defaultSize="0" autoFill="0" autoLine="0" autoPict="0" macro="[0]!Sheet1.deleteRow">
                <anchor moveWithCells="1" sizeWithCells="1">
                  <from>
                    <xdr:col>6</xdr:col>
                    <xdr:colOff>0</xdr:colOff>
                    <xdr:row>3676</xdr:row>
                    <xdr:rowOff>0</xdr:rowOff>
                  </from>
                  <to>
                    <xdr:col>7</xdr:col>
                    <xdr:colOff>0</xdr:colOff>
                    <xdr:row>3676</xdr:row>
                    <xdr:rowOff>161925</xdr:rowOff>
                  </to>
                </anchor>
              </controlPr>
            </control>
          </mc:Choice>
        </mc:AlternateContent>
        <mc:AlternateContent xmlns:mc="http://schemas.openxmlformats.org/markup-compatibility/2006">
          <mc:Choice Requires="x14">
            <control shapeId="12897" r:id="rId2085" name="Button 1633">
              <controlPr defaultSize="0" autoFill="0" autoLine="0" autoPict="0" macro="[0]!Sheet1.deleteRow">
                <anchor moveWithCells="1" sizeWithCells="1">
                  <from>
                    <xdr:col>6</xdr:col>
                    <xdr:colOff>0</xdr:colOff>
                    <xdr:row>3677</xdr:row>
                    <xdr:rowOff>0</xdr:rowOff>
                  </from>
                  <to>
                    <xdr:col>7</xdr:col>
                    <xdr:colOff>0</xdr:colOff>
                    <xdr:row>3677</xdr:row>
                    <xdr:rowOff>161925</xdr:rowOff>
                  </to>
                </anchor>
              </controlPr>
            </control>
          </mc:Choice>
        </mc:AlternateContent>
        <mc:AlternateContent xmlns:mc="http://schemas.openxmlformats.org/markup-compatibility/2006">
          <mc:Choice Requires="x14">
            <control shapeId="12896" r:id="rId2086" name="Button 1632">
              <controlPr defaultSize="0" autoFill="0" autoLine="0" autoPict="0" macro="[0]!Sheet1.deleteRow">
                <anchor moveWithCells="1" sizeWithCells="1">
                  <from>
                    <xdr:col>6</xdr:col>
                    <xdr:colOff>0</xdr:colOff>
                    <xdr:row>3678</xdr:row>
                    <xdr:rowOff>0</xdr:rowOff>
                  </from>
                  <to>
                    <xdr:col>7</xdr:col>
                    <xdr:colOff>0</xdr:colOff>
                    <xdr:row>3678</xdr:row>
                    <xdr:rowOff>161925</xdr:rowOff>
                  </to>
                </anchor>
              </controlPr>
            </control>
          </mc:Choice>
        </mc:AlternateContent>
        <mc:AlternateContent xmlns:mc="http://schemas.openxmlformats.org/markup-compatibility/2006">
          <mc:Choice Requires="x14">
            <control shapeId="12895" r:id="rId2087" name="Button 1631">
              <controlPr defaultSize="0" autoFill="0" autoLine="0" autoPict="0" macro="[0]!Sheet1.deleteRow">
                <anchor moveWithCells="1" sizeWithCells="1">
                  <from>
                    <xdr:col>6</xdr:col>
                    <xdr:colOff>0</xdr:colOff>
                    <xdr:row>3679</xdr:row>
                    <xdr:rowOff>0</xdr:rowOff>
                  </from>
                  <to>
                    <xdr:col>7</xdr:col>
                    <xdr:colOff>0</xdr:colOff>
                    <xdr:row>3679</xdr:row>
                    <xdr:rowOff>161925</xdr:rowOff>
                  </to>
                </anchor>
              </controlPr>
            </control>
          </mc:Choice>
        </mc:AlternateContent>
        <mc:AlternateContent xmlns:mc="http://schemas.openxmlformats.org/markup-compatibility/2006">
          <mc:Choice Requires="x14">
            <control shapeId="12894" r:id="rId2088" name="Button 1630">
              <controlPr defaultSize="0" autoFill="0" autoLine="0" autoPict="0" macro="[0]!Sheet1.deleteRow">
                <anchor moveWithCells="1" sizeWithCells="1">
                  <from>
                    <xdr:col>6</xdr:col>
                    <xdr:colOff>0</xdr:colOff>
                    <xdr:row>3680</xdr:row>
                    <xdr:rowOff>0</xdr:rowOff>
                  </from>
                  <to>
                    <xdr:col>7</xdr:col>
                    <xdr:colOff>0</xdr:colOff>
                    <xdr:row>3680</xdr:row>
                    <xdr:rowOff>161925</xdr:rowOff>
                  </to>
                </anchor>
              </controlPr>
            </control>
          </mc:Choice>
        </mc:AlternateContent>
        <mc:AlternateContent xmlns:mc="http://schemas.openxmlformats.org/markup-compatibility/2006">
          <mc:Choice Requires="x14">
            <control shapeId="12893" r:id="rId2089" name="Button 1629">
              <controlPr defaultSize="0" autoFill="0" autoLine="0" autoPict="0" macro="[0]!Sheet1.deleteProcedure">
                <anchor moveWithCells="1" sizeWithCells="1">
                  <from>
                    <xdr:col>6</xdr:col>
                    <xdr:colOff>0</xdr:colOff>
                    <xdr:row>3683</xdr:row>
                    <xdr:rowOff>0</xdr:rowOff>
                  </from>
                  <to>
                    <xdr:col>7</xdr:col>
                    <xdr:colOff>0</xdr:colOff>
                    <xdr:row>3684</xdr:row>
                    <xdr:rowOff>0</xdr:rowOff>
                  </to>
                </anchor>
              </controlPr>
            </control>
          </mc:Choice>
        </mc:AlternateContent>
        <mc:AlternateContent xmlns:mc="http://schemas.openxmlformats.org/markup-compatibility/2006">
          <mc:Choice Requires="x14">
            <control shapeId="12892" r:id="rId2090" name="Button 1628">
              <controlPr defaultSize="0" autoFill="0" autoLine="0" autoPict="0" macro="[0]!Sheet1.InsertNewTableRow">
                <anchor moveWithCells="1" sizeWithCells="1">
                  <from>
                    <xdr:col>6</xdr:col>
                    <xdr:colOff>0</xdr:colOff>
                    <xdr:row>3690</xdr:row>
                    <xdr:rowOff>0</xdr:rowOff>
                  </from>
                  <to>
                    <xdr:col>7</xdr:col>
                    <xdr:colOff>0</xdr:colOff>
                    <xdr:row>3690</xdr:row>
                    <xdr:rowOff>38100</xdr:rowOff>
                  </to>
                </anchor>
              </controlPr>
            </control>
          </mc:Choice>
        </mc:AlternateContent>
        <mc:AlternateContent xmlns:mc="http://schemas.openxmlformats.org/markup-compatibility/2006">
          <mc:Choice Requires="x14">
            <control shapeId="12891" r:id="rId2091" name="Button 1627">
              <controlPr defaultSize="0" autoFill="0" autoLine="0" autoPict="0" macro="[0]!Sheet1.deleteRow">
                <anchor moveWithCells="1" sizeWithCells="1">
                  <from>
                    <xdr:col>6</xdr:col>
                    <xdr:colOff>0</xdr:colOff>
                    <xdr:row>3691</xdr:row>
                    <xdr:rowOff>0</xdr:rowOff>
                  </from>
                  <to>
                    <xdr:col>7</xdr:col>
                    <xdr:colOff>0</xdr:colOff>
                    <xdr:row>3691</xdr:row>
                    <xdr:rowOff>161925</xdr:rowOff>
                  </to>
                </anchor>
              </controlPr>
            </control>
          </mc:Choice>
        </mc:AlternateContent>
        <mc:AlternateContent xmlns:mc="http://schemas.openxmlformats.org/markup-compatibility/2006">
          <mc:Choice Requires="x14">
            <control shapeId="12890" r:id="rId2092" name="Button 1626">
              <controlPr defaultSize="0" autoFill="0" autoLine="0" autoPict="0" macro="[0]!Sheet1.deleteRow">
                <anchor moveWithCells="1" sizeWithCells="1">
                  <from>
                    <xdr:col>6</xdr:col>
                    <xdr:colOff>0</xdr:colOff>
                    <xdr:row>3692</xdr:row>
                    <xdr:rowOff>0</xdr:rowOff>
                  </from>
                  <to>
                    <xdr:col>7</xdr:col>
                    <xdr:colOff>0</xdr:colOff>
                    <xdr:row>3692</xdr:row>
                    <xdr:rowOff>161925</xdr:rowOff>
                  </to>
                </anchor>
              </controlPr>
            </control>
          </mc:Choice>
        </mc:AlternateContent>
        <mc:AlternateContent xmlns:mc="http://schemas.openxmlformats.org/markup-compatibility/2006">
          <mc:Choice Requires="x14">
            <control shapeId="12889" r:id="rId2093" name="Button 1625">
              <controlPr defaultSize="0" autoFill="0" autoLine="0" autoPict="0" macro="[0]!Sheet1.deleteProcedure">
                <anchor moveWithCells="1" sizeWithCells="1">
                  <from>
                    <xdr:col>6</xdr:col>
                    <xdr:colOff>0</xdr:colOff>
                    <xdr:row>3695</xdr:row>
                    <xdr:rowOff>0</xdr:rowOff>
                  </from>
                  <to>
                    <xdr:col>7</xdr:col>
                    <xdr:colOff>0</xdr:colOff>
                    <xdr:row>3696</xdr:row>
                    <xdr:rowOff>0</xdr:rowOff>
                  </to>
                </anchor>
              </controlPr>
            </control>
          </mc:Choice>
        </mc:AlternateContent>
        <mc:AlternateContent xmlns:mc="http://schemas.openxmlformats.org/markup-compatibility/2006">
          <mc:Choice Requires="x14">
            <control shapeId="12888" r:id="rId2094" name="Button 1624">
              <controlPr defaultSize="0" autoFill="0" autoLine="0" autoPict="0" macro="[0]!Sheet1.InsertNewTableRow">
                <anchor moveWithCells="1" sizeWithCells="1">
                  <from>
                    <xdr:col>6</xdr:col>
                    <xdr:colOff>0</xdr:colOff>
                    <xdr:row>3702</xdr:row>
                    <xdr:rowOff>0</xdr:rowOff>
                  </from>
                  <to>
                    <xdr:col>7</xdr:col>
                    <xdr:colOff>0</xdr:colOff>
                    <xdr:row>3702</xdr:row>
                    <xdr:rowOff>38100</xdr:rowOff>
                  </to>
                </anchor>
              </controlPr>
            </control>
          </mc:Choice>
        </mc:AlternateContent>
        <mc:AlternateContent xmlns:mc="http://schemas.openxmlformats.org/markup-compatibility/2006">
          <mc:Choice Requires="x14">
            <control shapeId="12887" r:id="rId2095" name="Button 1623">
              <controlPr defaultSize="0" autoFill="0" autoLine="0" autoPict="0" macro="[0]!Sheet1.deleteRow">
                <anchor moveWithCells="1" sizeWithCells="1">
                  <from>
                    <xdr:col>6</xdr:col>
                    <xdr:colOff>0</xdr:colOff>
                    <xdr:row>3703</xdr:row>
                    <xdr:rowOff>0</xdr:rowOff>
                  </from>
                  <to>
                    <xdr:col>7</xdr:col>
                    <xdr:colOff>0</xdr:colOff>
                    <xdr:row>3703</xdr:row>
                    <xdr:rowOff>161925</xdr:rowOff>
                  </to>
                </anchor>
              </controlPr>
            </control>
          </mc:Choice>
        </mc:AlternateContent>
        <mc:AlternateContent xmlns:mc="http://schemas.openxmlformats.org/markup-compatibility/2006">
          <mc:Choice Requires="x14">
            <control shapeId="12886" r:id="rId2096" name="Button 1622">
              <controlPr defaultSize="0" autoFill="0" autoLine="0" autoPict="0" macro="[0]!Sheet1.deleteRow">
                <anchor moveWithCells="1" sizeWithCells="1">
                  <from>
                    <xdr:col>6</xdr:col>
                    <xdr:colOff>0</xdr:colOff>
                    <xdr:row>3704</xdr:row>
                    <xdr:rowOff>0</xdr:rowOff>
                  </from>
                  <to>
                    <xdr:col>7</xdr:col>
                    <xdr:colOff>0</xdr:colOff>
                    <xdr:row>3704</xdr:row>
                    <xdr:rowOff>161925</xdr:rowOff>
                  </to>
                </anchor>
              </controlPr>
            </control>
          </mc:Choice>
        </mc:AlternateContent>
        <mc:AlternateContent xmlns:mc="http://schemas.openxmlformats.org/markup-compatibility/2006">
          <mc:Choice Requires="x14">
            <control shapeId="12885" r:id="rId2097" name="Button 1621">
              <controlPr defaultSize="0" autoFill="0" autoLine="0" autoPict="0" macro="[0]!Sheet1.deleteRow">
                <anchor moveWithCells="1" sizeWithCells="1">
                  <from>
                    <xdr:col>6</xdr:col>
                    <xdr:colOff>0</xdr:colOff>
                    <xdr:row>3705</xdr:row>
                    <xdr:rowOff>0</xdr:rowOff>
                  </from>
                  <to>
                    <xdr:col>7</xdr:col>
                    <xdr:colOff>0</xdr:colOff>
                    <xdr:row>3705</xdr:row>
                    <xdr:rowOff>161925</xdr:rowOff>
                  </to>
                </anchor>
              </controlPr>
            </control>
          </mc:Choice>
        </mc:AlternateContent>
        <mc:AlternateContent xmlns:mc="http://schemas.openxmlformats.org/markup-compatibility/2006">
          <mc:Choice Requires="x14">
            <control shapeId="12884" r:id="rId2098" name="Button 1620">
              <controlPr defaultSize="0" autoFill="0" autoLine="0" autoPict="0" macro="[0]!Sheet1.deleteRow">
                <anchor moveWithCells="1" sizeWithCells="1">
                  <from>
                    <xdr:col>6</xdr:col>
                    <xdr:colOff>0</xdr:colOff>
                    <xdr:row>3706</xdr:row>
                    <xdr:rowOff>0</xdr:rowOff>
                  </from>
                  <to>
                    <xdr:col>7</xdr:col>
                    <xdr:colOff>0</xdr:colOff>
                    <xdr:row>3706</xdr:row>
                    <xdr:rowOff>161925</xdr:rowOff>
                  </to>
                </anchor>
              </controlPr>
            </control>
          </mc:Choice>
        </mc:AlternateContent>
        <mc:AlternateContent xmlns:mc="http://schemas.openxmlformats.org/markup-compatibility/2006">
          <mc:Choice Requires="x14">
            <control shapeId="12883" r:id="rId2099" name="Button 1619">
              <controlPr defaultSize="0" autoFill="0" autoLine="0" autoPict="0" macro="[0]!Sheet1.deleteProcedure">
                <anchor moveWithCells="1" sizeWithCells="1">
                  <from>
                    <xdr:col>6</xdr:col>
                    <xdr:colOff>0</xdr:colOff>
                    <xdr:row>3709</xdr:row>
                    <xdr:rowOff>0</xdr:rowOff>
                  </from>
                  <to>
                    <xdr:col>7</xdr:col>
                    <xdr:colOff>0</xdr:colOff>
                    <xdr:row>3710</xdr:row>
                    <xdr:rowOff>0</xdr:rowOff>
                  </to>
                </anchor>
              </controlPr>
            </control>
          </mc:Choice>
        </mc:AlternateContent>
        <mc:AlternateContent xmlns:mc="http://schemas.openxmlformats.org/markup-compatibility/2006">
          <mc:Choice Requires="x14">
            <control shapeId="12882" r:id="rId2100" name="Button 1618">
              <controlPr defaultSize="0" autoFill="0" autoLine="0" autoPict="0" macro="[0]!Sheet1.InsertNewTableRow">
                <anchor moveWithCells="1" sizeWithCells="1">
                  <from>
                    <xdr:col>6</xdr:col>
                    <xdr:colOff>0</xdr:colOff>
                    <xdr:row>3716</xdr:row>
                    <xdr:rowOff>0</xdr:rowOff>
                  </from>
                  <to>
                    <xdr:col>7</xdr:col>
                    <xdr:colOff>0</xdr:colOff>
                    <xdr:row>3716</xdr:row>
                    <xdr:rowOff>38100</xdr:rowOff>
                  </to>
                </anchor>
              </controlPr>
            </control>
          </mc:Choice>
        </mc:AlternateContent>
        <mc:AlternateContent xmlns:mc="http://schemas.openxmlformats.org/markup-compatibility/2006">
          <mc:Choice Requires="x14">
            <control shapeId="12881" r:id="rId2101" name="Button 1617">
              <controlPr defaultSize="0" autoFill="0" autoLine="0" autoPict="0" macro="[0]!Sheet1.deleteRow">
                <anchor moveWithCells="1" sizeWithCells="1">
                  <from>
                    <xdr:col>6</xdr:col>
                    <xdr:colOff>0</xdr:colOff>
                    <xdr:row>3717</xdr:row>
                    <xdr:rowOff>0</xdr:rowOff>
                  </from>
                  <to>
                    <xdr:col>7</xdr:col>
                    <xdr:colOff>0</xdr:colOff>
                    <xdr:row>3717</xdr:row>
                    <xdr:rowOff>161925</xdr:rowOff>
                  </to>
                </anchor>
              </controlPr>
            </control>
          </mc:Choice>
        </mc:AlternateContent>
        <mc:AlternateContent xmlns:mc="http://schemas.openxmlformats.org/markup-compatibility/2006">
          <mc:Choice Requires="x14">
            <control shapeId="12880" r:id="rId2102" name="Button 1616">
              <controlPr defaultSize="0" autoFill="0" autoLine="0" autoPict="0" macro="[0]!Sheet1.deleteRow">
                <anchor moveWithCells="1" sizeWithCells="1">
                  <from>
                    <xdr:col>6</xdr:col>
                    <xdr:colOff>0</xdr:colOff>
                    <xdr:row>3718</xdr:row>
                    <xdr:rowOff>0</xdr:rowOff>
                  </from>
                  <to>
                    <xdr:col>7</xdr:col>
                    <xdr:colOff>0</xdr:colOff>
                    <xdr:row>3718</xdr:row>
                    <xdr:rowOff>161925</xdr:rowOff>
                  </to>
                </anchor>
              </controlPr>
            </control>
          </mc:Choice>
        </mc:AlternateContent>
        <mc:AlternateContent xmlns:mc="http://schemas.openxmlformats.org/markup-compatibility/2006">
          <mc:Choice Requires="x14">
            <control shapeId="12879" r:id="rId2103" name="Button 1615">
              <controlPr defaultSize="0" autoFill="0" autoLine="0" autoPict="0" macro="[0]!Sheet1.deleteRow">
                <anchor moveWithCells="1" sizeWithCells="1">
                  <from>
                    <xdr:col>6</xdr:col>
                    <xdr:colOff>0</xdr:colOff>
                    <xdr:row>3719</xdr:row>
                    <xdr:rowOff>0</xdr:rowOff>
                  </from>
                  <to>
                    <xdr:col>7</xdr:col>
                    <xdr:colOff>0</xdr:colOff>
                    <xdr:row>3719</xdr:row>
                    <xdr:rowOff>161925</xdr:rowOff>
                  </to>
                </anchor>
              </controlPr>
            </control>
          </mc:Choice>
        </mc:AlternateContent>
        <mc:AlternateContent xmlns:mc="http://schemas.openxmlformats.org/markup-compatibility/2006">
          <mc:Choice Requires="x14">
            <control shapeId="12878" r:id="rId2104" name="Button 1614">
              <controlPr defaultSize="0" autoFill="0" autoLine="0" autoPict="0" macro="[0]!Sheet1.deleteRow">
                <anchor moveWithCells="1" sizeWithCells="1">
                  <from>
                    <xdr:col>6</xdr:col>
                    <xdr:colOff>0</xdr:colOff>
                    <xdr:row>3720</xdr:row>
                    <xdr:rowOff>0</xdr:rowOff>
                  </from>
                  <to>
                    <xdr:col>7</xdr:col>
                    <xdr:colOff>0</xdr:colOff>
                    <xdr:row>3720</xdr:row>
                    <xdr:rowOff>161925</xdr:rowOff>
                  </to>
                </anchor>
              </controlPr>
            </control>
          </mc:Choice>
        </mc:AlternateContent>
        <mc:AlternateContent xmlns:mc="http://schemas.openxmlformats.org/markup-compatibility/2006">
          <mc:Choice Requires="x14">
            <control shapeId="12877" r:id="rId2105" name="Button 1613">
              <controlPr defaultSize="0" autoFill="0" autoLine="0" autoPict="0" macro="[0]!Sheet1.deleteRow">
                <anchor moveWithCells="1" sizeWithCells="1">
                  <from>
                    <xdr:col>6</xdr:col>
                    <xdr:colOff>0</xdr:colOff>
                    <xdr:row>3721</xdr:row>
                    <xdr:rowOff>0</xdr:rowOff>
                  </from>
                  <to>
                    <xdr:col>7</xdr:col>
                    <xdr:colOff>0</xdr:colOff>
                    <xdr:row>3721</xdr:row>
                    <xdr:rowOff>161925</xdr:rowOff>
                  </to>
                </anchor>
              </controlPr>
            </control>
          </mc:Choice>
        </mc:AlternateContent>
        <mc:AlternateContent xmlns:mc="http://schemas.openxmlformats.org/markup-compatibility/2006">
          <mc:Choice Requires="x14">
            <control shapeId="12876" r:id="rId2106" name="Button 1612">
              <controlPr defaultSize="0" autoFill="0" autoLine="0" autoPict="0" macro="[0]!Sheet1.deleteRow">
                <anchor moveWithCells="1" sizeWithCells="1">
                  <from>
                    <xdr:col>6</xdr:col>
                    <xdr:colOff>0</xdr:colOff>
                    <xdr:row>3722</xdr:row>
                    <xdr:rowOff>0</xdr:rowOff>
                  </from>
                  <to>
                    <xdr:col>7</xdr:col>
                    <xdr:colOff>0</xdr:colOff>
                    <xdr:row>3722</xdr:row>
                    <xdr:rowOff>161925</xdr:rowOff>
                  </to>
                </anchor>
              </controlPr>
            </control>
          </mc:Choice>
        </mc:AlternateContent>
        <mc:AlternateContent xmlns:mc="http://schemas.openxmlformats.org/markup-compatibility/2006">
          <mc:Choice Requires="x14">
            <control shapeId="12875" r:id="rId2107" name="Button 1611">
              <controlPr defaultSize="0" autoFill="0" autoLine="0" autoPict="0" macro="[0]!Sheet1.deleteRow">
                <anchor moveWithCells="1" sizeWithCells="1">
                  <from>
                    <xdr:col>6</xdr:col>
                    <xdr:colOff>0</xdr:colOff>
                    <xdr:row>3723</xdr:row>
                    <xdr:rowOff>0</xdr:rowOff>
                  </from>
                  <to>
                    <xdr:col>7</xdr:col>
                    <xdr:colOff>0</xdr:colOff>
                    <xdr:row>3723</xdr:row>
                    <xdr:rowOff>161925</xdr:rowOff>
                  </to>
                </anchor>
              </controlPr>
            </control>
          </mc:Choice>
        </mc:AlternateContent>
        <mc:AlternateContent xmlns:mc="http://schemas.openxmlformats.org/markup-compatibility/2006">
          <mc:Choice Requires="x14">
            <control shapeId="12874" r:id="rId2108" name="Button 1610">
              <controlPr defaultSize="0" autoFill="0" autoLine="0" autoPict="0" macro="[0]!Sheet1.deleteRow">
                <anchor moveWithCells="1" sizeWithCells="1">
                  <from>
                    <xdr:col>6</xdr:col>
                    <xdr:colOff>0</xdr:colOff>
                    <xdr:row>3724</xdr:row>
                    <xdr:rowOff>0</xdr:rowOff>
                  </from>
                  <to>
                    <xdr:col>7</xdr:col>
                    <xdr:colOff>0</xdr:colOff>
                    <xdr:row>3724</xdr:row>
                    <xdr:rowOff>161925</xdr:rowOff>
                  </to>
                </anchor>
              </controlPr>
            </control>
          </mc:Choice>
        </mc:AlternateContent>
        <mc:AlternateContent xmlns:mc="http://schemas.openxmlformats.org/markup-compatibility/2006">
          <mc:Choice Requires="x14">
            <control shapeId="12873" r:id="rId2109" name="Button 1609">
              <controlPr defaultSize="0" autoFill="0" autoLine="0" autoPict="0" macro="[0]!Sheet1.deleteRow">
                <anchor moveWithCells="1" sizeWithCells="1">
                  <from>
                    <xdr:col>6</xdr:col>
                    <xdr:colOff>0</xdr:colOff>
                    <xdr:row>3725</xdr:row>
                    <xdr:rowOff>0</xdr:rowOff>
                  </from>
                  <to>
                    <xdr:col>7</xdr:col>
                    <xdr:colOff>0</xdr:colOff>
                    <xdr:row>3725</xdr:row>
                    <xdr:rowOff>161925</xdr:rowOff>
                  </to>
                </anchor>
              </controlPr>
            </control>
          </mc:Choice>
        </mc:AlternateContent>
        <mc:AlternateContent xmlns:mc="http://schemas.openxmlformats.org/markup-compatibility/2006">
          <mc:Choice Requires="x14">
            <control shapeId="12872" r:id="rId2110" name="Button 1608">
              <controlPr defaultSize="0" autoFill="0" autoLine="0" autoPict="0" macro="[0]!Sheet1.deleteRow">
                <anchor moveWithCells="1" sizeWithCells="1">
                  <from>
                    <xdr:col>6</xdr:col>
                    <xdr:colOff>0</xdr:colOff>
                    <xdr:row>3726</xdr:row>
                    <xdr:rowOff>0</xdr:rowOff>
                  </from>
                  <to>
                    <xdr:col>7</xdr:col>
                    <xdr:colOff>0</xdr:colOff>
                    <xdr:row>3726</xdr:row>
                    <xdr:rowOff>161925</xdr:rowOff>
                  </to>
                </anchor>
              </controlPr>
            </control>
          </mc:Choice>
        </mc:AlternateContent>
        <mc:AlternateContent xmlns:mc="http://schemas.openxmlformats.org/markup-compatibility/2006">
          <mc:Choice Requires="x14">
            <control shapeId="12871" r:id="rId2111" name="Button 1607">
              <controlPr defaultSize="0" autoFill="0" autoLine="0" autoPict="0" macro="[0]!Sheet1.deleteRow">
                <anchor moveWithCells="1" sizeWithCells="1">
                  <from>
                    <xdr:col>6</xdr:col>
                    <xdr:colOff>0</xdr:colOff>
                    <xdr:row>3727</xdr:row>
                    <xdr:rowOff>0</xdr:rowOff>
                  </from>
                  <to>
                    <xdr:col>7</xdr:col>
                    <xdr:colOff>0</xdr:colOff>
                    <xdr:row>3727</xdr:row>
                    <xdr:rowOff>161925</xdr:rowOff>
                  </to>
                </anchor>
              </controlPr>
            </control>
          </mc:Choice>
        </mc:AlternateContent>
        <mc:AlternateContent xmlns:mc="http://schemas.openxmlformats.org/markup-compatibility/2006">
          <mc:Choice Requires="x14">
            <control shapeId="12870" r:id="rId2112" name="Button 1606">
              <controlPr defaultSize="0" autoFill="0" autoLine="0" autoPict="0" macro="[0]!Sheet1.deleteRow">
                <anchor moveWithCells="1" sizeWithCells="1">
                  <from>
                    <xdr:col>6</xdr:col>
                    <xdr:colOff>0</xdr:colOff>
                    <xdr:row>3728</xdr:row>
                    <xdr:rowOff>0</xdr:rowOff>
                  </from>
                  <to>
                    <xdr:col>7</xdr:col>
                    <xdr:colOff>0</xdr:colOff>
                    <xdr:row>3728</xdr:row>
                    <xdr:rowOff>161925</xdr:rowOff>
                  </to>
                </anchor>
              </controlPr>
            </control>
          </mc:Choice>
        </mc:AlternateContent>
        <mc:AlternateContent xmlns:mc="http://schemas.openxmlformats.org/markup-compatibility/2006">
          <mc:Choice Requires="x14">
            <control shapeId="12869" r:id="rId2113" name="Button 1605">
              <controlPr defaultSize="0" autoFill="0" autoLine="0" autoPict="0" macro="[0]!Sheet1.deleteRow">
                <anchor moveWithCells="1" sizeWithCells="1">
                  <from>
                    <xdr:col>6</xdr:col>
                    <xdr:colOff>0</xdr:colOff>
                    <xdr:row>3729</xdr:row>
                    <xdr:rowOff>0</xdr:rowOff>
                  </from>
                  <to>
                    <xdr:col>7</xdr:col>
                    <xdr:colOff>0</xdr:colOff>
                    <xdr:row>3729</xdr:row>
                    <xdr:rowOff>161925</xdr:rowOff>
                  </to>
                </anchor>
              </controlPr>
            </control>
          </mc:Choice>
        </mc:AlternateContent>
        <mc:AlternateContent xmlns:mc="http://schemas.openxmlformats.org/markup-compatibility/2006">
          <mc:Choice Requires="x14">
            <control shapeId="12868" r:id="rId2114" name="Button 1604">
              <controlPr defaultSize="0" autoFill="0" autoLine="0" autoPict="0" macro="[0]!Sheet1.deleteRow">
                <anchor moveWithCells="1" sizeWithCells="1">
                  <from>
                    <xdr:col>6</xdr:col>
                    <xdr:colOff>0</xdr:colOff>
                    <xdr:row>3730</xdr:row>
                    <xdr:rowOff>0</xdr:rowOff>
                  </from>
                  <to>
                    <xdr:col>7</xdr:col>
                    <xdr:colOff>0</xdr:colOff>
                    <xdr:row>3730</xdr:row>
                    <xdr:rowOff>161925</xdr:rowOff>
                  </to>
                </anchor>
              </controlPr>
            </control>
          </mc:Choice>
        </mc:AlternateContent>
        <mc:AlternateContent xmlns:mc="http://schemas.openxmlformats.org/markup-compatibility/2006">
          <mc:Choice Requires="x14">
            <control shapeId="12867" r:id="rId2115" name="Button 1603">
              <controlPr defaultSize="0" autoFill="0" autoLine="0" autoPict="0" macro="[0]!Sheet1.deleteRow">
                <anchor moveWithCells="1" sizeWithCells="1">
                  <from>
                    <xdr:col>6</xdr:col>
                    <xdr:colOff>0</xdr:colOff>
                    <xdr:row>3731</xdr:row>
                    <xdr:rowOff>0</xdr:rowOff>
                  </from>
                  <to>
                    <xdr:col>7</xdr:col>
                    <xdr:colOff>0</xdr:colOff>
                    <xdr:row>3731</xdr:row>
                    <xdr:rowOff>161925</xdr:rowOff>
                  </to>
                </anchor>
              </controlPr>
            </control>
          </mc:Choice>
        </mc:AlternateContent>
        <mc:AlternateContent xmlns:mc="http://schemas.openxmlformats.org/markup-compatibility/2006">
          <mc:Choice Requires="x14">
            <control shapeId="12866" r:id="rId2116" name="Button 1602">
              <controlPr defaultSize="0" autoFill="0" autoLine="0" autoPict="0" macro="[0]!Sheet1.deleteRow">
                <anchor moveWithCells="1" sizeWithCells="1">
                  <from>
                    <xdr:col>6</xdr:col>
                    <xdr:colOff>0</xdr:colOff>
                    <xdr:row>3732</xdr:row>
                    <xdr:rowOff>0</xdr:rowOff>
                  </from>
                  <to>
                    <xdr:col>7</xdr:col>
                    <xdr:colOff>0</xdr:colOff>
                    <xdr:row>3732</xdr:row>
                    <xdr:rowOff>161925</xdr:rowOff>
                  </to>
                </anchor>
              </controlPr>
            </control>
          </mc:Choice>
        </mc:AlternateContent>
        <mc:AlternateContent xmlns:mc="http://schemas.openxmlformats.org/markup-compatibility/2006">
          <mc:Choice Requires="x14">
            <control shapeId="12865" r:id="rId2117" name="Button 1601">
              <controlPr defaultSize="0" autoFill="0" autoLine="0" autoPict="0" macro="[0]!Sheet1.deleteRow">
                <anchor moveWithCells="1" sizeWithCells="1">
                  <from>
                    <xdr:col>6</xdr:col>
                    <xdr:colOff>0</xdr:colOff>
                    <xdr:row>3733</xdr:row>
                    <xdr:rowOff>0</xdr:rowOff>
                  </from>
                  <to>
                    <xdr:col>7</xdr:col>
                    <xdr:colOff>0</xdr:colOff>
                    <xdr:row>3733</xdr:row>
                    <xdr:rowOff>161925</xdr:rowOff>
                  </to>
                </anchor>
              </controlPr>
            </control>
          </mc:Choice>
        </mc:AlternateContent>
        <mc:AlternateContent xmlns:mc="http://schemas.openxmlformats.org/markup-compatibility/2006">
          <mc:Choice Requires="x14">
            <control shapeId="12864" r:id="rId2118" name="Button 1600">
              <controlPr defaultSize="0" autoFill="0" autoLine="0" autoPict="0" macro="[0]!Sheet1.deleteRow">
                <anchor moveWithCells="1" sizeWithCells="1">
                  <from>
                    <xdr:col>6</xdr:col>
                    <xdr:colOff>0</xdr:colOff>
                    <xdr:row>3734</xdr:row>
                    <xdr:rowOff>0</xdr:rowOff>
                  </from>
                  <to>
                    <xdr:col>7</xdr:col>
                    <xdr:colOff>0</xdr:colOff>
                    <xdr:row>3734</xdr:row>
                    <xdr:rowOff>161925</xdr:rowOff>
                  </to>
                </anchor>
              </controlPr>
            </control>
          </mc:Choice>
        </mc:AlternateContent>
        <mc:AlternateContent xmlns:mc="http://schemas.openxmlformats.org/markup-compatibility/2006">
          <mc:Choice Requires="x14">
            <control shapeId="12863" r:id="rId2119" name="Button 1599">
              <controlPr defaultSize="0" autoFill="0" autoLine="0" autoPict="0" macro="[0]!Sheet1.deleteRow">
                <anchor moveWithCells="1" sizeWithCells="1">
                  <from>
                    <xdr:col>6</xdr:col>
                    <xdr:colOff>0</xdr:colOff>
                    <xdr:row>3735</xdr:row>
                    <xdr:rowOff>0</xdr:rowOff>
                  </from>
                  <to>
                    <xdr:col>7</xdr:col>
                    <xdr:colOff>0</xdr:colOff>
                    <xdr:row>3735</xdr:row>
                    <xdr:rowOff>161925</xdr:rowOff>
                  </to>
                </anchor>
              </controlPr>
            </control>
          </mc:Choice>
        </mc:AlternateContent>
        <mc:AlternateContent xmlns:mc="http://schemas.openxmlformats.org/markup-compatibility/2006">
          <mc:Choice Requires="x14">
            <control shapeId="12862" r:id="rId2120" name="Button 1598">
              <controlPr defaultSize="0" autoFill="0" autoLine="0" autoPict="0" macro="[0]!Sheet1.deleteRow">
                <anchor moveWithCells="1" sizeWithCells="1">
                  <from>
                    <xdr:col>6</xdr:col>
                    <xdr:colOff>0</xdr:colOff>
                    <xdr:row>3736</xdr:row>
                    <xdr:rowOff>0</xdr:rowOff>
                  </from>
                  <to>
                    <xdr:col>7</xdr:col>
                    <xdr:colOff>0</xdr:colOff>
                    <xdr:row>3736</xdr:row>
                    <xdr:rowOff>161925</xdr:rowOff>
                  </to>
                </anchor>
              </controlPr>
            </control>
          </mc:Choice>
        </mc:AlternateContent>
        <mc:AlternateContent xmlns:mc="http://schemas.openxmlformats.org/markup-compatibility/2006">
          <mc:Choice Requires="x14">
            <control shapeId="12861" r:id="rId2121" name="Button 1597">
              <controlPr defaultSize="0" autoFill="0" autoLine="0" autoPict="0" macro="[0]!Sheet1.deleteRow">
                <anchor moveWithCells="1" sizeWithCells="1">
                  <from>
                    <xdr:col>6</xdr:col>
                    <xdr:colOff>0</xdr:colOff>
                    <xdr:row>3737</xdr:row>
                    <xdr:rowOff>0</xdr:rowOff>
                  </from>
                  <to>
                    <xdr:col>7</xdr:col>
                    <xdr:colOff>0</xdr:colOff>
                    <xdr:row>3737</xdr:row>
                    <xdr:rowOff>161925</xdr:rowOff>
                  </to>
                </anchor>
              </controlPr>
            </control>
          </mc:Choice>
        </mc:AlternateContent>
        <mc:AlternateContent xmlns:mc="http://schemas.openxmlformats.org/markup-compatibility/2006">
          <mc:Choice Requires="x14">
            <control shapeId="12860" r:id="rId2122" name="Button 1596">
              <controlPr defaultSize="0" autoFill="0" autoLine="0" autoPict="0" macro="[0]!Sheet1.deleteRow">
                <anchor moveWithCells="1" sizeWithCells="1">
                  <from>
                    <xdr:col>6</xdr:col>
                    <xdr:colOff>0</xdr:colOff>
                    <xdr:row>3738</xdr:row>
                    <xdr:rowOff>0</xdr:rowOff>
                  </from>
                  <to>
                    <xdr:col>7</xdr:col>
                    <xdr:colOff>0</xdr:colOff>
                    <xdr:row>3738</xdr:row>
                    <xdr:rowOff>161925</xdr:rowOff>
                  </to>
                </anchor>
              </controlPr>
            </control>
          </mc:Choice>
        </mc:AlternateContent>
        <mc:AlternateContent xmlns:mc="http://schemas.openxmlformats.org/markup-compatibility/2006">
          <mc:Choice Requires="x14">
            <control shapeId="12859" r:id="rId2123" name="Button 1595">
              <controlPr defaultSize="0" autoFill="0" autoLine="0" autoPict="0" macro="[0]!Sheet1.deleteRow">
                <anchor moveWithCells="1" sizeWithCells="1">
                  <from>
                    <xdr:col>6</xdr:col>
                    <xdr:colOff>0</xdr:colOff>
                    <xdr:row>3739</xdr:row>
                    <xdr:rowOff>0</xdr:rowOff>
                  </from>
                  <to>
                    <xdr:col>7</xdr:col>
                    <xdr:colOff>0</xdr:colOff>
                    <xdr:row>3739</xdr:row>
                    <xdr:rowOff>161925</xdr:rowOff>
                  </to>
                </anchor>
              </controlPr>
            </control>
          </mc:Choice>
        </mc:AlternateContent>
        <mc:AlternateContent xmlns:mc="http://schemas.openxmlformats.org/markup-compatibility/2006">
          <mc:Choice Requires="x14">
            <control shapeId="12858" r:id="rId2124" name="Button 1594">
              <controlPr defaultSize="0" autoFill="0" autoLine="0" autoPict="0" macro="[0]!Sheet1.deleteRow">
                <anchor moveWithCells="1" sizeWithCells="1">
                  <from>
                    <xdr:col>6</xdr:col>
                    <xdr:colOff>0</xdr:colOff>
                    <xdr:row>3740</xdr:row>
                    <xdr:rowOff>0</xdr:rowOff>
                  </from>
                  <to>
                    <xdr:col>7</xdr:col>
                    <xdr:colOff>0</xdr:colOff>
                    <xdr:row>3740</xdr:row>
                    <xdr:rowOff>161925</xdr:rowOff>
                  </to>
                </anchor>
              </controlPr>
            </control>
          </mc:Choice>
        </mc:AlternateContent>
        <mc:AlternateContent xmlns:mc="http://schemas.openxmlformats.org/markup-compatibility/2006">
          <mc:Choice Requires="x14">
            <control shapeId="12857" r:id="rId2125" name="Button 1593">
              <controlPr defaultSize="0" autoFill="0" autoLine="0" autoPict="0" macro="[0]!Sheet1.deleteRow">
                <anchor moveWithCells="1" sizeWithCells="1">
                  <from>
                    <xdr:col>6</xdr:col>
                    <xdr:colOff>0</xdr:colOff>
                    <xdr:row>3741</xdr:row>
                    <xdr:rowOff>0</xdr:rowOff>
                  </from>
                  <to>
                    <xdr:col>7</xdr:col>
                    <xdr:colOff>0</xdr:colOff>
                    <xdr:row>3741</xdr:row>
                    <xdr:rowOff>161925</xdr:rowOff>
                  </to>
                </anchor>
              </controlPr>
            </control>
          </mc:Choice>
        </mc:AlternateContent>
        <mc:AlternateContent xmlns:mc="http://schemas.openxmlformats.org/markup-compatibility/2006">
          <mc:Choice Requires="x14">
            <control shapeId="12856" r:id="rId2126" name="Button 1592">
              <controlPr defaultSize="0" autoFill="0" autoLine="0" autoPict="0" macro="[0]!Sheet1.deleteRow">
                <anchor moveWithCells="1" sizeWithCells="1">
                  <from>
                    <xdr:col>6</xdr:col>
                    <xdr:colOff>0</xdr:colOff>
                    <xdr:row>3742</xdr:row>
                    <xdr:rowOff>0</xdr:rowOff>
                  </from>
                  <to>
                    <xdr:col>7</xdr:col>
                    <xdr:colOff>0</xdr:colOff>
                    <xdr:row>3742</xdr:row>
                    <xdr:rowOff>161925</xdr:rowOff>
                  </to>
                </anchor>
              </controlPr>
            </control>
          </mc:Choice>
        </mc:AlternateContent>
        <mc:AlternateContent xmlns:mc="http://schemas.openxmlformats.org/markup-compatibility/2006">
          <mc:Choice Requires="x14">
            <control shapeId="12855" r:id="rId2127" name="Button 1591">
              <controlPr defaultSize="0" autoFill="0" autoLine="0" autoPict="0" macro="[0]!Sheet1.deleteRow">
                <anchor moveWithCells="1" sizeWithCells="1">
                  <from>
                    <xdr:col>6</xdr:col>
                    <xdr:colOff>0</xdr:colOff>
                    <xdr:row>3743</xdr:row>
                    <xdr:rowOff>0</xdr:rowOff>
                  </from>
                  <to>
                    <xdr:col>7</xdr:col>
                    <xdr:colOff>0</xdr:colOff>
                    <xdr:row>3743</xdr:row>
                    <xdr:rowOff>161925</xdr:rowOff>
                  </to>
                </anchor>
              </controlPr>
            </control>
          </mc:Choice>
        </mc:AlternateContent>
        <mc:AlternateContent xmlns:mc="http://schemas.openxmlformats.org/markup-compatibility/2006">
          <mc:Choice Requires="x14">
            <control shapeId="12854" r:id="rId2128" name="Button 1590">
              <controlPr defaultSize="0" autoFill="0" autoLine="0" autoPict="0" macro="[0]!Sheet1.deleteRow">
                <anchor moveWithCells="1" sizeWithCells="1">
                  <from>
                    <xdr:col>6</xdr:col>
                    <xdr:colOff>0</xdr:colOff>
                    <xdr:row>3744</xdr:row>
                    <xdr:rowOff>0</xdr:rowOff>
                  </from>
                  <to>
                    <xdr:col>7</xdr:col>
                    <xdr:colOff>0</xdr:colOff>
                    <xdr:row>3744</xdr:row>
                    <xdr:rowOff>161925</xdr:rowOff>
                  </to>
                </anchor>
              </controlPr>
            </control>
          </mc:Choice>
        </mc:AlternateContent>
        <mc:AlternateContent xmlns:mc="http://schemas.openxmlformats.org/markup-compatibility/2006">
          <mc:Choice Requires="x14">
            <control shapeId="12853" r:id="rId2129" name="Button 1589">
              <controlPr defaultSize="0" autoFill="0" autoLine="0" autoPict="0" macro="[0]!Sheet1.deleteRow">
                <anchor moveWithCells="1" sizeWithCells="1">
                  <from>
                    <xdr:col>6</xdr:col>
                    <xdr:colOff>0</xdr:colOff>
                    <xdr:row>3745</xdr:row>
                    <xdr:rowOff>0</xdr:rowOff>
                  </from>
                  <to>
                    <xdr:col>7</xdr:col>
                    <xdr:colOff>0</xdr:colOff>
                    <xdr:row>3745</xdr:row>
                    <xdr:rowOff>161925</xdr:rowOff>
                  </to>
                </anchor>
              </controlPr>
            </control>
          </mc:Choice>
        </mc:AlternateContent>
        <mc:AlternateContent xmlns:mc="http://schemas.openxmlformats.org/markup-compatibility/2006">
          <mc:Choice Requires="x14">
            <control shapeId="12852" r:id="rId2130" name="Button 1588">
              <controlPr defaultSize="0" autoFill="0" autoLine="0" autoPict="0" macro="[0]!Sheet1.deleteRow">
                <anchor moveWithCells="1" sizeWithCells="1">
                  <from>
                    <xdr:col>6</xdr:col>
                    <xdr:colOff>0</xdr:colOff>
                    <xdr:row>3746</xdr:row>
                    <xdr:rowOff>0</xdr:rowOff>
                  </from>
                  <to>
                    <xdr:col>7</xdr:col>
                    <xdr:colOff>0</xdr:colOff>
                    <xdr:row>3746</xdr:row>
                    <xdr:rowOff>161925</xdr:rowOff>
                  </to>
                </anchor>
              </controlPr>
            </control>
          </mc:Choice>
        </mc:AlternateContent>
        <mc:AlternateContent xmlns:mc="http://schemas.openxmlformats.org/markup-compatibility/2006">
          <mc:Choice Requires="x14">
            <control shapeId="12851" r:id="rId2131" name="Button 1587">
              <controlPr defaultSize="0" autoFill="0" autoLine="0" autoPict="0" macro="[0]!Sheet1.deleteRow">
                <anchor moveWithCells="1" sizeWithCells="1">
                  <from>
                    <xdr:col>6</xdr:col>
                    <xdr:colOff>0</xdr:colOff>
                    <xdr:row>3747</xdr:row>
                    <xdr:rowOff>0</xdr:rowOff>
                  </from>
                  <to>
                    <xdr:col>7</xdr:col>
                    <xdr:colOff>0</xdr:colOff>
                    <xdr:row>3747</xdr:row>
                    <xdr:rowOff>161925</xdr:rowOff>
                  </to>
                </anchor>
              </controlPr>
            </control>
          </mc:Choice>
        </mc:AlternateContent>
        <mc:AlternateContent xmlns:mc="http://schemas.openxmlformats.org/markup-compatibility/2006">
          <mc:Choice Requires="x14">
            <control shapeId="12850" r:id="rId2132" name="Button 1586">
              <controlPr defaultSize="0" autoFill="0" autoLine="0" autoPict="0" macro="[0]!Sheet1.deleteRow">
                <anchor moveWithCells="1" sizeWithCells="1">
                  <from>
                    <xdr:col>6</xdr:col>
                    <xdr:colOff>0</xdr:colOff>
                    <xdr:row>3748</xdr:row>
                    <xdr:rowOff>0</xdr:rowOff>
                  </from>
                  <to>
                    <xdr:col>7</xdr:col>
                    <xdr:colOff>0</xdr:colOff>
                    <xdr:row>3748</xdr:row>
                    <xdr:rowOff>161925</xdr:rowOff>
                  </to>
                </anchor>
              </controlPr>
            </control>
          </mc:Choice>
        </mc:AlternateContent>
        <mc:AlternateContent xmlns:mc="http://schemas.openxmlformats.org/markup-compatibility/2006">
          <mc:Choice Requires="x14">
            <control shapeId="12849" r:id="rId2133" name="Button 1585">
              <controlPr defaultSize="0" autoFill="0" autoLine="0" autoPict="0" macro="[0]!Sheet1.deleteRow">
                <anchor moveWithCells="1" sizeWithCells="1">
                  <from>
                    <xdr:col>6</xdr:col>
                    <xdr:colOff>0</xdr:colOff>
                    <xdr:row>3749</xdr:row>
                    <xdr:rowOff>0</xdr:rowOff>
                  </from>
                  <to>
                    <xdr:col>7</xdr:col>
                    <xdr:colOff>0</xdr:colOff>
                    <xdr:row>3749</xdr:row>
                    <xdr:rowOff>161925</xdr:rowOff>
                  </to>
                </anchor>
              </controlPr>
            </control>
          </mc:Choice>
        </mc:AlternateContent>
        <mc:AlternateContent xmlns:mc="http://schemas.openxmlformats.org/markup-compatibility/2006">
          <mc:Choice Requires="x14">
            <control shapeId="12848" r:id="rId2134" name="Button 1584">
              <controlPr defaultSize="0" autoFill="0" autoLine="0" autoPict="0" macro="[0]!Sheet1.deleteRow">
                <anchor moveWithCells="1" sizeWithCells="1">
                  <from>
                    <xdr:col>6</xdr:col>
                    <xdr:colOff>0</xdr:colOff>
                    <xdr:row>3750</xdr:row>
                    <xdr:rowOff>0</xdr:rowOff>
                  </from>
                  <to>
                    <xdr:col>7</xdr:col>
                    <xdr:colOff>0</xdr:colOff>
                    <xdr:row>3750</xdr:row>
                    <xdr:rowOff>161925</xdr:rowOff>
                  </to>
                </anchor>
              </controlPr>
            </control>
          </mc:Choice>
        </mc:AlternateContent>
        <mc:AlternateContent xmlns:mc="http://schemas.openxmlformats.org/markup-compatibility/2006">
          <mc:Choice Requires="x14">
            <control shapeId="12847" r:id="rId2135" name="Button 1583">
              <controlPr defaultSize="0" autoFill="0" autoLine="0" autoPict="0" macro="[0]!Sheet1.deleteRow">
                <anchor moveWithCells="1" sizeWithCells="1">
                  <from>
                    <xdr:col>6</xdr:col>
                    <xdr:colOff>0</xdr:colOff>
                    <xdr:row>3751</xdr:row>
                    <xdr:rowOff>0</xdr:rowOff>
                  </from>
                  <to>
                    <xdr:col>7</xdr:col>
                    <xdr:colOff>0</xdr:colOff>
                    <xdr:row>3751</xdr:row>
                    <xdr:rowOff>161925</xdr:rowOff>
                  </to>
                </anchor>
              </controlPr>
            </control>
          </mc:Choice>
        </mc:AlternateContent>
        <mc:AlternateContent xmlns:mc="http://schemas.openxmlformats.org/markup-compatibility/2006">
          <mc:Choice Requires="x14">
            <control shapeId="12846" r:id="rId2136" name="Button 1582">
              <controlPr defaultSize="0" autoFill="0" autoLine="0" autoPict="0" macro="[0]!Sheet1.deleteRow">
                <anchor moveWithCells="1" sizeWithCells="1">
                  <from>
                    <xdr:col>6</xdr:col>
                    <xdr:colOff>0</xdr:colOff>
                    <xdr:row>3752</xdr:row>
                    <xdr:rowOff>0</xdr:rowOff>
                  </from>
                  <to>
                    <xdr:col>7</xdr:col>
                    <xdr:colOff>0</xdr:colOff>
                    <xdr:row>3752</xdr:row>
                    <xdr:rowOff>161925</xdr:rowOff>
                  </to>
                </anchor>
              </controlPr>
            </control>
          </mc:Choice>
        </mc:AlternateContent>
        <mc:AlternateContent xmlns:mc="http://schemas.openxmlformats.org/markup-compatibility/2006">
          <mc:Choice Requires="x14">
            <control shapeId="12845" r:id="rId2137" name="Button 1581">
              <controlPr defaultSize="0" autoFill="0" autoLine="0" autoPict="0" macro="[0]!Sheet1.deleteRow">
                <anchor moveWithCells="1" sizeWithCells="1">
                  <from>
                    <xdr:col>6</xdr:col>
                    <xdr:colOff>0</xdr:colOff>
                    <xdr:row>3753</xdr:row>
                    <xdr:rowOff>0</xdr:rowOff>
                  </from>
                  <to>
                    <xdr:col>7</xdr:col>
                    <xdr:colOff>0</xdr:colOff>
                    <xdr:row>3753</xdr:row>
                    <xdr:rowOff>161925</xdr:rowOff>
                  </to>
                </anchor>
              </controlPr>
            </control>
          </mc:Choice>
        </mc:AlternateContent>
        <mc:AlternateContent xmlns:mc="http://schemas.openxmlformats.org/markup-compatibility/2006">
          <mc:Choice Requires="x14">
            <control shapeId="12844" r:id="rId2138" name="Button 1580">
              <controlPr defaultSize="0" autoFill="0" autoLine="0" autoPict="0" macro="[0]!Sheet1.deleteRow">
                <anchor moveWithCells="1" sizeWithCells="1">
                  <from>
                    <xdr:col>6</xdr:col>
                    <xdr:colOff>0</xdr:colOff>
                    <xdr:row>3754</xdr:row>
                    <xdr:rowOff>0</xdr:rowOff>
                  </from>
                  <to>
                    <xdr:col>7</xdr:col>
                    <xdr:colOff>0</xdr:colOff>
                    <xdr:row>3754</xdr:row>
                    <xdr:rowOff>161925</xdr:rowOff>
                  </to>
                </anchor>
              </controlPr>
            </control>
          </mc:Choice>
        </mc:AlternateContent>
        <mc:AlternateContent xmlns:mc="http://schemas.openxmlformats.org/markup-compatibility/2006">
          <mc:Choice Requires="x14">
            <control shapeId="12843" r:id="rId2139" name="Button 1579">
              <controlPr defaultSize="0" autoFill="0" autoLine="0" autoPict="0" macro="[0]!Sheet1.deleteRow">
                <anchor moveWithCells="1" sizeWithCells="1">
                  <from>
                    <xdr:col>6</xdr:col>
                    <xdr:colOff>0</xdr:colOff>
                    <xdr:row>3755</xdr:row>
                    <xdr:rowOff>0</xdr:rowOff>
                  </from>
                  <to>
                    <xdr:col>7</xdr:col>
                    <xdr:colOff>0</xdr:colOff>
                    <xdr:row>3755</xdr:row>
                    <xdr:rowOff>161925</xdr:rowOff>
                  </to>
                </anchor>
              </controlPr>
            </control>
          </mc:Choice>
        </mc:AlternateContent>
        <mc:AlternateContent xmlns:mc="http://schemas.openxmlformats.org/markup-compatibility/2006">
          <mc:Choice Requires="x14">
            <control shapeId="12842" r:id="rId2140" name="Button 1578">
              <controlPr defaultSize="0" autoFill="0" autoLine="0" autoPict="0" macro="[0]!Sheet1.deleteRow">
                <anchor moveWithCells="1" sizeWithCells="1">
                  <from>
                    <xdr:col>6</xdr:col>
                    <xdr:colOff>0</xdr:colOff>
                    <xdr:row>3756</xdr:row>
                    <xdr:rowOff>0</xdr:rowOff>
                  </from>
                  <to>
                    <xdr:col>7</xdr:col>
                    <xdr:colOff>0</xdr:colOff>
                    <xdr:row>3756</xdr:row>
                    <xdr:rowOff>161925</xdr:rowOff>
                  </to>
                </anchor>
              </controlPr>
            </control>
          </mc:Choice>
        </mc:AlternateContent>
        <mc:AlternateContent xmlns:mc="http://schemas.openxmlformats.org/markup-compatibility/2006">
          <mc:Choice Requires="x14">
            <control shapeId="12841" r:id="rId2141" name="Button 1577">
              <controlPr defaultSize="0" autoFill="0" autoLine="0" autoPict="0" macro="[0]!Sheet1.deleteRow">
                <anchor moveWithCells="1" sizeWithCells="1">
                  <from>
                    <xdr:col>6</xdr:col>
                    <xdr:colOff>0</xdr:colOff>
                    <xdr:row>3757</xdr:row>
                    <xdr:rowOff>0</xdr:rowOff>
                  </from>
                  <to>
                    <xdr:col>7</xdr:col>
                    <xdr:colOff>0</xdr:colOff>
                    <xdr:row>3757</xdr:row>
                    <xdr:rowOff>161925</xdr:rowOff>
                  </to>
                </anchor>
              </controlPr>
            </control>
          </mc:Choice>
        </mc:AlternateContent>
        <mc:AlternateContent xmlns:mc="http://schemas.openxmlformats.org/markup-compatibility/2006">
          <mc:Choice Requires="x14">
            <control shapeId="12840" r:id="rId2142" name="Button 1576">
              <controlPr defaultSize="0" autoFill="0" autoLine="0" autoPict="0" macro="[0]!Sheet1.deleteRow">
                <anchor moveWithCells="1" sizeWithCells="1">
                  <from>
                    <xdr:col>6</xdr:col>
                    <xdr:colOff>0</xdr:colOff>
                    <xdr:row>3758</xdr:row>
                    <xdr:rowOff>0</xdr:rowOff>
                  </from>
                  <to>
                    <xdr:col>7</xdr:col>
                    <xdr:colOff>0</xdr:colOff>
                    <xdr:row>3758</xdr:row>
                    <xdr:rowOff>161925</xdr:rowOff>
                  </to>
                </anchor>
              </controlPr>
            </control>
          </mc:Choice>
        </mc:AlternateContent>
        <mc:AlternateContent xmlns:mc="http://schemas.openxmlformats.org/markup-compatibility/2006">
          <mc:Choice Requires="x14">
            <control shapeId="12839" r:id="rId2143" name="Button 1575">
              <controlPr defaultSize="0" autoFill="0" autoLine="0" autoPict="0" macro="[0]!Sheet1.deleteRow">
                <anchor moveWithCells="1" sizeWithCells="1">
                  <from>
                    <xdr:col>6</xdr:col>
                    <xdr:colOff>0</xdr:colOff>
                    <xdr:row>3759</xdr:row>
                    <xdr:rowOff>0</xdr:rowOff>
                  </from>
                  <to>
                    <xdr:col>7</xdr:col>
                    <xdr:colOff>0</xdr:colOff>
                    <xdr:row>3759</xdr:row>
                    <xdr:rowOff>161925</xdr:rowOff>
                  </to>
                </anchor>
              </controlPr>
            </control>
          </mc:Choice>
        </mc:AlternateContent>
        <mc:AlternateContent xmlns:mc="http://schemas.openxmlformats.org/markup-compatibility/2006">
          <mc:Choice Requires="x14">
            <control shapeId="12838" r:id="rId2144" name="Button 1574">
              <controlPr defaultSize="0" autoFill="0" autoLine="0" autoPict="0" macro="[0]!Sheet1.deleteProcedure">
                <anchor moveWithCells="1" sizeWithCells="1">
                  <from>
                    <xdr:col>6</xdr:col>
                    <xdr:colOff>0</xdr:colOff>
                    <xdr:row>3762</xdr:row>
                    <xdr:rowOff>0</xdr:rowOff>
                  </from>
                  <to>
                    <xdr:col>7</xdr:col>
                    <xdr:colOff>0</xdr:colOff>
                    <xdr:row>3763</xdr:row>
                    <xdr:rowOff>0</xdr:rowOff>
                  </to>
                </anchor>
              </controlPr>
            </control>
          </mc:Choice>
        </mc:AlternateContent>
        <mc:AlternateContent xmlns:mc="http://schemas.openxmlformats.org/markup-compatibility/2006">
          <mc:Choice Requires="x14">
            <control shapeId="12837" r:id="rId2145" name="Button 1573">
              <controlPr defaultSize="0" autoFill="0" autoLine="0" autoPict="0" macro="[0]!Sheet1.InsertNewTableRow">
                <anchor moveWithCells="1" sizeWithCells="1">
                  <from>
                    <xdr:col>6</xdr:col>
                    <xdr:colOff>0</xdr:colOff>
                    <xdr:row>3769</xdr:row>
                    <xdr:rowOff>0</xdr:rowOff>
                  </from>
                  <to>
                    <xdr:col>7</xdr:col>
                    <xdr:colOff>0</xdr:colOff>
                    <xdr:row>3769</xdr:row>
                    <xdr:rowOff>38100</xdr:rowOff>
                  </to>
                </anchor>
              </controlPr>
            </control>
          </mc:Choice>
        </mc:AlternateContent>
        <mc:AlternateContent xmlns:mc="http://schemas.openxmlformats.org/markup-compatibility/2006">
          <mc:Choice Requires="x14">
            <control shapeId="12836" r:id="rId2146" name="Button 1572">
              <controlPr defaultSize="0" autoFill="0" autoLine="0" autoPict="0" macro="[0]!Sheet1.deleteRow">
                <anchor moveWithCells="1" sizeWithCells="1">
                  <from>
                    <xdr:col>6</xdr:col>
                    <xdr:colOff>0</xdr:colOff>
                    <xdr:row>3770</xdr:row>
                    <xdr:rowOff>0</xdr:rowOff>
                  </from>
                  <to>
                    <xdr:col>7</xdr:col>
                    <xdr:colOff>0</xdr:colOff>
                    <xdr:row>3770</xdr:row>
                    <xdr:rowOff>161925</xdr:rowOff>
                  </to>
                </anchor>
              </controlPr>
            </control>
          </mc:Choice>
        </mc:AlternateContent>
        <mc:AlternateContent xmlns:mc="http://schemas.openxmlformats.org/markup-compatibility/2006">
          <mc:Choice Requires="x14">
            <control shapeId="12835" r:id="rId2147" name="Button 1571">
              <controlPr defaultSize="0" autoFill="0" autoLine="0" autoPict="0" macro="[0]!Sheet1.deleteRow">
                <anchor moveWithCells="1" sizeWithCells="1">
                  <from>
                    <xdr:col>6</xdr:col>
                    <xdr:colOff>0</xdr:colOff>
                    <xdr:row>3771</xdr:row>
                    <xdr:rowOff>0</xdr:rowOff>
                  </from>
                  <to>
                    <xdr:col>7</xdr:col>
                    <xdr:colOff>0</xdr:colOff>
                    <xdr:row>3771</xdr:row>
                    <xdr:rowOff>161925</xdr:rowOff>
                  </to>
                </anchor>
              </controlPr>
            </control>
          </mc:Choice>
        </mc:AlternateContent>
        <mc:AlternateContent xmlns:mc="http://schemas.openxmlformats.org/markup-compatibility/2006">
          <mc:Choice Requires="x14">
            <control shapeId="12834" r:id="rId2148" name="Button 1570">
              <controlPr defaultSize="0" autoFill="0" autoLine="0" autoPict="0" macro="[0]!Sheet1.deleteProcedure">
                <anchor moveWithCells="1" sizeWithCells="1">
                  <from>
                    <xdr:col>6</xdr:col>
                    <xdr:colOff>0</xdr:colOff>
                    <xdr:row>3774</xdr:row>
                    <xdr:rowOff>0</xdr:rowOff>
                  </from>
                  <to>
                    <xdr:col>7</xdr:col>
                    <xdr:colOff>0</xdr:colOff>
                    <xdr:row>3775</xdr:row>
                    <xdr:rowOff>0</xdr:rowOff>
                  </to>
                </anchor>
              </controlPr>
            </control>
          </mc:Choice>
        </mc:AlternateContent>
        <mc:AlternateContent xmlns:mc="http://schemas.openxmlformats.org/markup-compatibility/2006">
          <mc:Choice Requires="x14">
            <control shapeId="12833" r:id="rId2149" name="Button 1569">
              <controlPr defaultSize="0" autoFill="0" autoLine="0" autoPict="0" macro="[0]!Sheet1.InsertNewTableRow">
                <anchor moveWithCells="1" sizeWithCells="1">
                  <from>
                    <xdr:col>6</xdr:col>
                    <xdr:colOff>0</xdr:colOff>
                    <xdr:row>3781</xdr:row>
                    <xdr:rowOff>0</xdr:rowOff>
                  </from>
                  <to>
                    <xdr:col>7</xdr:col>
                    <xdr:colOff>0</xdr:colOff>
                    <xdr:row>3781</xdr:row>
                    <xdr:rowOff>38100</xdr:rowOff>
                  </to>
                </anchor>
              </controlPr>
            </control>
          </mc:Choice>
        </mc:AlternateContent>
        <mc:AlternateContent xmlns:mc="http://schemas.openxmlformats.org/markup-compatibility/2006">
          <mc:Choice Requires="x14">
            <control shapeId="12832" r:id="rId2150" name="Button 1568">
              <controlPr defaultSize="0" autoFill="0" autoLine="0" autoPict="0" macro="[0]!Sheet1.deleteRow">
                <anchor moveWithCells="1" sizeWithCells="1">
                  <from>
                    <xdr:col>6</xdr:col>
                    <xdr:colOff>0</xdr:colOff>
                    <xdr:row>3782</xdr:row>
                    <xdr:rowOff>0</xdr:rowOff>
                  </from>
                  <to>
                    <xdr:col>7</xdr:col>
                    <xdr:colOff>0</xdr:colOff>
                    <xdr:row>3782</xdr:row>
                    <xdr:rowOff>161925</xdr:rowOff>
                  </to>
                </anchor>
              </controlPr>
            </control>
          </mc:Choice>
        </mc:AlternateContent>
        <mc:AlternateContent xmlns:mc="http://schemas.openxmlformats.org/markup-compatibility/2006">
          <mc:Choice Requires="x14">
            <control shapeId="12831" r:id="rId2151" name="Button 1567">
              <controlPr defaultSize="0" autoFill="0" autoLine="0" autoPict="0" macro="[0]!Sheet1.deleteProcedure">
                <anchor moveWithCells="1" sizeWithCells="1">
                  <from>
                    <xdr:col>6</xdr:col>
                    <xdr:colOff>0</xdr:colOff>
                    <xdr:row>3785</xdr:row>
                    <xdr:rowOff>0</xdr:rowOff>
                  </from>
                  <to>
                    <xdr:col>7</xdr:col>
                    <xdr:colOff>0</xdr:colOff>
                    <xdr:row>3786</xdr:row>
                    <xdr:rowOff>0</xdr:rowOff>
                  </to>
                </anchor>
              </controlPr>
            </control>
          </mc:Choice>
        </mc:AlternateContent>
        <mc:AlternateContent xmlns:mc="http://schemas.openxmlformats.org/markup-compatibility/2006">
          <mc:Choice Requires="x14">
            <control shapeId="12830" r:id="rId2152" name="Button 1566">
              <controlPr defaultSize="0" autoFill="0" autoLine="0" autoPict="0" macro="[0]!Sheet1.InsertNewTableRow">
                <anchor moveWithCells="1" sizeWithCells="1">
                  <from>
                    <xdr:col>6</xdr:col>
                    <xdr:colOff>0</xdr:colOff>
                    <xdr:row>3792</xdr:row>
                    <xdr:rowOff>0</xdr:rowOff>
                  </from>
                  <to>
                    <xdr:col>7</xdr:col>
                    <xdr:colOff>0</xdr:colOff>
                    <xdr:row>3792</xdr:row>
                    <xdr:rowOff>38100</xdr:rowOff>
                  </to>
                </anchor>
              </controlPr>
            </control>
          </mc:Choice>
        </mc:AlternateContent>
        <mc:AlternateContent xmlns:mc="http://schemas.openxmlformats.org/markup-compatibility/2006">
          <mc:Choice Requires="x14">
            <control shapeId="12829" r:id="rId2153" name="Button 1565">
              <controlPr defaultSize="0" autoFill="0" autoLine="0" autoPict="0" macro="[0]!Sheet1.deleteRow">
                <anchor moveWithCells="1" sizeWithCells="1">
                  <from>
                    <xdr:col>6</xdr:col>
                    <xdr:colOff>0</xdr:colOff>
                    <xdr:row>3793</xdr:row>
                    <xdr:rowOff>0</xdr:rowOff>
                  </from>
                  <to>
                    <xdr:col>7</xdr:col>
                    <xdr:colOff>0</xdr:colOff>
                    <xdr:row>3793</xdr:row>
                    <xdr:rowOff>161925</xdr:rowOff>
                  </to>
                </anchor>
              </controlPr>
            </control>
          </mc:Choice>
        </mc:AlternateContent>
        <mc:AlternateContent xmlns:mc="http://schemas.openxmlformats.org/markup-compatibility/2006">
          <mc:Choice Requires="x14">
            <control shapeId="12828" r:id="rId2154" name="Button 1564">
              <controlPr defaultSize="0" autoFill="0" autoLine="0" autoPict="0" macro="[0]!Sheet1.deleteProcedure">
                <anchor moveWithCells="1" sizeWithCells="1">
                  <from>
                    <xdr:col>6</xdr:col>
                    <xdr:colOff>0</xdr:colOff>
                    <xdr:row>3796</xdr:row>
                    <xdr:rowOff>0</xdr:rowOff>
                  </from>
                  <to>
                    <xdr:col>7</xdr:col>
                    <xdr:colOff>0</xdr:colOff>
                    <xdr:row>3797</xdr:row>
                    <xdr:rowOff>0</xdr:rowOff>
                  </to>
                </anchor>
              </controlPr>
            </control>
          </mc:Choice>
        </mc:AlternateContent>
        <mc:AlternateContent xmlns:mc="http://schemas.openxmlformats.org/markup-compatibility/2006">
          <mc:Choice Requires="x14">
            <control shapeId="12827" r:id="rId2155" name="Button 1563">
              <controlPr defaultSize="0" autoFill="0" autoLine="0" autoPict="0" macro="[0]!Sheet1.InsertNewTableRow">
                <anchor moveWithCells="1" sizeWithCells="1">
                  <from>
                    <xdr:col>6</xdr:col>
                    <xdr:colOff>0</xdr:colOff>
                    <xdr:row>3803</xdr:row>
                    <xdr:rowOff>0</xdr:rowOff>
                  </from>
                  <to>
                    <xdr:col>7</xdr:col>
                    <xdr:colOff>0</xdr:colOff>
                    <xdr:row>3803</xdr:row>
                    <xdr:rowOff>38100</xdr:rowOff>
                  </to>
                </anchor>
              </controlPr>
            </control>
          </mc:Choice>
        </mc:AlternateContent>
        <mc:AlternateContent xmlns:mc="http://schemas.openxmlformats.org/markup-compatibility/2006">
          <mc:Choice Requires="x14">
            <control shapeId="12826" r:id="rId2156" name="Button 1562">
              <controlPr defaultSize="0" autoFill="0" autoLine="0" autoPict="0" macro="[0]!Sheet1.deleteRow">
                <anchor moveWithCells="1" sizeWithCells="1">
                  <from>
                    <xdr:col>6</xdr:col>
                    <xdr:colOff>0</xdr:colOff>
                    <xdr:row>3804</xdr:row>
                    <xdr:rowOff>0</xdr:rowOff>
                  </from>
                  <to>
                    <xdr:col>7</xdr:col>
                    <xdr:colOff>0</xdr:colOff>
                    <xdr:row>3804</xdr:row>
                    <xdr:rowOff>161925</xdr:rowOff>
                  </to>
                </anchor>
              </controlPr>
            </control>
          </mc:Choice>
        </mc:AlternateContent>
        <mc:AlternateContent xmlns:mc="http://schemas.openxmlformats.org/markup-compatibility/2006">
          <mc:Choice Requires="x14">
            <control shapeId="12825" r:id="rId2157" name="Button 1561">
              <controlPr defaultSize="0" autoFill="0" autoLine="0" autoPict="0" macro="[0]!Sheet1.deleteRow">
                <anchor moveWithCells="1" sizeWithCells="1">
                  <from>
                    <xdr:col>6</xdr:col>
                    <xdr:colOff>0</xdr:colOff>
                    <xdr:row>3805</xdr:row>
                    <xdr:rowOff>0</xdr:rowOff>
                  </from>
                  <to>
                    <xdr:col>7</xdr:col>
                    <xdr:colOff>0</xdr:colOff>
                    <xdr:row>3805</xdr:row>
                    <xdr:rowOff>161925</xdr:rowOff>
                  </to>
                </anchor>
              </controlPr>
            </control>
          </mc:Choice>
        </mc:AlternateContent>
        <mc:AlternateContent xmlns:mc="http://schemas.openxmlformats.org/markup-compatibility/2006">
          <mc:Choice Requires="x14">
            <control shapeId="12824" r:id="rId2158" name="Button 1560">
              <controlPr defaultSize="0" autoFill="0" autoLine="0" autoPict="0" macro="[0]!Sheet1.deleteProcedure">
                <anchor moveWithCells="1" sizeWithCells="1">
                  <from>
                    <xdr:col>6</xdr:col>
                    <xdr:colOff>0</xdr:colOff>
                    <xdr:row>3808</xdr:row>
                    <xdr:rowOff>0</xdr:rowOff>
                  </from>
                  <to>
                    <xdr:col>7</xdr:col>
                    <xdr:colOff>0</xdr:colOff>
                    <xdr:row>3809</xdr:row>
                    <xdr:rowOff>0</xdr:rowOff>
                  </to>
                </anchor>
              </controlPr>
            </control>
          </mc:Choice>
        </mc:AlternateContent>
        <mc:AlternateContent xmlns:mc="http://schemas.openxmlformats.org/markup-compatibility/2006">
          <mc:Choice Requires="x14">
            <control shapeId="12823" r:id="rId2159" name="Button 1559">
              <controlPr defaultSize="0" autoFill="0" autoLine="0" autoPict="0" macro="[0]!Sheet1.InsertNewTableRow">
                <anchor moveWithCells="1" sizeWithCells="1">
                  <from>
                    <xdr:col>6</xdr:col>
                    <xdr:colOff>0</xdr:colOff>
                    <xdr:row>3815</xdr:row>
                    <xdr:rowOff>0</xdr:rowOff>
                  </from>
                  <to>
                    <xdr:col>7</xdr:col>
                    <xdr:colOff>0</xdr:colOff>
                    <xdr:row>3815</xdr:row>
                    <xdr:rowOff>38100</xdr:rowOff>
                  </to>
                </anchor>
              </controlPr>
            </control>
          </mc:Choice>
        </mc:AlternateContent>
        <mc:AlternateContent xmlns:mc="http://schemas.openxmlformats.org/markup-compatibility/2006">
          <mc:Choice Requires="x14">
            <control shapeId="12822" r:id="rId2160" name="Button 1558">
              <controlPr defaultSize="0" autoFill="0" autoLine="0" autoPict="0" macro="[0]!Sheet1.deleteRow">
                <anchor moveWithCells="1" sizeWithCells="1">
                  <from>
                    <xdr:col>6</xdr:col>
                    <xdr:colOff>0</xdr:colOff>
                    <xdr:row>3816</xdr:row>
                    <xdr:rowOff>0</xdr:rowOff>
                  </from>
                  <to>
                    <xdr:col>7</xdr:col>
                    <xdr:colOff>0</xdr:colOff>
                    <xdr:row>3816</xdr:row>
                    <xdr:rowOff>161925</xdr:rowOff>
                  </to>
                </anchor>
              </controlPr>
            </control>
          </mc:Choice>
        </mc:AlternateContent>
        <mc:AlternateContent xmlns:mc="http://schemas.openxmlformats.org/markup-compatibility/2006">
          <mc:Choice Requires="x14">
            <control shapeId="12821" r:id="rId2161" name="Button 1557">
              <controlPr defaultSize="0" autoFill="0" autoLine="0" autoPict="0" macro="[0]!Sheet1.deleteProcedure">
                <anchor moveWithCells="1" sizeWithCells="1">
                  <from>
                    <xdr:col>6</xdr:col>
                    <xdr:colOff>0</xdr:colOff>
                    <xdr:row>3819</xdr:row>
                    <xdr:rowOff>0</xdr:rowOff>
                  </from>
                  <to>
                    <xdr:col>7</xdr:col>
                    <xdr:colOff>0</xdr:colOff>
                    <xdr:row>3820</xdr:row>
                    <xdr:rowOff>0</xdr:rowOff>
                  </to>
                </anchor>
              </controlPr>
            </control>
          </mc:Choice>
        </mc:AlternateContent>
        <mc:AlternateContent xmlns:mc="http://schemas.openxmlformats.org/markup-compatibility/2006">
          <mc:Choice Requires="x14">
            <control shapeId="12820" r:id="rId2162" name="Button 1556">
              <controlPr defaultSize="0" autoFill="0" autoLine="0" autoPict="0" macro="[0]!Sheet1.InsertNewTableRow">
                <anchor moveWithCells="1" sizeWithCells="1">
                  <from>
                    <xdr:col>6</xdr:col>
                    <xdr:colOff>0</xdr:colOff>
                    <xdr:row>3826</xdr:row>
                    <xdr:rowOff>0</xdr:rowOff>
                  </from>
                  <to>
                    <xdr:col>7</xdr:col>
                    <xdr:colOff>0</xdr:colOff>
                    <xdr:row>3826</xdr:row>
                    <xdr:rowOff>38100</xdr:rowOff>
                  </to>
                </anchor>
              </controlPr>
            </control>
          </mc:Choice>
        </mc:AlternateContent>
        <mc:AlternateContent xmlns:mc="http://schemas.openxmlformats.org/markup-compatibility/2006">
          <mc:Choice Requires="x14">
            <control shapeId="12819" r:id="rId2163" name="Button 1555">
              <controlPr defaultSize="0" autoFill="0" autoLine="0" autoPict="0" macro="[0]!Sheet1.deleteRow">
                <anchor moveWithCells="1" sizeWithCells="1">
                  <from>
                    <xdr:col>6</xdr:col>
                    <xdr:colOff>0</xdr:colOff>
                    <xdr:row>3827</xdr:row>
                    <xdr:rowOff>0</xdr:rowOff>
                  </from>
                  <to>
                    <xdr:col>7</xdr:col>
                    <xdr:colOff>0</xdr:colOff>
                    <xdr:row>3827</xdr:row>
                    <xdr:rowOff>161925</xdr:rowOff>
                  </to>
                </anchor>
              </controlPr>
            </control>
          </mc:Choice>
        </mc:AlternateContent>
        <mc:AlternateContent xmlns:mc="http://schemas.openxmlformats.org/markup-compatibility/2006">
          <mc:Choice Requires="x14">
            <control shapeId="12818" r:id="rId2164" name="Button 1554">
              <controlPr defaultSize="0" autoFill="0" autoLine="0" autoPict="0" macro="[0]!Sheet1.deleteRow">
                <anchor moveWithCells="1" sizeWithCells="1">
                  <from>
                    <xdr:col>6</xdr:col>
                    <xdr:colOff>0</xdr:colOff>
                    <xdr:row>3828</xdr:row>
                    <xdr:rowOff>0</xdr:rowOff>
                  </from>
                  <to>
                    <xdr:col>7</xdr:col>
                    <xdr:colOff>0</xdr:colOff>
                    <xdr:row>3828</xdr:row>
                    <xdr:rowOff>161925</xdr:rowOff>
                  </to>
                </anchor>
              </controlPr>
            </control>
          </mc:Choice>
        </mc:AlternateContent>
        <mc:AlternateContent xmlns:mc="http://schemas.openxmlformats.org/markup-compatibility/2006">
          <mc:Choice Requires="x14">
            <control shapeId="12817" r:id="rId2165" name="Button 1553">
              <controlPr defaultSize="0" autoFill="0" autoLine="0" autoPict="0" macro="[0]!Sheet1.deleteRow">
                <anchor moveWithCells="1" sizeWithCells="1">
                  <from>
                    <xdr:col>6</xdr:col>
                    <xdr:colOff>0</xdr:colOff>
                    <xdr:row>3829</xdr:row>
                    <xdr:rowOff>0</xdr:rowOff>
                  </from>
                  <to>
                    <xdr:col>7</xdr:col>
                    <xdr:colOff>0</xdr:colOff>
                    <xdr:row>3829</xdr:row>
                    <xdr:rowOff>161925</xdr:rowOff>
                  </to>
                </anchor>
              </controlPr>
            </control>
          </mc:Choice>
        </mc:AlternateContent>
        <mc:AlternateContent xmlns:mc="http://schemas.openxmlformats.org/markup-compatibility/2006">
          <mc:Choice Requires="x14">
            <control shapeId="12816" r:id="rId2166" name="Button 1552">
              <controlPr defaultSize="0" autoFill="0" autoLine="0" autoPict="0" macro="[0]!Sheet1.deleteRow">
                <anchor moveWithCells="1" sizeWithCells="1">
                  <from>
                    <xdr:col>6</xdr:col>
                    <xdr:colOff>0</xdr:colOff>
                    <xdr:row>3830</xdr:row>
                    <xdr:rowOff>0</xdr:rowOff>
                  </from>
                  <to>
                    <xdr:col>7</xdr:col>
                    <xdr:colOff>0</xdr:colOff>
                    <xdr:row>3830</xdr:row>
                    <xdr:rowOff>161925</xdr:rowOff>
                  </to>
                </anchor>
              </controlPr>
            </control>
          </mc:Choice>
        </mc:AlternateContent>
        <mc:AlternateContent xmlns:mc="http://schemas.openxmlformats.org/markup-compatibility/2006">
          <mc:Choice Requires="x14">
            <control shapeId="12815" r:id="rId2167" name="Button 1551">
              <controlPr defaultSize="0" autoFill="0" autoLine="0" autoPict="0" macro="[0]!Sheet1.deleteRow">
                <anchor moveWithCells="1" sizeWithCells="1">
                  <from>
                    <xdr:col>6</xdr:col>
                    <xdr:colOff>0</xdr:colOff>
                    <xdr:row>3831</xdr:row>
                    <xdr:rowOff>0</xdr:rowOff>
                  </from>
                  <to>
                    <xdr:col>7</xdr:col>
                    <xdr:colOff>0</xdr:colOff>
                    <xdr:row>3831</xdr:row>
                    <xdr:rowOff>161925</xdr:rowOff>
                  </to>
                </anchor>
              </controlPr>
            </control>
          </mc:Choice>
        </mc:AlternateContent>
        <mc:AlternateContent xmlns:mc="http://schemas.openxmlformats.org/markup-compatibility/2006">
          <mc:Choice Requires="x14">
            <control shapeId="12814" r:id="rId2168" name="Button 1550">
              <controlPr defaultSize="0" autoFill="0" autoLine="0" autoPict="0" macro="[0]!Sheet1.deleteRow">
                <anchor moveWithCells="1" sizeWithCells="1">
                  <from>
                    <xdr:col>6</xdr:col>
                    <xdr:colOff>0</xdr:colOff>
                    <xdr:row>3832</xdr:row>
                    <xdr:rowOff>0</xdr:rowOff>
                  </from>
                  <to>
                    <xdr:col>7</xdr:col>
                    <xdr:colOff>0</xdr:colOff>
                    <xdr:row>3832</xdr:row>
                    <xdr:rowOff>161925</xdr:rowOff>
                  </to>
                </anchor>
              </controlPr>
            </control>
          </mc:Choice>
        </mc:AlternateContent>
        <mc:AlternateContent xmlns:mc="http://schemas.openxmlformats.org/markup-compatibility/2006">
          <mc:Choice Requires="x14">
            <control shapeId="12813" r:id="rId2169" name="Button 1549">
              <controlPr defaultSize="0" autoFill="0" autoLine="0" autoPict="0" macro="[0]!Sheet1.deleteRow">
                <anchor moveWithCells="1" sizeWithCells="1">
                  <from>
                    <xdr:col>6</xdr:col>
                    <xdr:colOff>0</xdr:colOff>
                    <xdr:row>3833</xdr:row>
                    <xdr:rowOff>0</xdr:rowOff>
                  </from>
                  <to>
                    <xdr:col>7</xdr:col>
                    <xdr:colOff>0</xdr:colOff>
                    <xdr:row>3833</xdr:row>
                    <xdr:rowOff>161925</xdr:rowOff>
                  </to>
                </anchor>
              </controlPr>
            </control>
          </mc:Choice>
        </mc:AlternateContent>
        <mc:AlternateContent xmlns:mc="http://schemas.openxmlformats.org/markup-compatibility/2006">
          <mc:Choice Requires="x14">
            <control shapeId="12812" r:id="rId2170" name="Button 1548">
              <controlPr defaultSize="0" autoFill="0" autoLine="0" autoPict="0" macro="[0]!Sheet1.deleteRow">
                <anchor moveWithCells="1" sizeWithCells="1">
                  <from>
                    <xdr:col>6</xdr:col>
                    <xdr:colOff>0</xdr:colOff>
                    <xdr:row>3834</xdr:row>
                    <xdr:rowOff>0</xdr:rowOff>
                  </from>
                  <to>
                    <xdr:col>7</xdr:col>
                    <xdr:colOff>0</xdr:colOff>
                    <xdr:row>3834</xdr:row>
                    <xdr:rowOff>161925</xdr:rowOff>
                  </to>
                </anchor>
              </controlPr>
            </control>
          </mc:Choice>
        </mc:AlternateContent>
        <mc:AlternateContent xmlns:mc="http://schemas.openxmlformats.org/markup-compatibility/2006">
          <mc:Choice Requires="x14">
            <control shapeId="12811" r:id="rId2171" name="Button 1547">
              <controlPr defaultSize="0" autoFill="0" autoLine="0" autoPict="0" macro="[0]!Sheet1.deleteRow">
                <anchor moveWithCells="1" sizeWithCells="1">
                  <from>
                    <xdr:col>6</xdr:col>
                    <xdr:colOff>0</xdr:colOff>
                    <xdr:row>3835</xdr:row>
                    <xdr:rowOff>0</xdr:rowOff>
                  </from>
                  <to>
                    <xdr:col>7</xdr:col>
                    <xdr:colOff>0</xdr:colOff>
                    <xdr:row>3835</xdr:row>
                    <xdr:rowOff>161925</xdr:rowOff>
                  </to>
                </anchor>
              </controlPr>
            </control>
          </mc:Choice>
        </mc:AlternateContent>
        <mc:AlternateContent xmlns:mc="http://schemas.openxmlformats.org/markup-compatibility/2006">
          <mc:Choice Requires="x14">
            <control shapeId="12810" r:id="rId2172" name="Button 1546">
              <controlPr defaultSize="0" autoFill="0" autoLine="0" autoPict="0" macro="[0]!Sheet1.deleteRow">
                <anchor moveWithCells="1" sizeWithCells="1">
                  <from>
                    <xdr:col>6</xdr:col>
                    <xdr:colOff>0</xdr:colOff>
                    <xdr:row>3836</xdr:row>
                    <xdr:rowOff>0</xdr:rowOff>
                  </from>
                  <to>
                    <xdr:col>7</xdr:col>
                    <xdr:colOff>0</xdr:colOff>
                    <xdr:row>3836</xdr:row>
                    <xdr:rowOff>161925</xdr:rowOff>
                  </to>
                </anchor>
              </controlPr>
            </control>
          </mc:Choice>
        </mc:AlternateContent>
        <mc:AlternateContent xmlns:mc="http://schemas.openxmlformats.org/markup-compatibility/2006">
          <mc:Choice Requires="x14">
            <control shapeId="12809" r:id="rId2173" name="Button 1545">
              <controlPr defaultSize="0" autoFill="0" autoLine="0" autoPict="0" macro="[0]!Sheet1.deleteRow">
                <anchor moveWithCells="1" sizeWithCells="1">
                  <from>
                    <xdr:col>6</xdr:col>
                    <xdr:colOff>0</xdr:colOff>
                    <xdr:row>3837</xdr:row>
                    <xdr:rowOff>0</xdr:rowOff>
                  </from>
                  <to>
                    <xdr:col>7</xdr:col>
                    <xdr:colOff>0</xdr:colOff>
                    <xdr:row>3837</xdr:row>
                    <xdr:rowOff>161925</xdr:rowOff>
                  </to>
                </anchor>
              </controlPr>
            </control>
          </mc:Choice>
        </mc:AlternateContent>
        <mc:AlternateContent xmlns:mc="http://schemas.openxmlformats.org/markup-compatibility/2006">
          <mc:Choice Requires="x14">
            <control shapeId="12808" r:id="rId2174" name="Button 1544">
              <controlPr defaultSize="0" autoFill="0" autoLine="0" autoPict="0" macro="[0]!Sheet1.deleteRow">
                <anchor moveWithCells="1" sizeWithCells="1">
                  <from>
                    <xdr:col>6</xdr:col>
                    <xdr:colOff>0</xdr:colOff>
                    <xdr:row>3838</xdr:row>
                    <xdr:rowOff>0</xdr:rowOff>
                  </from>
                  <to>
                    <xdr:col>7</xdr:col>
                    <xdr:colOff>0</xdr:colOff>
                    <xdr:row>3838</xdr:row>
                    <xdr:rowOff>161925</xdr:rowOff>
                  </to>
                </anchor>
              </controlPr>
            </control>
          </mc:Choice>
        </mc:AlternateContent>
        <mc:AlternateContent xmlns:mc="http://schemas.openxmlformats.org/markup-compatibility/2006">
          <mc:Choice Requires="x14">
            <control shapeId="12807" r:id="rId2175" name="Button 1543">
              <controlPr defaultSize="0" autoFill="0" autoLine="0" autoPict="0" macro="[0]!Sheet1.deleteRow">
                <anchor moveWithCells="1" sizeWithCells="1">
                  <from>
                    <xdr:col>6</xdr:col>
                    <xdr:colOff>0</xdr:colOff>
                    <xdr:row>3839</xdr:row>
                    <xdr:rowOff>0</xdr:rowOff>
                  </from>
                  <to>
                    <xdr:col>7</xdr:col>
                    <xdr:colOff>0</xdr:colOff>
                    <xdr:row>3839</xdr:row>
                    <xdr:rowOff>161925</xdr:rowOff>
                  </to>
                </anchor>
              </controlPr>
            </control>
          </mc:Choice>
        </mc:AlternateContent>
        <mc:AlternateContent xmlns:mc="http://schemas.openxmlformats.org/markup-compatibility/2006">
          <mc:Choice Requires="x14">
            <control shapeId="12806" r:id="rId2176" name="Button 1542">
              <controlPr defaultSize="0" autoFill="0" autoLine="0" autoPict="0" macro="[0]!Sheet1.deleteRow">
                <anchor moveWithCells="1" sizeWithCells="1">
                  <from>
                    <xdr:col>6</xdr:col>
                    <xdr:colOff>0</xdr:colOff>
                    <xdr:row>3840</xdr:row>
                    <xdr:rowOff>0</xdr:rowOff>
                  </from>
                  <to>
                    <xdr:col>7</xdr:col>
                    <xdr:colOff>0</xdr:colOff>
                    <xdr:row>3840</xdr:row>
                    <xdr:rowOff>161925</xdr:rowOff>
                  </to>
                </anchor>
              </controlPr>
            </control>
          </mc:Choice>
        </mc:AlternateContent>
        <mc:AlternateContent xmlns:mc="http://schemas.openxmlformats.org/markup-compatibility/2006">
          <mc:Choice Requires="x14">
            <control shapeId="12805" r:id="rId2177" name="Button 1541">
              <controlPr defaultSize="0" autoFill="0" autoLine="0" autoPict="0" macro="[0]!Sheet1.deleteRow">
                <anchor moveWithCells="1" sizeWithCells="1">
                  <from>
                    <xdr:col>6</xdr:col>
                    <xdr:colOff>0</xdr:colOff>
                    <xdr:row>3841</xdr:row>
                    <xdr:rowOff>0</xdr:rowOff>
                  </from>
                  <to>
                    <xdr:col>7</xdr:col>
                    <xdr:colOff>0</xdr:colOff>
                    <xdr:row>3841</xdr:row>
                    <xdr:rowOff>161925</xdr:rowOff>
                  </to>
                </anchor>
              </controlPr>
            </control>
          </mc:Choice>
        </mc:AlternateContent>
        <mc:AlternateContent xmlns:mc="http://schemas.openxmlformats.org/markup-compatibility/2006">
          <mc:Choice Requires="x14">
            <control shapeId="12804" r:id="rId2178" name="Button 1540">
              <controlPr defaultSize="0" autoFill="0" autoLine="0" autoPict="0" macro="[0]!Sheet1.deleteRow">
                <anchor moveWithCells="1" sizeWithCells="1">
                  <from>
                    <xdr:col>6</xdr:col>
                    <xdr:colOff>0</xdr:colOff>
                    <xdr:row>3842</xdr:row>
                    <xdr:rowOff>0</xdr:rowOff>
                  </from>
                  <to>
                    <xdr:col>7</xdr:col>
                    <xdr:colOff>0</xdr:colOff>
                    <xdr:row>3842</xdr:row>
                    <xdr:rowOff>161925</xdr:rowOff>
                  </to>
                </anchor>
              </controlPr>
            </control>
          </mc:Choice>
        </mc:AlternateContent>
        <mc:AlternateContent xmlns:mc="http://schemas.openxmlformats.org/markup-compatibility/2006">
          <mc:Choice Requires="x14">
            <control shapeId="12803" r:id="rId2179" name="Button 1539">
              <controlPr defaultSize="0" autoFill="0" autoLine="0" autoPict="0" macro="[0]!Sheet1.deleteRow">
                <anchor moveWithCells="1" sizeWithCells="1">
                  <from>
                    <xdr:col>6</xdr:col>
                    <xdr:colOff>0</xdr:colOff>
                    <xdr:row>3843</xdr:row>
                    <xdr:rowOff>0</xdr:rowOff>
                  </from>
                  <to>
                    <xdr:col>7</xdr:col>
                    <xdr:colOff>0</xdr:colOff>
                    <xdr:row>3843</xdr:row>
                    <xdr:rowOff>161925</xdr:rowOff>
                  </to>
                </anchor>
              </controlPr>
            </control>
          </mc:Choice>
        </mc:AlternateContent>
        <mc:AlternateContent xmlns:mc="http://schemas.openxmlformats.org/markup-compatibility/2006">
          <mc:Choice Requires="x14">
            <control shapeId="12802" r:id="rId2180" name="Button 1538">
              <controlPr defaultSize="0" autoFill="0" autoLine="0" autoPict="0" macro="[0]!Sheet1.deleteRow">
                <anchor moveWithCells="1" sizeWithCells="1">
                  <from>
                    <xdr:col>6</xdr:col>
                    <xdr:colOff>0</xdr:colOff>
                    <xdr:row>3844</xdr:row>
                    <xdr:rowOff>0</xdr:rowOff>
                  </from>
                  <to>
                    <xdr:col>7</xdr:col>
                    <xdr:colOff>0</xdr:colOff>
                    <xdr:row>3844</xdr:row>
                    <xdr:rowOff>161925</xdr:rowOff>
                  </to>
                </anchor>
              </controlPr>
            </control>
          </mc:Choice>
        </mc:AlternateContent>
        <mc:AlternateContent xmlns:mc="http://schemas.openxmlformats.org/markup-compatibility/2006">
          <mc:Choice Requires="x14">
            <control shapeId="12801" r:id="rId2181" name="Button 1537">
              <controlPr defaultSize="0" autoFill="0" autoLine="0" autoPict="0" macro="[0]!Sheet1.deleteRow">
                <anchor moveWithCells="1" sizeWithCells="1">
                  <from>
                    <xdr:col>6</xdr:col>
                    <xdr:colOff>0</xdr:colOff>
                    <xdr:row>3845</xdr:row>
                    <xdr:rowOff>0</xdr:rowOff>
                  </from>
                  <to>
                    <xdr:col>7</xdr:col>
                    <xdr:colOff>0</xdr:colOff>
                    <xdr:row>3845</xdr:row>
                    <xdr:rowOff>161925</xdr:rowOff>
                  </to>
                </anchor>
              </controlPr>
            </control>
          </mc:Choice>
        </mc:AlternateContent>
        <mc:AlternateContent xmlns:mc="http://schemas.openxmlformats.org/markup-compatibility/2006">
          <mc:Choice Requires="x14">
            <control shapeId="12800" r:id="rId2182" name="Button 1536">
              <controlPr defaultSize="0" autoFill="0" autoLine="0" autoPict="0" macro="[0]!Sheet1.deleteRow">
                <anchor moveWithCells="1" sizeWithCells="1">
                  <from>
                    <xdr:col>6</xdr:col>
                    <xdr:colOff>0</xdr:colOff>
                    <xdr:row>3846</xdr:row>
                    <xdr:rowOff>0</xdr:rowOff>
                  </from>
                  <to>
                    <xdr:col>7</xdr:col>
                    <xdr:colOff>0</xdr:colOff>
                    <xdr:row>3846</xdr:row>
                    <xdr:rowOff>161925</xdr:rowOff>
                  </to>
                </anchor>
              </controlPr>
            </control>
          </mc:Choice>
        </mc:AlternateContent>
        <mc:AlternateContent xmlns:mc="http://schemas.openxmlformats.org/markup-compatibility/2006">
          <mc:Choice Requires="x14">
            <control shapeId="12799" r:id="rId2183" name="Button 1535">
              <controlPr defaultSize="0" autoFill="0" autoLine="0" autoPict="0" macro="[0]!Sheet1.deleteProcedure">
                <anchor moveWithCells="1" sizeWithCells="1">
                  <from>
                    <xdr:col>6</xdr:col>
                    <xdr:colOff>0</xdr:colOff>
                    <xdr:row>3849</xdr:row>
                    <xdr:rowOff>0</xdr:rowOff>
                  </from>
                  <to>
                    <xdr:col>7</xdr:col>
                    <xdr:colOff>0</xdr:colOff>
                    <xdr:row>3850</xdr:row>
                    <xdr:rowOff>0</xdr:rowOff>
                  </to>
                </anchor>
              </controlPr>
            </control>
          </mc:Choice>
        </mc:AlternateContent>
        <mc:AlternateContent xmlns:mc="http://schemas.openxmlformats.org/markup-compatibility/2006">
          <mc:Choice Requires="x14">
            <control shapeId="12798" r:id="rId2184" name="Button 1534">
              <controlPr defaultSize="0" autoFill="0" autoLine="0" autoPict="0" macro="[0]!Sheet1.InsertNewTableRow">
                <anchor moveWithCells="1" sizeWithCells="1">
                  <from>
                    <xdr:col>6</xdr:col>
                    <xdr:colOff>0</xdr:colOff>
                    <xdr:row>3856</xdr:row>
                    <xdr:rowOff>0</xdr:rowOff>
                  </from>
                  <to>
                    <xdr:col>7</xdr:col>
                    <xdr:colOff>0</xdr:colOff>
                    <xdr:row>3856</xdr:row>
                    <xdr:rowOff>38100</xdr:rowOff>
                  </to>
                </anchor>
              </controlPr>
            </control>
          </mc:Choice>
        </mc:AlternateContent>
        <mc:AlternateContent xmlns:mc="http://schemas.openxmlformats.org/markup-compatibility/2006">
          <mc:Choice Requires="x14">
            <control shapeId="12797" r:id="rId2185" name="Button 1533">
              <controlPr defaultSize="0" autoFill="0" autoLine="0" autoPict="0" macro="[0]!Sheet1.deleteRow">
                <anchor moveWithCells="1" sizeWithCells="1">
                  <from>
                    <xdr:col>6</xdr:col>
                    <xdr:colOff>0</xdr:colOff>
                    <xdr:row>3857</xdr:row>
                    <xdr:rowOff>0</xdr:rowOff>
                  </from>
                  <to>
                    <xdr:col>7</xdr:col>
                    <xdr:colOff>0</xdr:colOff>
                    <xdr:row>3857</xdr:row>
                    <xdr:rowOff>161925</xdr:rowOff>
                  </to>
                </anchor>
              </controlPr>
            </control>
          </mc:Choice>
        </mc:AlternateContent>
        <mc:AlternateContent xmlns:mc="http://schemas.openxmlformats.org/markup-compatibility/2006">
          <mc:Choice Requires="x14">
            <control shapeId="12796" r:id="rId2186" name="Button 1532">
              <controlPr defaultSize="0" autoFill="0" autoLine="0" autoPict="0" macro="[0]!Sheet1.deleteProcedure">
                <anchor moveWithCells="1" sizeWithCells="1">
                  <from>
                    <xdr:col>6</xdr:col>
                    <xdr:colOff>0</xdr:colOff>
                    <xdr:row>3860</xdr:row>
                    <xdr:rowOff>0</xdr:rowOff>
                  </from>
                  <to>
                    <xdr:col>7</xdr:col>
                    <xdr:colOff>0</xdr:colOff>
                    <xdr:row>3861</xdr:row>
                    <xdr:rowOff>0</xdr:rowOff>
                  </to>
                </anchor>
              </controlPr>
            </control>
          </mc:Choice>
        </mc:AlternateContent>
        <mc:AlternateContent xmlns:mc="http://schemas.openxmlformats.org/markup-compatibility/2006">
          <mc:Choice Requires="x14">
            <control shapeId="12795" r:id="rId2187" name="Button 1531">
              <controlPr defaultSize="0" autoFill="0" autoLine="0" autoPict="0" macro="[0]!Sheet1.InsertNewTableRow">
                <anchor moveWithCells="1" sizeWithCells="1">
                  <from>
                    <xdr:col>6</xdr:col>
                    <xdr:colOff>0</xdr:colOff>
                    <xdr:row>3867</xdr:row>
                    <xdr:rowOff>0</xdr:rowOff>
                  </from>
                  <to>
                    <xdr:col>7</xdr:col>
                    <xdr:colOff>0</xdr:colOff>
                    <xdr:row>3867</xdr:row>
                    <xdr:rowOff>38100</xdr:rowOff>
                  </to>
                </anchor>
              </controlPr>
            </control>
          </mc:Choice>
        </mc:AlternateContent>
        <mc:AlternateContent xmlns:mc="http://schemas.openxmlformats.org/markup-compatibility/2006">
          <mc:Choice Requires="x14">
            <control shapeId="12794" r:id="rId2188" name="Button 1530">
              <controlPr defaultSize="0" autoFill="0" autoLine="0" autoPict="0" macro="[0]!Sheet1.deleteRow">
                <anchor moveWithCells="1" sizeWithCells="1">
                  <from>
                    <xdr:col>6</xdr:col>
                    <xdr:colOff>0</xdr:colOff>
                    <xdr:row>3868</xdr:row>
                    <xdr:rowOff>0</xdr:rowOff>
                  </from>
                  <to>
                    <xdr:col>7</xdr:col>
                    <xdr:colOff>0</xdr:colOff>
                    <xdr:row>3868</xdr:row>
                    <xdr:rowOff>161925</xdr:rowOff>
                  </to>
                </anchor>
              </controlPr>
            </control>
          </mc:Choice>
        </mc:AlternateContent>
        <mc:AlternateContent xmlns:mc="http://schemas.openxmlformats.org/markup-compatibility/2006">
          <mc:Choice Requires="x14">
            <control shapeId="12793" r:id="rId2189" name="Button 1529">
              <controlPr defaultSize="0" autoFill="0" autoLine="0" autoPict="0" macro="[0]!Sheet1.deleteRow">
                <anchor moveWithCells="1" sizeWithCells="1">
                  <from>
                    <xdr:col>6</xdr:col>
                    <xdr:colOff>0</xdr:colOff>
                    <xdr:row>3869</xdr:row>
                    <xdr:rowOff>0</xdr:rowOff>
                  </from>
                  <to>
                    <xdr:col>7</xdr:col>
                    <xdr:colOff>0</xdr:colOff>
                    <xdr:row>3869</xdr:row>
                    <xdr:rowOff>161925</xdr:rowOff>
                  </to>
                </anchor>
              </controlPr>
            </control>
          </mc:Choice>
        </mc:AlternateContent>
        <mc:AlternateContent xmlns:mc="http://schemas.openxmlformats.org/markup-compatibility/2006">
          <mc:Choice Requires="x14">
            <control shapeId="12792" r:id="rId2190" name="Button 1528">
              <controlPr defaultSize="0" autoFill="0" autoLine="0" autoPict="0" macro="[0]!Sheet1.deleteRow">
                <anchor moveWithCells="1" sizeWithCells="1">
                  <from>
                    <xdr:col>6</xdr:col>
                    <xdr:colOff>0</xdr:colOff>
                    <xdr:row>3870</xdr:row>
                    <xdr:rowOff>0</xdr:rowOff>
                  </from>
                  <to>
                    <xdr:col>7</xdr:col>
                    <xdr:colOff>0</xdr:colOff>
                    <xdr:row>3870</xdr:row>
                    <xdr:rowOff>161925</xdr:rowOff>
                  </to>
                </anchor>
              </controlPr>
            </control>
          </mc:Choice>
        </mc:AlternateContent>
        <mc:AlternateContent xmlns:mc="http://schemas.openxmlformats.org/markup-compatibility/2006">
          <mc:Choice Requires="x14">
            <control shapeId="12791" r:id="rId2191" name="Button 1527">
              <controlPr defaultSize="0" autoFill="0" autoLine="0" autoPict="0" macro="[0]!Sheet1.deleteRow">
                <anchor moveWithCells="1" sizeWithCells="1">
                  <from>
                    <xdr:col>6</xdr:col>
                    <xdr:colOff>0</xdr:colOff>
                    <xdr:row>3871</xdr:row>
                    <xdr:rowOff>0</xdr:rowOff>
                  </from>
                  <to>
                    <xdr:col>7</xdr:col>
                    <xdr:colOff>0</xdr:colOff>
                    <xdr:row>3871</xdr:row>
                    <xdr:rowOff>161925</xdr:rowOff>
                  </to>
                </anchor>
              </controlPr>
            </control>
          </mc:Choice>
        </mc:AlternateContent>
        <mc:AlternateContent xmlns:mc="http://schemas.openxmlformats.org/markup-compatibility/2006">
          <mc:Choice Requires="x14">
            <control shapeId="12790" r:id="rId2192" name="Button 1526">
              <controlPr defaultSize="0" autoFill="0" autoLine="0" autoPict="0" macro="[0]!Sheet1.deleteRow">
                <anchor moveWithCells="1" sizeWithCells="1">
                  <from>
                    <xdr:col>6</xdr:col>
                    <xdr:colOff>0</xdr:colOff>
                    <xdr:row>3872</xdr:row>
                    <xdr:rowOff>0</xdr:rowOff>
                  </from>
                  <to>
                    <xdr:col>7</xdr:col>
                    <xdr:colOff>0</xdr:colOff>
                    <xdr:row>3872</xdr:row>
                    <xdr:rowOff>161925</xdr:rowOff>
                  </to>
                </anchor>
              </controlPr>
            </control>
          </mc:Choice>
        </mc:AlternateContent>
        <mc:AlternateContent xmlns:mc="http://schemas.openxmlformats.org/markup-compatibility/2006">
          <mc:Choice Requires="x14">
            <control shapeId="12789" r:id="rId2193" name="Button 1525">
              <controlPr defaultSize="0" autoFill="0" autoLine="0" autoPict="0" macro="[0]!Sheet1.deleteRow">
                <anchor moveWithCells="1" sizeWithCells="1">
                  <from>
                    <xdr:col>6</xdr:col>
                    <xdr:colOff>0</xdr:colOff>
                    <xdr:row>3873</xdr:row>
                    <xdr:rowOff>0</xdr:rowOff>
                  </from>
                  <to>
                    <xdr:col>7</xdr:col>
                    <xdr:colOff>0</xdr:colOff>
                    <xdr:row>3873</xdr:row>
                    <xdr:rowOff>161925</xdr:rowOff>
                  </to>
                </anchor>
              </controlPr>
            </control>
          </mc:Choice>
        </mc:AlternateContent>
        <mc:AlternateContent xmlns:mc="http://schemas.openxmlformats.org/markup-compatibility/2006">
          <mc:Choice Requires="x14">
            <control shapeId="12788" r:id="rId2194" name="Button 1524">
              <controlPr defaultSize="0" autoFill="0" autoLine="0" autoPict="0" macro="[0]!Sheet1.deleteRow">
                <anchor moveWithCells="1" sizeWithCells="1">
                  <from>
                    <xdr:col>6</xdr:col>
                    <xdr:colOff>0</xdr:colOff>
                    <xdr:row>3874</xdr:row>
                    <xdr:rowOff>0</xdr:rowOff>
                  </from>
                  <to>
                    <xdr:col>7</xdr:col>
                    <xdr:colOff>0</xdr:colOff>
                    <xdr:row>3874</xdr:row>
                    <xdr:rowOff>161925</xdr:rowOff>
                  </to>
                </anchor>
              </controlPr>
            </control>
          </mc:Choice>
        </mc:AlternateContent>
        <mc:AlternateContent xmlns:mc="http://schemas.openxmlformats.org/markup-compatibility/2006">
          <mc:Choice Requires="x14">
            <control shapeId="12787" r:id="rId2195" name="Button 1523">
              <controlPr defaultSize="0" autoFill="0" autoLine="0" autoPict="0" macro="[0]!Sheet1.deleteRow">
                <anchor moveWithCells="1" sizeWithCells="1">
                  <from>
                    <xdr:col>6</xdr:col>
                    <xdr:colOff>0</xdr:colOff>
                    <xdr:row>3875</xdr:row>
                    <xdr:rowOff>0</xdr:rowOff>
                  </from>
                  <to>
                    <xdr:col>7</xdr:col>
                    <xdr:colOff>0</xdr:colOff>
                    <xdr:row>3875</xdr:row>
                    <xdr:rowOff>161925</xdr:rowOff>
                  </to>
                </anchor>
              </controlPr>
            </control>
          </mc:Choice>
        </mc:AlternateContent>
        <mc:AlternateContent xmlns:mc="http://schemas.openxmlformats.org/markup-compatibility/2006">
          <mc:Choice Requires="x14">
            <control shapeId="12786" r:id="rId2196" name="Button 1522">
              <controlPr defaultSize="0" autoFill="0" autoLine="0" autoPict="0" macro="[0]!Sheet1.deleteProcedure">
                <anchor moveWithCells="1" sizeWithCells="1">
                  <from>
                    <xdr:col>6</xdr:col>
                    <xdr:colOff>0</xdr:colOff>
                    <xdr:row>3878</xdr:row>
                    <xdr:rowOff>0</xdr:rowOff>
                  </from>
                  <to>
                    <xdr:col>7</xdr:col>
                    <xdr:colOff>0</xdr:colOff>
                    <xdr:row>3879</xdr:row>
                    <xdr:rowOff>0</xdr:rowOff>
                  </to>
                </anchor>
              </controlPr>
            </control>
          </mc:Choice>
        </mc:AlternateContent>
        <mc:AlternateContent xmlns:mc="http://schemas.openxmlformats.org/markup-compatibility/2006">
          <mc:Choice Requires="x14">
            <control shapeId="12785" r:id="rId2197" name="Button 1521">
              <controlPr defaultSize="0" autoFill="0" autoLine="0" autoPict="0" macro="[0]!Sheet1.InsertNewTableRow">
                <anchor moveWithCells="1" sizeWithCells="1">
                  <from>
                    <xdr:col>6</xdr:col>
                    <xdr:colOff>0</xdr:colOff>
                    <xdr:row>3885</xdr:row>
                    <xdr:rowOff>0</xdr:rowOff>
                  </from>
                  <to>
                    <xdr:col>7</xdr:col>
                    <xdr:colOff>0</xdr:colOff>
                    <xdr:row>3885</xdr:row>
                    <xdr:rowOff>38100</xdr:rowOff>
                  </to>
                </anchor>
              </controlPr>
            </control>
          </mc:Choice>
        </mc:AlternateContent>
        <mc:AlternateContent xmlns:mc="http://schemas.openxmlformats.org/markup-compatibility/2006">
          <mc:Choice Requires="x14">
            <control shapeId="12784" r:id="rId2198" name="Button 1520">
              <controlPr defaultSize="0" autoFill="0" autoLine="0" autoPict="0" macro="[0]!Sheet1.deleteRow">
                <anchor moveWithCells="1" sizeWithCells="1">
                  <from>
                    <xdr:col>6</xdr:col>
                    <xdr:colOff>0</xdr:colOff>
                    <xdr:row>3886</xdr:row>
                    <xdr:rowOff>0</xdr:rowOff>
                  </from>
                  <to>
                    <xdr:col>7</xdr:col>
                    <xdr:colOff>0</xdr:colOff>
                    <xdr:row>3886</xdr:row>
                    <xdr:rowOff>161925</xdr:rowOff>
                  </to>
                </anchor>
              </controlPr>
            </control>
          </mc:Choice>
        </mc:AlternateContent>
        <mc:AlternateContent xmlns:mc="http://schemas.openxmlformats.org/markup-compatibility/2006">
          <mc:Choice Requires="x14">
            <control shapeId="12783" r:id="rId2199" name="Button 1519">
              <controlPr defaultSize="0" autoFill="0" autoLine="0" autoPict="0" macro="[0]!Sheet1.deleteProcedure">
                <anchor moveWithCells="1" sizeWithCells="1">
                  <from>
                    <xdr:col>6</xdr:col>
                    <xdr:colOff>0</xdr:colOff>
                    <xdr:row>3889</xdr:row>
                    <xdr:rowOff>0</xdr:rowOff>
                  </from>
                  <to>
                    <xdr:col>7</xdr:col>
                    <xdr:colOff>0</xdr:colOff>
                    <xdr:row>3890</xdr:row>
                    <xdr:rowOff>0</xdr:rowOff>
                  </to>
                </anchor>
              </controlPr>
            </control>
          </mc:Choice>
        </mc:AlternateContent>
        <mc:AlternateContent xmlns:mc="http://schemas.openxmlformats.org/markup-compatibility/2006">
          <mc:Choice Requires="x14">
            <control shapeId="12782" r:id="rId2200" name="Button 1518">
              <controlPr defaultSize="0" autoFill="0" autoLine="0" autoPict="0" macro="[0]!Sheet1.InsertNewTableRow">
                <anchor moveWithCells="1" sizeWithCells="1">
                  <from>
                    <xdr:col>6</xdr:col>
                    <xdr:colOff>0</xdr:colOff>
                    <xdr:row>3896</xdr:row>
                    <xdr:rowOff>0</xdr:rowOff>
                  </from>
                  <to>
                    <xdr:col>7</xdr:col>
                    <xdr:colOff>0</xdr:colOff>
                    <xdr:row>3896</xdr:row>
                    <xdr:rowOff>38100</xdr:rowOff>
                  </to>
                </anchor>
              </controlPr>
            </control>
          </mc:Choice>
        </mc:AlternateContent>
        <mc:AlternateContent xmlns:mc="http://schemas.openxmlformats.org/markup-compatibility/2006">
          <mc:Choice Requires="x14">
            <control shapeId="12781" r:id="rId2201" name="Button 1517">
              <controlPr defaultSize="0" autoFill="0" autoLine="0" autoPict="0" macro="[0]!Sheet1.deleteRow">
                <anchor moveWithCells="1" sizeWithCells="1">
                  <from>
                    <xdr:col>6</xdr:col>
                    <xdr:colOff>0</xdr:colOff>
                    <xdr:row>3897</xdr:row>
                    <xdr:rowOff>0</xdr:rowOff>
                  </from>
                  <to>
                    <xdr:col>7</xdr:col>
                    <xdr:colOff>0</xdr:colOff>
                    <xdr:row>3897</xdr:row>
                    <xdr:rowOff>161925</xdr:rowOff>
                  </to>
                </anchor>
              </controlPr>
            </control>
          </mc:Choice>
        </mc:AlternateContent>
        <mc:AlternateContent xmlns:mc="http://schemas.openxmlformats.org/markup-compatibility/2006">
          <mc:Choice Requires="x14">
            <control shapeId="12780" r:id="rId2202" name="Button 1516">
              <controlPr defaultSize="0" autoFill="0" autoLine="0" autoPict="0" macro="[0]!Sheet1.deleteRow">
                <anchor moveWithCells="1" sizeWithCells="1">
                  <from>
                    <xdr:col>6</xdr:col>
                    <xdr:colOff>0</xdr:colOff>
                    <xdr:row>3898</xdr:row>
                    <xdr:rowOff>0</xdr:rowOff>
                  </from>
                  <to>
                    <xdr:col>7</xdr:col>
                    <xdr:colOff>0</xdr:colOff>
                    <xdr:row>3898</xdr:row>
                    <xdr:rowOff>161925</xdr:rowOff>
                  </to>
                </anchor>
              </controlPr>
            </control>
          </mc:Choice>
        </mc:AlternateContent>
        <mc:AlternateContent xmlns:mc="http://schemas.openxmlformats.org/markup-compatibility/2006">
          <mc:Choice Requires="x14">
            <control shapeId="12779" r:id="rId2203" name="Button 1515">
              <controlPr defaultSize="0" autoFill="0" autoLine="0" autoPict="0" macro="[0]!Sheet1.deleteRow">
                <anchor moveWithCells="1" sizeWithCells="1">
                  <from>
                    <xdr:col>6</xdr:col>
                    <xdr:colOff>0</xdr:colOff>
                    <xdr:row>3899</xdr:row>
                    <xdr:rowOff>0</xdr:rowOff>
                  </from>
                  <to>
                    <xdr:col>7</xdr:col>
                    <xdr:colOff>0</xdr:colOff>
                    <xdr:row>3899</xdr:row>
                    <xdr:rowOff>161925</xdr:rowOff>
                  </to>
                </anchor>
              </controlPr>
            </control>
          </mc:Choice>
        </mc:AlternateContent>
        <mc:AlternateContent xmlns:mc="http://schemas.openxmlformats.org/markup-compatibility/2006">
          <mc:Choice Requires="x14">
            <control shapeId="12778" r:id="rId2204" name="Button 1514">
              <controlPr defaultSize="0" autoFill="0" autoLine="0" autoPict="0" macro="[0]!Sheet1.deleteRow">
                <anchor moveWithCells="1" sizeWithCells="1">
                  <from>
                    <xdr:col>6</xdr:col>
                    <xdr:colOff>0</xdr:colOff>
                    <xdr:row>3900</xdr:row>
                    <xdr:rowOff>0</xdr:rowOff>
                  </from>
                  <to>
                    <xdr:col>7</xdr:col>
                    <xdr:colOff>0</xdr:colOff>
                    <xdr:row>3900</xdr:row>
                    <xdr:rowOff>161925</xdr:rowOff>
                  </to>
                </anchor>
              </controlPr>
            </control>
          </mc:Choice>
        </mc:AlternateContent>
        <mc:AlternateContent xmlns:mc="http://schemas.openxmlformats.org/markup-compatibility/2006">
          <mc:Choice Requires="x14">
            <control shapeId="12777" r:id="rId2205" name="Button 1513">
              <controlPr defaultSize="0" autoFill="0" autoLine="0" autoPict="0" macro="[0]!Sheet1.deleteRow">
                <anchor moveWithCells="1" sizeWithCells="1">
                  <from>
                    <xdr:col>6</xdr:col>
                    <xdr:colOff>0</xdr:colOff>
                    <xdr:row>3901</xdr:row>
                    <xdr:rowOff>0</xdr:rowOff>
                  </from>
                  <to>
                    <xdr:col>7</xdr:col>
                    <xdr:colOff>0</xdr:colOff>
                    <xdr:row>3901</xdr:row>
                    <xdr:rowOff>161925</xdr:rowOff>
                  </to>
                </anchor>
              </controlPr>
            </control>
          </mc:Choice>
        </mc:AlternateContent>
        <mc:AlternateContent xmlns:mc="http://schemas.openxmlformats.org/markup-compatibility/2006">
          <mc:Choice Requires="x14">
            <control shapeId="12776" r:id="rId2206" name="Button 1512">
              <controlPr defaultSize="0" autoFill="0" autoLine="0" autoPict="0" macro="[0]!Sheet1.deleteRow">
                <anchor moveWithCells="1" sizeWithCells="1">
                  <from>
                    <xdr:col>6</xdr:col>
                    <xdr:colOff>0</xdr:colOff>
                    <xdr:row>3902</xdr:row>
                    <xdr:rowOff>0</xdr:rowOff>
                  </from>
                  <to>
                    <xdr:col>7</xdr:col>
                    <xdr:colOff>0</xdr:colOff>
                    <xdr:row>3902</xdr:row>
                    <xdr:rowOff>161925</xdr:rowOff>
                  </to>
                </anchor>
              </controlPr>
            </control>
          </mc:Choice>
        </mc:AlternateContent>
        <mc:AlternateContent xmlns:mc="http://schemas.openxmlformats.org/markup-compatibility/2006">
          <mc:Choice Requires="x14">
            <control shapeId="12775" r:id="rId2207" name="Button 1511">
              <controlPr defaultSize="0" autoFill="0" autoLine="0" autoPict="0" macro="[0]!Sheet1.deleteRow">
                <anchor moveWithCells="1" sizeWithCells="1">
                  <from>
                    <xdr:col>6</xdr:col>
                    <xdr:colOff>0</xdr:colOff>
                    <xdr:row>3903</xdr:row>
                    <xdr:rowOff>0</xdr:rowOff>
                  </from>
                  <to>
                    <xdr:col>7</xdr:col>
                    <xdr:colOff>0</xdr:colOff>
                    <xdr:row>3903</xdr:row>
                    <xdr:rowOff>161925</xdr:rowOff>
                  </to>
                </anchor>
              </controlPr>
            </control>
          </mc:Choice>
        </mc:AlternateContent>
        <mc:AlternateContent xmlns:mc="http://schemas.openxmlformats.org/markup-compatibility/2006">
          <mc:Choice Requires="x14">
            <control shapeId="12774" r:id="rId2208" name="Button 1510">
              <controlPr defaultSize="0" autoFill="0" autoLine="0" autoPict="0" macro="[0]!Sheet1.deleteRow">
                <anchor moveWithCells="1" sizeWithCells="1">
                  <from>
                    <xdr:col>6</xdr:col>
                    <xdr:colOff>0</xdr:colOff>
                    <xdr:row>3904</xdr:row>
                    <xdr:rowOff>0</xdr:rowOff>
                  </from>
                  <to>
                    <xdr:col>7</xdr:col>
                    <xdr:colOff>0</xdr:colOff>
                    <xdr:row>3904</xdr:row>
                    <xdr:rowOff>161925</xdr:rowOff>
                  </to>
                </anchor>
              </controlPr>
            </control>
          </mc:Choice>
        </mc:AlternateContent>
        <mc:AlternateContent xmlns:mc="http://schemas.openxmlformats.org/markup-compatibility/2006">
          <mc:Choice Requires="x14">
            <control shapeId="12773" r:id="rId2209" name="Button 1509">
              <controlPr defaultSize="0" autoFill="0" autoLine="0" autoPict="0" macro="[0]!Sheet1.deleteRow">
                <anchor moveWithCells="1" sizeWithCells="1">
                  <from>
                    <xdr:col>6</xdr:col>
                    <xdr:colOff>0</xdr:colOff>
                    <xdr:row>3905</xdr:row>
                    <xdr:rowOff>0</xdr:rowOff>
                  </from>
                  <to>
                    <xdr:col>7</xdr:col>
                    <xdr:colOff>0</xdr:colOff>
                    <xdr:row>3905</xdr:row>
                    <xdr:rowOff>161925</xdr:rowOff>
                  </to>
                </anchor>
              </controlPr>
            </control>
          </mc:Choice>
        </mc:AlternateContent>
        <mc:AlternateContent xmlns:mc="http://schemas.openxmlformats.org/markup-compatibility/2006">
          <mc:Choice Requires="x14">
            <control shapeId="12772" r:id="rId2210" name="Button 1508">
              <controlPr defaultSize="0" autoFill="0" autoLine="0" autoPict="0" macro="[0]!Sheet1.deleteRow">
                <anchor moveWithCells="1" sizeWithCells="1">
                  <from>
                    <xdr:col>6</xdr:col>
                    <xdr:colOff>0</xdr:colOff>
                    <xdr:row>3906</xdr:row>
                    <xdr:rowOff>0</xdr:rowOff>
                  </from>
                  <to>
                    <xdr:col>7</xdr:col>
                    <xdr:colOff>0</xdr:colOff>
                    <xdr:row>3906</xdr:row>
                    <xdr:rowOff>161925</xdr:rowOff>
                  </to>
                </anchor>
              </controlPr>
            </control>
          </mc:Choice>
        </mc:AlternateContent>
        <mc:AlternateContent xmlns:mc="http://schemas.openxmlformats.org/markup-compatibility/2006">
          <mc:Choice Requires="x14">
            <control shapeId="12771" r:id="rId2211" name="Button 1507">
              <controlPr defaultSize="0" autoFill="0" autoLine="0" autoPict="0" macro="[0]!Sheet1.deleteRow">
                <anchor moveWithCells="1" sizeWithCells="1">
                  <from>
                    <xdr:col>6</xdr:col>
                    <xdr:colOff>0</xdr:colOff>
                    <xdr:row>3907</xdr:row>
                    <xdr:rowOff>0</xdr:rowOff>
                  </from>
                  <to>
                    <xdr:col>7</xdr:col>
                    <xdr:colOff>0</xdr:colOff>
                    <xdr:row>3907</xdr:row>
                    <xdr:rowOff>161925</xdr:rowOff>
                  </to>
                </anchor>
              </controlPr>
            </control>
          </mc:Choice>
        </mc:AlternateContent>
        <mc:AlternateContent xmlns:mc="http://schemas.openxmlformats.org/markup-compatibility/2006">
          <mc:Choice Requires="x14">
            <control shapeId="12770" r:id="rId2212" name="Button 1506">
              <controlPr defaultSize="0" autoFill="0" autoLine="0" autoPict="0" macro="[0]!Sheet1.deleteRow">
                <anchor moveWithCells="1" sizeWithCells="1">
                  <from>
                    <xdr:col>6</xdr:col>
                    <xdr:colOff>0</xdr:colOff>
                    <xdr:row>3908</xdr:row>
                    <xdr:rowOff>0</xdr:rowOff>
                  </from>
                  <to>
                    <xdr:col>7</xdr:col>
                    <xdr:colOff>0</xdr:colOff>
                    <xdr:row>3908</xdr:row>
                    <xdr:rowOff>161925</xdr:rowOff>
                  </to>
                </anchor>
              </controlPr>
            </control>
          </mc:Choice>
        </mc:AlternateContent>
        <mc:AlternateContent xmlns:mc="http://schemas.openxmlformats.org/markup-compatibility/2006">
          <mc:Choice Requires="x14">
            <control shapeId="12769" r:id="rId2213" name="Button 1505">
              <controlPr defaultSize="0" autoFill="0" autoLine="0" autoPict="0" macro="[0]!Sheet1.deleteRow">
                <anchor moveWithCells="1" sizeWithCells="1">
                  <from>
                    <xdr:col>6</xdr:col>
                    <xdr:colOff>0</xdr:colOff>
                    <xdr:row>3909</xdr:row>
                    <xdr:rowOff>0</xdr:rowOff>
                  </from>
                  <to>
                    <xdr:col>7</xdr:col>
                    <xdr:colOff>0</xdr:colOff>
                    <xdr:row>3909</xdr:row>
                    <xdr:rowOff>161925</xdr:rowOff>
                  </to>
                </anchor>
              </controlPr>
            </control>
          </mc:Choice>
        </mc:AlternateContent>
        <mc:AlternateContent xmlns:mc="http://schemas.openxmlformats.org/markup-compatibility/2006">
          <mc:Choice Requires="x14">
            <control shapeId="12768" r:id="rId2214" name="Button 1504">
              <controlPr defaultSize="0" autoFill="0" autoLine="0" autoPict="0" macro="[0]!Sheet1.deleteRow">
                <anchor moveWithCells="1" sizeWithCells="1">
                  <from>
                    <xdr:col>6</xdr:col>
                    <xdr:colOff>0</xdr:colOff>
                    <xdr:row>3910</xdr:row>
                    <xdr:rowOff>0</xdr:rowOff>
                  </from>
                  <to>
                    <xdr:col>7</xdr:col>
                    <xdr:colOff>0</xdr:colOff>
                    <xdr:row>3910</xdr:row>
                    <xdr:rowOff>161925</xdr:rowOff>
                  </to>
                </anchor>
              </controlPr>
            </control>
          </mc:Choice>
        </mc:AlternateContent>
        <mc:AlternateContent xmlns:mc="http://schemas.openxmlformats.org/markup-compatibility/2006">
          <mc:Choice Requires="x14">
            <control shapeId="12767" r:id="rId2215" name="Button 1503">
              <controlPr defaultSize="0" autoFill="0" autoLine="0" autoPict="0" macro="[0]!Sheet1.deleteRow">
                <anchor moveWithCells="1" sizeWithCells="1">
                  <from>
                    <xdr:col>6</xdr:col>
                    <xdr:colOff>0</xdr:colOff>
                    <xdr:row>3911</xdr:row>
                    <xdr:rowOff>0</xdr:rowOff>
                  </from>
                  <to>
                    <xdr:col>7</xdr:col>
                    <xdr:colOff>0</xdr:colOff>
                    <xdr:row>3911</xdr:row>
                    <xdr:rowOff>161925</xdr:rowOff>
                  </to>
                </anchor>
              </controlPr>
            </control>
          </mc:Choice>
        </mc:AlternateContent>
        <mc:AlternateContent xmlns:mc="http://schemas.openxmlformats.org/markup-compatibility/2006">
          <mc:Choice Requires="x14">
            <control shapeId="12766" r:id="rId2216" name="Button 1502">
              <controlPr defaultSize="0" autoFill="0" autoLine="0" autoPict="0" macro="[0]!Sheet1.deleteRow">
                <anchor moveWithCells="1" sizeWithCells="1">
                  <from>
                    <xdr:col>6</xdr:col>
                    <xdr:colOff>0</xdr:colOff>
                    <xdr:row>3912</xdr:row>
                    <xdr:rowOff>0</xdr:rowOff>
                  </from>
                  <to>
                    <xdr:col>7</xdr:col>
                    <xdr:colOff>0</xdr:colOff>
                    <xdr:row>3912</xdr:row>
                    <xdr:rowOff>161925</xdr:rowOff>
                  </to>
                </anchor>
              </controlPr>
            </control>
          </mc:Choice>
        </mc:AlternateContent>
        <mc:AlternateContent xmlns:mc="http://schemas.openxmlformats.org/markup-compatibility/2006">
          <mc:Choice Requires="x14">
            <control shapeId="12765" r:id="rId2217" name="Button 1501">
              <controlPr defaultSize="0" autoFill="0" autoLine="0" autoPict="0" macro="[0]!Sheet1.deleteRow">
                <anchor moveWithCells="1" sizeWithCells="1">
                  <from>
                    <xdr:col>6</xdr:col>
                    <xdr:colOff>0</xdr:colOff>
                    <xdr:row>3913</xdr:row>
                    <xdr:rowOff>0</xdr:rowOff>
                  </from>
                  <to>
                    <xdr:col>7</xdr:col>
                    <xdr:colOff>0</xdr:colOff>
                    <xdr:row>3913</xdr:row>
                    <xdr:rowOff>161925</xdr:rowOff>
                  </to>
                </anchor>
              </controlPr>
            </control>
          </mc:Choice>
        </mc:AlternateContent>
        <mc:AlternateContent xmlns:mc="http://schemas.openxmlformats.org/markup-compatibility/2006">
          <mc:Choice Requires="x14">
            <control shapeId="12764" r:id="rId2218" name="Button 1500">
              <controlPr defaultSize="0" autoFill="0" autoLine="0" autoPict="0" macro="[0]!Sheet1.deleteRow">
                <anchor moveWithCells="1" sizeWithCells="1">
                  <from>
                    <xdr:col>6</xdr:col>
                    <xdr:colOff>0</xdr:colOff>
                    <xdr:row>3914</xdr:row>
                    <xdr:rowOff>0</xdr:rowOff>
                  </from>
                  <to>
                    <xdr:col>7</xdr:col>
                    <xdr:colOff>0</xdr:colOff>
                    <xdr:row>3914</xdr:row>
                    <xdr:rowOff>161925</xdr:rowOff>
                  </to>
                </anchor>
              </controlPr>
            </control>
          </mc:Choice>
        </mc:AlternateContent>
        <mc:AlternateContent xmlns:mc="http://schemas.openxmlformats.org/markup-compatibility/2006">
          <mc:Choice Requires="x14">
            <control shapeId="12763" r:id="rId2219" name="Button 1499">
              <controlPr defaultSize="0" autoFill="0" autoLine="0" autoPict="0" macro="[0]!Sheet1.deleteRow">
                <anchor moveWithCells="1" sizeWithCells="1">
                  <from>
                    <xdr:col>6</xdr:col>
                    <xdr:colOff>0</xdr:colOff>
                    <xdr:row>3915</xdr:row>
                    <xdr:rowOff>0</xdr:rowOff>
                  </from>
                  <to>
                    <xdr:col>7</xdr:col>
                    <xdr:colOff>0</xdr:colOff>
                    <xdr:row>3915</xdr:row>
                    <xdr:rowOff>161925</xdr:rowOff>
                  </to>
                </anchor>
              </controlPr>
            </control>
          </mc:Choice>
        </mc:AlternateContent>
        <mc:AlternateContent xmlns:mc="http://schemas.openxmlformats.org/markup-compatibility/2006">
          <mc:Choice Requires="x14">
            <control shapeId="12762" r:id="rId2220" name="Button 1498">
              <controlPr defaultSize="0" autoFill="0" autoLine="0" autoPict="0" macro="[0]!Sheet1.deleteRow">
                <anchor moveWithCells="1" sizeWithCells="1">
                  <from>
                    <xdr:col>6</xdr:col>
                    <xdr:colOff>0</xdr:colOff>
                    <xdr:row>3916</xdr:row>
                    <xdr:rowOff>0</xdr:rowOff>
                  </from>
                  <to>
                    <xdr:col>7</xdr:col>
                    <xdr:colOff>0</xdr:colOff>
                    <xdr:row>3916</xdr:row>
                    <xdr:rowOff>161925</xdr:rowOff>
                  </to>
                </anchor>
              </controlPr>
            </control>
          </mc:Choice>
        </mc:AlternateContent>
        <mc:AlternateContent xmlns:mc="http://schemas.openxmlformats.org/markup-compatibility/2006">
          <mc:Choice Requires="x14">
            <control shapeId="12761" r:id="rId2221" name="Button 1497">
              <controlPr defaultSize="0" autoFill="0" autoLine="0" autoPict="0" macro="[0]!Sheet1.deleteRow">
                <anchor moveWithCells="1" sizeWithCells="1">
                  <from>
                    <xdr:col>6</xdr:col>
                    <xdr:colOff>0</xdr:colOff>
                    <xdr:row>3917</xdr:row>
                    <xdr:rowOff>0</xdr:rowOff>
                  </from>
                  <to>
                    <xdr:col>7</xdr:col>
                    <xdr:colOff>0</xdr:colOff>
                    <xdr:row>3917</xdr:row>
                    <xdr:rowOff>161925</xdr:rowOff>
                  </to>
                </anchor>
              </controlPr>
            </control>
          </mc:Choice>
        </mc:AlternateContent>
        <mc:AlternateContent xmlns:mc="http://schemas.openxmlformats.org/markup-compatibility/2006">
          <mc:Choice Requires="x14">
            <control shapeId="12760" r:id="rId2222" name="Button 1496">
              <controlPr defaultSize="0" autoFill="0" autoLine="0" autoPict="0" macro="[0]!Sheet1.deleteRow">
                <anchor moveWithCells="1" sizeWithCells="1">
                  <from>
                    <xdr:col>6</xdr:col>
                    <xdr:colOff>0</xdr:colOff>
                    <xdr:row>3918</xdr:row>
                    <xdr:rowOff>0</xdr:rowOff>
                  </from>
                  <to>
                    <xdr:col>7</xdr:col>
                    <xdr:colOff>0</xdr:colOff>
                    <xdr:row>3918</xdr:row>
                    <xdr:rowOff>161925</xdr:rowOff>
                  </to>
                </anchor>
              </controlPr>
            </control>
          </mc:Choice>
        </mc:AlternateContent>
        <mc:AlternateContent xmlns:mc="http://schemas.openxmlformats.org/markup-compatibility/2006">
          <mc:Choice Requires="x14">
            <control shapeId="12759" r:id="rId2223" name="Button 1495">
              <controlPr defaultSize="0" autoFill="0" autoLine="0" autoPict="0" macro="[0]!Sheet1.deleteRow">
                <anchor moveWithCells="1" sizeWithCells="1">
                  <from>
                    <xdr:col>6</xdr:col>
                    <xdr:colOff>0</xdr:colOff>
                    <xdr:row>3919</xdr:row>
                    <xdr:rowOff>0</xdr:rowOff>
                  </from>
                  <to>
                    <xdr:col>7</xdr:col>
                    <xdr:colOff>0</xdr:colOff>
                    <xdr:row>3919</xdr:row>
                    <xdr:rowOff>161925</xdr:rowOff>
                  </to>
                </anchor>
              </controlPr>
            </control>
          </mc:Choice>
        </mc:AlternateContent>
        <mc:AlternateContent xmlns:mc="http://schemas.openxmlformats.org/markup-compatibility/2006">
          <mc:Choice Requires="x14">
            <control shapeId="12758" r:id="rId2224" name="Button 1494">
              <controlPr defaultSize="0" autoFill="0" autoLine="0" autoPict="0" macro="[0]!Sheet1.deleteRow">
                <anchor moveWithCells="1" sizeWithCells="1">
                  <from>
                    <xdr:col>6</xdr:col>
                    <xdr:colOff>0</xdr:colOff>
                    <xdr:row>3920</xdr:row>
                    <xdr:rowOff>0</xdr:rowOff>
                  </from>
                  <to>
                    <xdr:col>7</xdr:col>
                    <xdr:colOff>0</xdr:colOff>
                    <xdr:row>3920</xdr:row>
                    <xdr:rowOff>161925</xdr:rowOff>
                  </to>
                </anchor>
              </controlPr>
            </control>
          </mc:Choice>
        </mc:AlternateContent>
        <mc:AlternateContent xmlns:mc="http://schemas.openxmlformats.org/markup-compatibility/2006">
          <mc:Choice Requires="x14">
            <control shapeId="12757" r:id="rId2225" name="Button 1493">
              <controlPr defaultSize="0" autoFill="0" autoLine="0" autoPict="0" macro="[0]!Sheet1.deleteRow">
                <anchor moveWithCells="1" sizeWithCells="1">
                  <from>
                    <xdr:col>6</xdr:col>
                    <xdr:colOff>0</xdr:colOff>
                    <xdr:row>3921</xdr:row>
                    <xdr:rowOff>0</xdr:rowOff>
                  </from>
                  <to>
                    <xdr:col>7</xdr:col>
                    <xdr:colOff>0</xdr:colOff>
                    <xdr:row>3921</xdr:row>
                    <xdr:rowOff>161925</xdr:rowOff>
                  </to>
                </anchor>
              </controlPr>
            </control>
          </mc:Choice>
        </mc:AlternateContent>
        <mc:AlternateContent xmlns:mc="http://schemas.openxmlformats.org/markup-compatibility/2006">
          <mc:Choice Requires="x14">
            <control shapeId="12756" r:id="rId2226" name="Button 1492">
              <controlPr defaultSize="0" autoFill="0" autoLine="0" autoPict="0" macro="[0]!Sheet1.deleteRow">
                <anchor moveWithCells="1" sizeWithCells="1">
                  <from>
                    <xdr:col>6</xdr:col>
                    <xdr:colOff>0</xdr:colOff>
                    <xdr:row>3922</xdr:row>
                    <xdr:rowOff>0</xdr:rowOff>
                  </from>
                  <to>
                    <xdr:col>7</xdr:col>
                    <xdr:colOff>0</xdr:colOff>
                    <xdr:row>3922</xdr:row>
                    <xdr:rowOff>161925</xdr:rowOff>
                  </to>
                </anchor>
              </controlPr>
            </control>
          </mc:Choice>
        </mc:AlternateContent>
        <mc:AlternateContent xmlns:mc="http://schemas.openxmlformats.org/markup-compatibility/2006">
          <mc:Choice Requires="x14">
            <control shapeId="12755" r:id="rId2227" name="Button 1491">
              <controlPr defaultSize="0" autoFill="0" autoLine="0" autoPict="0" macro="[0]!Sheet1.deleteRow">
                <anchor moveWithCells="1" sizeWithCells="1">
                  <from>
                    <xdr:col>6</xdr:col>
                    <xdr:colOff>0</xdr:colOff>
                    <xdr:row>3923</xdr:row>
                    <xdr:rowOff>0</xdr:rowOff>
                  </from>
                  <to>
                    <xdr:col>7</xdr:col>
                    <xdr:colOff>0</xdr:colOff>
                    <xdr:row>3923</xdr:row>
                    <xdr:rowOff>161925</xdr:rowOff>
                  </to>
                </anchor>
              </controlPr>
            </control>
          </mc:Choice>
        </mc:AlternateContent>
        <mc:AlternateContent xmlns:mc="http://schemas.openxmlformats.org/markup-compatibility/2006">
          <mc:Choice Requires="x14">
            <control shapeId="12754" r:id="rId2228" name="Button 1490">
              <controlPr defaultSize="0" autoFill="0" autoLine="0" autoPict="0" macro="[0]!Sheet1.deleteRow">
                <anchor moveWithCells="1" sizeWithCells="1">
                  <from>
                    <xdr:col>6</xdr:col>
                    <xdr:colOff>0</xdr:colOff>
                    <xdr:row>3924</xdr:row>
                    <xdr:rowOff>0</xdr:rowOff>
                  </from>
                  <to>
                    <xdr:col>7</xdr:col>
                    <xdr:colOff>0</xdr:colOff>
                    <xdr:row>3924</xdr:row>
                    <xdr:rowOff>161925</xdr:rowOff>
                  </to>
                </anchor>
              </controlPr>
            </control>
          </mc:Choice>
        </mc:AlternateContent>
        <mc:AlternateContent xmlns:mc="http://schemas.openxmlformats.org/markup-compatibility/2006">
          <mc:Choice Requires="x14">
            <control shapeId="12753" r:id="rId2229" name="Button 1489">
              <controlPr defaultSize="0" autoFill="0" autoLine="0" autoPict="0" macro="[0]!Sheet1.deleteRow">
                <anchor moveWithCells="1" sizeWithCells="1">
                  <from>
                    <xdr:col>6</xdr:col>
                    <xdr:colOff>0</xdr:colOff>
                    <xdr:row>3925</xdr:row>
                    <xdr:rowOff>0</xdr:rowOff>
                  </from>
                  <to>
                    <xdr:col>7</xdr:col>
                    <xdr:colOff>0</xdr:colOff>
                    <xdr:row>3925</xdr:row>
                    <xdr:rowOff>161925</xdr:rowOff>
                  </to>
                </anchor>
              </controlPr>
            </control>
          </mc:Choice>
        </mc:AlternateContent>
        <mc:AlternateContent xmlns:mc="http://schemas.openxmlformats.org/markup-compatibility/2006">
          <mc:Choice Requires="x14">
            <control shapeId="12752" r:id="rId2230" name="Button 1488">
              <controlPr defaultSize="0" autoFill="0" autoLine="0" autoPict="0" macro="[0]!Sheet1.deleteRow">
                <anchor moveWithCells="1" sizeWithCells="1">
                  <from>
                    <xdr:col>6</xdr:col>
                    <xdr:colOff>0</xdr:colOff>
                    <xdr:row>3926</xdr:row>
                    <xdr:rowOff>0</xdr:rowOff>
                  </from>
                  <to>
                    <xdr:col>7</xdr:col>
                    <xdr:colOff>0</xdr:colOff>
                    <xdr:row>3926</xdr:row>
                    <xdr:rowOff>161925</xdr:rowOff>
                  </to>
                </anchor>
              </controlPr>
            </control>
          </mc:Choice>
        </mc:AlternateContent>
        <mc:AlternateContent xmlns:mc="http://schemas.openxmlformats.org/markup-compatibility/2006">
          <mc:Choice Requires="x14">
            <control shapeId="12751" r:id="rId2231" name="Button 1487">
              <controlPr defaultSize="0" autoFill="0" autoLine="0" autoPict="0" macro="[0]!Sheet1.deleteRow">
                <anchor moveWithCells="1" sizeWithCells="1">
                  <from>
                    <xdr:col>6</xdr:col>
                    <xdr:colOff>0</xdr:colOff>
                    <xdr:row>3927</xdr:row>
                    <xdr:rowOff>0</xdr:rowOff>
                  </from>
                  <to>
                    <xdr:col>7</xdr:col>
                    <xdr:colOff>0</xdr:colOff>
                    <xdr:row>3927</xdr:row>
                    <xdr:rowOff>161925</xdr:rowOff>
                  </to>
                </anchor>
              </controlPr>
            </control>
          </mc:Choice>
        </mc:AlternateContent>
        <mc:AlternateContent xmlns:mc="http://schemas.openxmlformats.org/markup-compatibility/2006">
          <mc:Choice Requires="x14">
            <control shapeId="12750" r:id="rId2232" name="Button 1486">
              <controlPr defaultSize="0" autoFill="0" autoLine="0" autoPict="0" macro="[0]!Sheet1.deleteRow">
                <anchor moveWithCells="1" sizeWithCells="1">
                  <from>
                    <xdr:col>6</xdr:col>
                    <xdr:colOff>0</xdr:colOff>
                    <xdr:row>3928</xdr:row>
                    <xdr:rowOff>0</xdr:rowOff>
                  </from>
                  <to>
                    <xdr:col>7</xdr:col>
                    <xdr:colOff>0</xdr:colOff>
                    <xdr:row>3928</xdr:row>
                    <xdr:rowOff>161925</xdr:rowOff>
                  </to>
                </anchor>
              </controlPr>
            </control>
          </mc:Choice>
        </mc:AlternateContent>
        <mc:AlternateContent xmlns:mc="http://schemas.openxmlformats.org/markup-compatibility/2006">
          <mc:Choice Requires="x14">
            <control shapeId="12749" r:id="rId2233" name="Button 1485">
              <controlPr defaultSize="0" autoFill="0" autoLine="0" autoPict="0" macro="[0]!Sheet1.deleteRow">
                <anchor moveWithCells="1" sizeWithCells="1">
                  <from>
                    <xdr:col>6</xdr:col>
                    <xdr:colOff>0</xdr:colOff>
                    <xdr:row>3929</xdr:row>
                    <xdr:rowOff>0</xdr:rowOff>
                  </from>
                  <to>
                    <xdr:col>7</xdr:col>
                    <xdr:colOff>0</xdr:colOff>
                    <xdr:row>3929</xdr:row>
                    <xdr:rowOff>161925</xdr:rowOff>
                  </to>
                </anchor>
              </controlPr>
            </control>
          </mc:Choice>
        </mc:AlternateContent>
        <mc:AlternateContent xmlns:mc="http://schemas.openxmlformats.org/markup-compatibility/2006">
          <mc:Choice Requires="x14">
            <control shapeId="12748" r:id="rId2234" name="Button 1484">
              <controlPr defaultSize="0" autoFill="0" autoLine="0" autoPict="0" macro="[0]!Sheet1.deleteRow">
                <anchor moveWithCells="1" sizeWithCells="1">
                  <from>
                    <xdr:col>6</xdr:col>
                    <xdr:colOff>0</xdr:colOff>
                    <xdr:row>3930</xdr:row>
                    <xdr:rowOff>0</xdr:rowOff>
                  </from>
                  <to>
                    <xdr:col>7</xdr:col>
                    <xdr:colOff>0</xdr:colOff>
                    <xdr:row>3930</xdr:row>
                    <xdr:rowOff>161925</xdr:rowOff>
                  </to>
                </anchor>
              </controlPr>
            </control>
          </mc:Choice>
        </mc:AlternateContent>
        <mc:AlternateContent xmlns:mc="http://schemas.openxmlformats.org/markup-compatibility/2006">
          <mc:Choice Requires="x14">
            <control shapeId="12747" r:id="rId2235" name="Button 1483">
              <controlPr defaultSize="0" autoFill="0" autoLine="0" autoPict="0" macro="[0]!Sheet1.deleteRow">
                <anchor moveWithCells="1" sizeWithCells="1">
                  <from>
                    <xdr:col>6</xdr:col>
                    <xdr:colOff>0</xdr:colOff>
                    <xdr:row>3931</xdr:row>
                    <xdr:rowOff>0</xdr:rowOff>
                  </from>
                  <to>
                    <xdr:col>7</xdr:col>
                    <xdr:colOff>0</xdr:colOff>
                    <xdr:row>3931</xdr:row>
                    <xdr:rowOff>161925</xdr:rowOff>
                  </to>
                </anchor>
              </controlPr>
            </control>
          </mc:Choice>
        </mc:AlternateContent>
        <mc:AlternateContent xmlns:mc="http://schemas.openxmlformats.org/markup-compatibility/2006">
          <mc:Choice Requires="x14">
            <control shapeId="12746" r:id="rId2236" name="Button 1482">
              <controlPr defaultSize="0" autoFill="0" autoLine="0" autoPict="0" macro="[0]!Sheet1.deleteRow">
                <anchor moveWithCells="1" sizeWithCells="1">
                  <from>
                    <xdr:col>6</xdr:col>
                    <xdr:colOff>0</xdr:colOff>
                    <xdr:row>3932</xdr:row>
                    <xdr:rowOff>0</xdr:rowOff>
                  </from>
                  <to>
                    <xdr:col>7</xdr:col>
                    <xdr:colOff>0</xdr:colOff>
                    <xdr:row>3932</xdr:row>
                    <xdr:rowOff>161925</xdr:rowOff>
                  </to>
                </anchor>
              </controlPr>
            </control>
          </mc:Choice>
        </mc:AlternateContent>
        <mc:AlternateContent xmlns:mc="http://schemas.openxmlformats.org/markup-compatibility/2006">
          <mc:Choice Requires="x14">
            <control shapeId="12745" r:id="rId2237" name="Button 1481">
              <controlPr defaultSize="0" autoFill="0" autoLine="0" autoPict="0" macro="[0]!Sheet1.deleteRow">
                <anchor moveWithCells="1" sizeWithCells="1">
                  <from>
                    <xdr:col>6</xdr:col>
                    <xdr:colOff>0</xdr:colOff>
                    <xdr:row>3933</xdr:row>
                    <xdr:rowOff>0</xdr:rowOff>
                  </from>
                  <to>
                    <xdr:col>7</xdr:col>
                    <xdr:colOff>0</xdr:colOff>
                    <xdr:row>3933</xdr:row>
                    <xdr:rowOff>161925</xdr:rowOff>
                  </to>
                </anchor>
              </controlPr>
            </control>
          </mc:Choice>
        </mc:AlternateContent>
        <mc:AlternateContent xmlns:mc="http://schemas.openxmlformats.org/markup-compatibility/2006">
          <mc:Choice Requires="x14">
            <control shapeId="12744" r:id="rId2238" name="Button 1480">
              <controlPr defaultSize="0" autoFill="0" autoLine="0" autoPict="0" macro="[0]!Sheet1.deleteRow">
                <anchor moveWithCells="1" sizeWithCells="1">
                  <from>
                    <xdr:col>6</xdr:col>
                    <xdr:colOff>0</xdr:colOff>
                    <xdr:row>3934</xdr:row>
                    <xdr:rowOff>0</xdr:rowOff>
                  </from>
                  <to>
                    <xdr:col>7</xdr:col>
                    <xdr:colOff>0</xdr:colOff>
                    <xdr:row>3934</xdr:row>
                    <xdr:rowOff>161925</xdr:rowOff>
                  </to>
                </anchor>
              </controlPr>
            </control>
          </mc:Choice>
        </mc:AlternateContent>
        <mc:AlternateContent xmlns:mc="http://schemas.openxmlformats.org/markup-compatibility/2006">
          <mc:Choice Requires="x14">
            <control shapeId="12743" r:id="rId2239" name="Button 1479">
              <controlPr defaultSize="0" autoFill="0" autoLine="0" autoPict="0" macro="[0]!Sheet1.deleteRow">
                <anchor moveWithCells="1" sizeWithCells="1">
                  <from>
                    <xdr:col>6</xdr:col>
                    <xdr:colOff>0</xdr:colOff>
                    <xdr:row>3935</xdr:row>
                    <xdr:rowOff>0</xdr:rowOff>
                  </from>
                  <to>
                    <xdr:col>7</xdr:col>
                    <xdr:colOff>0</xdr:colOff>
                    <xdr:row>3935</xdr:row>
                    <xdr:rowOff>161925</xdr:rowOff>
                  </to>
                </anchor>
              </controlPr>
            </control>
          </mc:Choice>
        </mc:AlternateContent>
        <mc:AlternateContent xmlns:mc="http://schemas.openxmlformats.org/markup-compatibility/2006">
          <mc:Choice Requires="x14">
            <control shapeId="12742" r:id="rId2240" name="Button 1478">
              <controlPr defaultSize="0" autoFill="0" autoLine="0" autoPict="0" macro="[0]!Sheet1.deleteRow">
                <anchor moveWithCells="1" sizeWithCells="1">
                  <from>
                    <xdr:col>6</xdr:col>
                    <xdr:colOff>0</xdr:colOff>
                    <xdr:row>3936</xdr:row>
                    <xdr:rowOff>0</xdr:rowOff>
                  </from>
                  <to>
                    <xdr:col>7</xdr:col>
                    <xdr:colOff>0</xdr:colOff>
                    <xdr:row>3936</xdr:row>
                    <xdr:rowOff>161925</xdr:rowOff>
                  </to>
                </anchor>
              </controlPr>
            </control>
          </mc:Choice>
        </mc:AlternateContent>
        <mc:AlternateContent xmlns:mc="http://schemas.openxmlformats.org/markup-compatibility/2006">
          <mc:Choice Requires="x14">
            <control shapeId="12741" r:id="rId2241" name="Button 1477">
              <controlPr defaultSize="0" autoFill="0" autoLine="0" autoPict="0" macro="[0]!Sheet1.deleteRow">
                <anchor moveWithCells="1" sizeWithCells="1">
                  <from>
                    <xdr:col>6</xdr:col>
                    <xdr:colOff>0</xdr:colOff>
                    <xdr:row>3937</xdr:row>
                    <xdr:rowOff>0</xdr:rowOff>
                  </from>
                  <to>
                    <xdr:col>7</xdr:col>
                    <xdr:colOff>0</xdr:colOff>
                    <xdr:row>3937</xdr:row>
                    <xdr:rowOff>161925</xdr:rowOff>
                  </to>
                </anchor>
              </controlPr>
            </control>
          </mc:Choice>
        </mc:AlternateContent>
        <mc:AlternateContent xmlns:mc="http://schemas.openxmlformats.org/markup-compatibility/2006">
          <mc:Choice Requires="x14">
            <control shapeId="12740" r:id="rId2242" name="Button 1476">
              <controlPr defaultSize="0" autoFill="0" autoLine="0" autoPict="0" macro="[0]!Sheet1.deleteRow">
                <anchor moveWithCells="1" sizeWithCells="1">
                  <from>
                    <xdr:col>6</xdr:col>
                    <xdr:colOff>0</xdr:colOff>
                    <xdr:row>3938</xdr:row>
                    <xdr:rowOff>0</xdr:rowOff>
                  </from>
                  <to>
                    <xdr:col>7</xdr:col>
                    <xdr:colOff>0</xdr:colOff>
                    <xdr:row>3938</xdr:row>
                    <xdr:rowOff>161925</xdr:rowOff>
                  </to>
                </anchor>
              </controlPr>
            </control>
          </mc:Choice>
        </mc:AlternateContent>
        <mc:AlternateContent xmlns:mc="http://schemas.openxmlformats.org/markup-compatibility/2006">
          <mc:Choice Requires="x14">
            <control shapeId="12739" r:id="rId2243" name="Button 1475">
              <controlPr defaultSize="0" autoFill="0" autoLine="0" autoPict="0" macro="[0]!Sheet1.deleteRow">
                <anchor moveWithCells="1" sizeWithCells="1">
                  <from>
                    <xdr:col>6</xdr:col>
                    <xdr:colOff>0</xdr:colOff>
                    <xdr:row>3939</xdr:row>
                    <xdr:rowOff>0</xdr:rowOff>
                  </from>
                  <to>
                    <xdr:col>7</xdr:col>
                    <xdr:colOff>0</xdr:colOff>
                    <xdr:row>3939</xdr:row>
                    <xdr:rowOff>161925</xdr:rowOff>
                  </to>
                </anchor>
              </controlPr>
            </control>
          </mc:Choice>
        </mc:AlternateContent>
        <mc:AlternateContent xmlns:mc="http://schemas.openxmlformats.org/markup-compatibility/2006">
          <mc:Choice Requires="x14">
            <control shapeId="12738" r:id="rId2244" name="Button 1474">
              <controlPr defaultSize="0" autoFill="0" autoLine="0" autoPict="0" macro="[0]!Sheet1.deleteRow">
                <anchor moveWithCells="1" sizeWithCells="1">
                  <from>
                    <xdr:col>6</xdr:col>
                    <xdr:colOff>0</xdr:colOff>
                    <xdr:row>3940</xdr:row>
                    <xdr:rowOff>0</xdr:rowOff>
                  </from>
                  <to>
                    <xdr:col>7</xdr:col>
                    <xdr:colOff>0</xdr:colOff>
                    <xdr:row>3940</xdr:row>
                    <xdr:rowOff>161925</xdr:rowOff>
                  </to>
                </anchor>
              </controlPr>
            </control>
          </mc:Choice>
        </mc:AlternateContent>
        <mc:AlternateContent xmlns:mc="http://schemas.openxmlformats.org/markup-compatibility/2006">
          <mc:Choice Requires="x14">
            <control shapeId="12737" r:id="rId2245" name="Button 1473">
              <controlPr defaultSize="0" autoFill="0" autoLine="0" autoPict="0" macro="[0]!Sheet1.deleteRow">
                <anchor moveWithCells="1" sizeWithCells="1">
                  <from>
                    <xdr:col>6</xdr:col>
                    <xdr:colOff>0</xdr:colOff>
                    <xdr:row>3941</xdr:row>
                    <xdr:rowOff>0</xdr:rowOff>
                  </from>
                  <to>
                    <xdr:col>7</xdr:col>
                    <xdr:colOff>0</xdr:colOff>
                    <xdr:row>3941</xdr:row>
                    <xdr:rowOff>161925</xdr:rowOff>
                  </to>
                </anchor>
              </controlPr>
            </control>
          </mc:Choice>
        </mc:AlternateContent>
        <mc:AlternateContent xmlns:mc="http://schemas.openxmlformats.org/markup-compatibility/2006">
          <mc:Choice Requires="x14">
            <control shapeId="12736" r:id="rId2246" name="Button 1472">
              <controlPr defaultSize="0" autoFill="0" autoLine="0" autoPict="0" macro="[0]!Sheet1.deleteRow">
                <anchor moveWithCells="1" sizeWithCells="1">
                  <from>
                    <xdr:col>6</xdr:col>
                    <xdr:colOff>0</xdr:colOff>
                    <xdr:row>3942</xdr:row>
                    <xdr:rowOff>0</xdr:rowOff>
                  </from>
                  <to>
                    <xdr:col>7</xdr:col>
                    <xdr:colOff>0</xdr:colOff>
                    <xdr:row>3942</xdr:row>
                    <xdr:rowOff>161925</xdr:rowOff>
                  </to>
                </anchor>
              </controlPr>
            </control>
          </mc:Choice>
        </mc:AlternateContent>
        <mc:AlternateContent xmlns:mc="http://schemas.openxmlformats.org/markup-compatibility/2006">
          <mc:Choice Requires="x14">
            <control shapeId="12735" r:id="rId2247" name="Button 1471">
              <controlPr defaultSize="0" autoFill="0" autoLine="0" autoPict="0" macro="[0]!Sheet1.deleteRow">
                <anchor moveWithCells="1" sizeWithCells="1">
                  <from>
                    <xdr:col>6</xdr:col>
                    <xdr:colOff>0</xdr:colOff>
                    <xdr:row>3943</xdr:row>
                    <xdr:rowOff>0</xdr:rowOff>
                  </from>
                  <to>
                    <xdr:col>7</xdr:col>
                    <xdr:colOff>0</xdr:colOff>
                    <xdr:row>3943</xdr:row>
                    <xdr:rowOff>161925</xdr:rowOff>
                  </to>
                </anchor>
              </controlPr>
            </control>
          </mc:Choice>
        </mc:AlternateContent>
        <mc:AlternateContent xmlns:mc="http://schemas.openxmlformats.org/markup-compatibility/2006">
          <mc:Choice Requires="x14">
            <control shapeId="12734" r:id="rId2248" name="Button 1470">
              <controlPr defaultSize="0" autoFill="0" autoLine="0" autoPict="0" macro="[0]!Sheet1.deleteRow">
                <anchor moveWithCells="1" sizeWithCells="1">
                  <from>
                    <xdr:col>6</xdr:col>
                    <xdr:colOff>0</xdr:colOff>
                    <xdr:row>3944</xdr:row>
                    <xdr:rowOff>0</xdr:rowOff>
                  </from>
                  <to>
                    <xdr:col>7</xdr:col>
                    <xdr:colOff>0</xdr:colOff>
                    <xdr:row>3944</xdr:row>
                    <xdr:rowOff>161925</xdr:rowOff>
                  </to>
                </anchor>
              </controlPr>
            </control>
          </mc:Choice>
        </mc:AlternateContent>
        <mc:AlternateContent xmlns:mc="http://schemas.openxmlformats.org/markup-compatibility/2006">
          <mc:Choice Requires="x14">
            <control shapeId="12733" r:id="rId2249" name="Button 1469">
              <controlPr defaultSize="0" autoFill="0" autoLine="0" autoPict="0" macro="[0]!Sheet1.deleteRow">
                <anchor moveWithCells="1" sizeWithCells="1">
                  <from>
                    <xdr:col>6</xdr:col>
                    <xdr:colOff>0</xdr:colOff>
                    <xdr:row>3945</xdr:row>
                    <xdr:rowOff>0</xdr:rowOff>
                  </from>
                  <to>
                    <xdr:col>7</xdr:col>
                    <xdr:colOff>0</xdr:colOff>
                    <xdr:row>3945</xdr:row>
                    <xdr:rowOff>161925</xdr:rowOff>
                  </to>
                </anchor>
              </controlPr>
            </control>
          </mc:Choice>
        </mc:AlternateContent>
        <mc:AlternateContent xmlns:mc="http://schemas.openxmlformats.org/markup-compatibility/2006">
          <mc:Choice Requires="x14">
            <control shapeId="12732" r:id="rId2250" name="Button 1468">
              <controlPr defaultSize="0" autoFill="0" autoLine="0" autoPict="0" macro="[0]!Sheet1.deleteRow">
                <anchor moveWithCells="1" sizeWithCells="1">
                  <from>
                    <xdr:col>6</xdr:col>
                    <xdr:colOff>0</xdr:colOff>
                    <xdr:row>3946</xdr:row>
                    <xdr:rowOff>0</xdr:rowOff>
                  </from>
                  <to>
                    <xdr:col>7</xdr:col>
                    <xdr:colOff>0</xdr:colOff>
                    <xdr:row>3946</xdr:row>
                    <xdr:rowOff>161925</xdr:rowOff>
                  </to>
                </anchor>
              </controlPr>
            </control>
          </mc:Choice>
        </mc:AlternateContent>
        <mc:AlternateContent xmlns:mc="http://schemas.openxmlformats.org/markup-compatibility/2006">
          <mc:Choice Requires="x14">
            <control shapeId="12731" r:id="rId2251" name="Button 1467">
              <controlPr defaultSize="0" autoFill="0" autoLine="0" autoPict="0" macro="[0]!Sheet1.deleteRow">
                <anchor moveWithCells="1" sizeWithCells="1">
                  <from>
                    <xdr:col>6</xdr:col>
                    <xdr:colOff>0</xdr:colOff>
                    <xdr:row>3947</xdr:row>
                    <xdr:rowOff>0</xdr:rowOff>
                  </from>
                  <to>
                    <xdr:col>7</xdr:col>
                    <xdr:colOff>0</xdr:colOff>
                    <xdr:row>3947</xdr:row>
                    <xdr:rowOff>161925</xdr:rowOff>
                  </to>
                </anchor>
              </controlPr>
            </control>
          </mc:Choice>
        </mc:AlternateContent>
        <mc:AlternateContent xmlns:mc="http://schemas.openxmlformats.org/markup-compatibility/2006">
          <mc:Choice Requires="x14">
            <control shapeId="12730" r:id="rId2252" name="Button 1466">
              <controlPr defaultSize="0" autoFill="0" autoLine="0" autoPict="0" macro="[0]!Sheet1.deleteRow">
                <anchor moveWithCells="1" sizeWithCells="1">
                  <from>
                    <xdr:col>6</xdr:col>
                    <xdr:colOff>0</xdr:colOff>
                    <xdr:row>3948</xdr:row>
                    <xdr:rowOff>0</xdr:rowOff>
                  </from>
                  <to>
                    <xdr:col>7</xdr:col>
                    <xdr:colOff>0</xdr:colOff>
                    <xdr:row>3948</xdr:row>
                    <xdr:rowOff>161925</xdr:rowOff>
                  </to>
                </anchor>
              </controlPr>
            </control>
          </mc:Choice>
        </mc:AlternateContent>
        <mc:AlternateContent xmlns:mc="http://schemas.openxmlformats.org/markup-compatibility/2006">
          <mc:Choice Requires="x14">
            <control shapeId="12729" r:id="rId2253" name="Button 1465">
              <controlPr defaultSize="0" autoFill="0" autoLine="0" autoPict="0" macro="[0]!Sheet1.deleteRow">
                <anchor moveWithCells="1" sizeWithCells="1">
                  <from>
                    <xdr:col>6</xdr:col>
                    <xdr:colOff>0</xdr:colOff>
                    <xdr:row>3949</xdr:row>
                    <xdr:rowOff>0</xdr:rowOff>
                  </from>
                  <to>
                    <xdr:col>7</xdr:col>
                    <xdr:colOff>0</xdr:colOff>
                    <xdr:row>3949</xdr:row>
                    <xdr:rowOff>161925</xdr:rowOff>
                  </to>
                </anchor>
              </controlPr>
            </control>
          </mc:Choice>
        </mc:AlternateContent>
        <mc:AlternateContent xmlns:mc="http://schemas.openxmlformats.org/markup-compatibility/2006">
          <mc:Choice Requires="x14">
            <control shapeId="12728" r:id="rId2254" name="Button 1464">
              <controlPr defaultSize="0" autoFill="0" autoLine="0" autoPict="0" macro="[0]!Sheet1.deleteRow">
                <anchor moveWithCells="1" sizeWithCells="1">
                  <from>
                    <xdr:col>6</xdr:col>
                    <xdr:colOff>0</xdr:colOff>
                    <xdr:row>3950</xdr:row>
                    <xdr:rowOff>0</xdr:rowOff>
                  </from>
                  <to>
                    <xdr:col>7</xdr:col>
                    <xdr:colOff>0</xdr:colOff>
                    <xdr:row>3950</xdr:row>
                    <xdr:rowOff>161925</xdr:rowOff>
                  </to>
                </anchor>
              </controlPr>
            </control>
          </mc:Choice>
        </mc:AlternateContent>
        <mc:AlternateContent xmlns:mc="http://schemas.openxmlformats.org/markup-compatibility/2006">
          <mc:Choice Requires="x14">
            <control shapeId="12727" r:id="rId2255" name="Button 1463">
              <controlPr defaultSize="0" autoFill="0" autoLine="0" autoPict="0" macro="[0]!Sheet1.deleteRow">
                <anchor moveWithCells="1" sizeWithCells="1">
                  <from>
                    <xdr:col>6</xdr:col>
                    <xdr:colOff>0</xdr:colOff>
                    <xdr:row>3951</xdr:row>
                    <xdr:rowOff>0</xdr:rowOff>
                  </from>
                  <to>
                    <xdr:col>7</xdr:col>
                    <xdr:colOff>0</xdr:colOff>
                    <xdr:row>3951</xdr:row>
                    <xdr:rowOff>161925</xdr:rowOff>
                  </to>
                </anchor>
              </controlPr>
            </control>
          </mc:Choice>
        </mc:AlternateContent>
        <mc:AlternateContent xmlns:mc="http://schemas.openxmlformats.org/markup-compatibility/2006">
          <mc:Choice Requires="x14">
            <control shapeId="12726" r:id="rId2256" name="Button 1462">
              <controlPr defaultSize="0" autoFill="0" autoLine="0" autoPict="0" macro="[0]!Sheet1.deleteRow">
                <anchor moveWithCells="1" sizeWithCells="1">
                  <from>
                    <xdr:col>6</xdr:col>
                    <xdr:colOff>0</xdr:colOff>
                    <xdr:row>3952</xdr:row>
                    <xdr:rowOff>0</xdr:rowOff>
                  </from>
                  <to>
                    <xdr:col>7</xdr:col>
                    <xdr:colOff>0</xdr:colOff>
                    <xdr:row>3952</xdr:row>
                    <xdr:rowOff>161925</xdr:rowOff>
                  </to>
                </anchor>
              </controlPr>
            </control>
          </mc:Choice>
        </mc:AlternateContent>
        <mc:AlternateContent xmlns:mc="http://schemas.openxmlformats.org/markup-compatibility/2006">
          <mc:Choice Requires="x14">
            <control shapeId="12725" r:id="rId2257" name="Button 1461">
              <controlPr defaultSize="0" autoFill="0" autoLine="0" autoPict="0" macro="[0]!Sheet1.deleteRow">
                <anchor moveWithCells="1" sizeWithCells="1">
                  <from>
                    <xdr:col>6</xdr:col>
                    <xdr:colOff>0</xdr:colOff>
                    <xdr:row>3953</xdr:row>
                    <xdr:rowOff>0</xdr:rowOff>
                  </from>
                  <to>
                    <xdr:col>7</xdr:col>
                    <xdr:colOff>0</xdr:colOff>
                    <xdr:row>3953</xdr:row>
                    <xdr:rowOff>161925</xdr:rowOff>
                  </to>
                </anchor>
              </controlPr>
            </control>
          </mc:Choice>
        </mc:AlternateContent>
        <mc:AlternateContent xmlns:mc="http://schemas.openxmlformats.org/markup-compatibility/2006">
          <mc:Choice Requires="x14">
            <control shapeId="12724" r:id="rId2258" name="Button 1460">
              <controlPr defaultSize="0" autoFill="0" autoLine="0" autoPict="0" macro="[0]!Sheet1.deleteRow">
                <anchor moveWithCells="1" sizeWithCells="1">
                  <from>
                    <xdr:col>6</xdr:col>
                    <xdr:colOff>0</xdr:colOff>
                    <xdr:row>3954</xdr:row>
                    <xdr:rowOff>0</xdr:rowOff>
                  </from>
                  <to>
                    <xdr:col>7</xdr:col>
                    <xdr:colOff>0</xdr:colOff>
                    <xdr:row>3954</xdr:row>
                    <xdr:rowOff>161925</xdr:rowOff>
                  </to>
                </anchor>
              </controlPr>
            </control>
          </mc:Choice>
        </mc:AlternateContent>
        <mc:AlternateContent xmlns:mc="http://schemas.openxmlformats.org/markup-compatibility/2006">
          <mc:Choice Requires="x14">
            <control shapeId="12723" r:id="rId2259" name="Button 1459">
              <controlPr defaultSize="0" autoFill="0" autoLine="0" autoPict="0" macro="[0]!Sheet1.deleteRow">
                <anchor moveWithCells="1" sizeWithCells="1">
                  <from>
                    <xdr:col>6</xdr:col>
                    <xdr:colOff>0</xdr:colOff>
                    <xdr:row>3955</xdr:row>
                    <xdr:rowOff>0</xdr:rowOff>
                  </from>
                  <to>
                    <xdr:col>7</xdr:col>
                    <xdr:colOff>0</xdr:colOff>
                    <xdr:row>3955</xdr:row>
                    <xdr:rowOff>161925</xdr:rowOff>
                  </to>
                </anchor>
              </controlPr>
            </control>
          </mc:Choice>
        </mc:AlternateContent>
        <mc:AlternateContent xmlns:mc="http://schemas.openxmlformats.org/markup-compatibility/2006">
          <mc:Choice Requires="x14">
            <control shapeId="12722" r:id="rId2260" name="Button 1458">
              <controlPr defaultSize="0" autoFill="0" autoLine="0" autoPict="0" macro="[0]!Sheet1.deleteRow">
                <anchor moveWithCells="1" sizeWithCells="1">
                  <from>
                    <xdr:col>6</xdr:col>
                    <xdr:colOff>0</xdr:colOff>
                    <xdr:row>3956</xdr:row>
                    <xdr:rowOff>0</xdr:rowOff>
                  </from>
                  <to>
                    <xdr:col>7</xdr:col>
                    <xdr:colOff>0</xdr:colOff>
                    <xdr:row>3956</xdr:row>
                    <xdr:rowOff>161925</xdr:rowOff>
                  </to>
                </anchor>
              </controlPr>
            </control>
          </mc:Choice>
        </mc:AlternateContent>
        <mc:AlternateContent xmlns:mc="http://schemas.openxmlformats.org/markup-compatibility/2006">
          <mc:Choice Requires="x14">
            <control shapeId="12721" r:id="rId2261" name="Button 1457">
              <controlPr defaultSize="0" autoFill="0" autoLine="0" autoPict="0" macro="[0]!Sheet1.deleteRow">
                <anchor moveWithCells="1" sizeWithCells="1">
                  <from>
                    <xdr:col>6</xdr:col>
                    <xdr:colOff>0</xdr:colOff>
                    <xdr:row>3957</xdr:row>
                    <xdr:rowOff>0</xdr:rowOff>
                  </from>
                  <to>
                    <xdr:col>7</xdr:col>
                    <xdr:colOff>0</xdr:colOff>
                    <xdr:row>3957</xdr:row>
                    <xdr:rowOff>161925</xdr:rowOff>
                  </to>
                </anchor>
              </controlPr>
            </control>
          </mc:Choice>
        </mc:AlternateContent>
        <mc:AlternateContent xmlns:mc="http://schemas.openxmlformats.org/markup-compatibility/2006">
          <mc:Choice Requires="x14">
            <control shapeId="12720" r:id="rId2262" name="Button 1456">
              <controlPr defaultSize="0" autoFill="0" autoLine="0" autoPict="0" macro="[0]!Sheet1.deleteRow">
                <anchor moveWithCells="1" sizeWithCells="1">
                  <from>
                    <xdr:col>6</xdr:col>
                    <xdr:colOff>0</xdr:colOff>
                    <xdr:row>3958</xdr:row>
                    <xdr:rowOff>0</xdr:rowOff>
                  </from>
                  <to>
                    <xdr:col>7</xdr:col>
                    <xdr:colOff>0</xdr:colOff>
                    <xdr:row>3958</xdr:row>
                    <xdr:rowOff>161925</xdr:rowOff>
                  </to>
                </anchor>
              </controlPr>
            </control>
          </mc:Choice>
        </mc:AlternateContent>
        <mc:AlternateContent xmlns:mc="http://schemas.openxmlformats.org/markup-compatibility/2006">
          <mc:Choice Requires="x14">
            <control shapeId="12719" r:id="rId2263" name="Button 1455">
              <controlPr defaultSize="0" autoFill="0" autoLine="0" autoPict="0" macro="[0]!Sheet1.deleteRow">
                <anchor moveWithCells="1" sizeWithCells="1">
                  <from>
                    <xdr:col>6</xdr:col>
                    <xdr:colOff>0</xdr:colOff>
                    <xdr:row>3959</xdr:row>
                    <xdr:rowOff>0</xdr:rowOff>
                  </from>
                  <to>
                    <xdr:col>7</xdr:col>
                    <xdr:colOff>0</xdr:colOff>
                    <xdr:row>3959</xdr:row>
                    <xdr:rowOff>161925</xdr:rowOff>
                  </to>
                </anchor>
              </controlPr>
            </control>
          </mc:Choice>
        </mc:AlternateContent>
        <mc:AlternateContent xmlns:mc="http://schemas.openxmlformats.org/markup-compatibility/2006">
          <mc:Choice Requires="x14">
            <control shapeId="12718" r:id="rId2264" name="Button 1454">
              <controlPr defaultSize="0" autoFill="0" autoLine="0" autoPict="0" macro="[0]!Sheet1.deleteRow">
                <anchor moveWithCells="1" sizeWithCells="1">
                  <from>
                    <xdr:col>6</xdr:col>
                    <xdr:colOff>0</xdr:colOff>
                    <xdr:row>3960</xdr:row>
                    <xdr:rowOff>0</xdr:rowOff>
                  </from>
                  <to>
                    <xdr:col>7</xdr:col>
                    <xdr:colOff>0</xdr:colOff>
                    <xdr:row>3960</xdr:row>
                    <xdr:rowOff>161925</xdr:rowOff>
                  </to>
                </anchor>
              </controlPr>
            </control>
          </mc:Choice>
        </mc:AlternateContent>
        <mc:AlternateContent xmlns:mc="http://schemas.openxmlformats.org/markup-compatibility/2006">
          <mc:Choice Requires="x14">
            <control shapeId="12717" r:id="rId2265" name="Button 1453">
              <controlPr defaultSize="0" autoFill="0" autoLine="0" autoPict="0" macro="[0]!Sheet1.deleteRow">
                <anchor moveWithCells="1" sizeWithCells="1">
                  <from>
                    <xdr:col>6</xdr:col>
                    <xdr:colOff>0</xdr:colOff>
                    <xdr:row>3961</xdr:row>
                    <xdr:rowOff>0</xdr:rowOff>
                  </from>
                  <to>
                    <xdr:col>7</xdr:col>
                    <xdr:colOff>0</xdr:colOff>
                    <xdr:row>3961</xdr:row>
                    <xdr:rowOff>161925</xdr:rowOff>
                  </to>
                </anchor>
              </controlPr>
            </control>
          </mc:Choice>
        </mc:AlternateContent>
        <mc:AlternateContent xmlns:mc="http://schemas.openxmlformats.org/markup-compatibility/2006">
          <mc:Choice Requires="x14">
            <control shapeId="12716" r:id="rId2266" name="Button 1452">
              <controlPr defaultSize="0" autoFill="0" autoLine="0" autoPict="0" macro="[0]!Sheet1.deleteRow">
                <anchor moveWithCells="1" sizeWithCells="1">
                  <from>
                    <xdr:col>6</xdr:col>
                    <xdr:colOff>0</xdr:colOff>
                    <xdr:row>3962</xdr:row>
                    <xdr:rowOff>0</xdr:rowOff>
                  </from>
                  <to>
                    <xdr:col>7</xdr:col>
                    <xdr:colOff>0</xdr:colOff>
                    <xdr:row>3962</xdr:row>
                    <xdr:rowOff>161925</xdr:rowOff>
                  </to>
                </anchor>
              </controlPr>
            </control>
          </mc:Choice>
        </mc:AlternateContent>
        <mc:AlternateContent xmlns:mc="http://schemas.openxmlformats.org/markup-compatibility/2006">
          <mc:Choice Requires="x14">
            <control shapeId="12715" r:id="rId2267" name="Button 1451">
              <controlPr defaultSize="0" autoFill="0" autoLine="0" autoPict="0" macro="[0]!Sheet1.deleteRow">
                <anchor moveWithCells="1" sizeWithCells="1">
                  <from>
                    <xdr:col>6</xdr:col>
                    <xdr:colOff>0</xdr:colOff>
                    <xdr:row>3963</xdr:row>
                    <xdr:rowOff>0</xdr:rowOff>
                  </from>
                  <to>
                    <xdr:col>7</xdr:col>
                    <xdr:colOff>0</xdr:colOff>
                    <xdr:row>3963</xdr:row>
                    <xdr:rowOff>161925</xdr:rowOff>
                  </to>
                </anchor>
              </controlPr>
            </control>
          </mc:Choice>
        </mc:AlternateContent>
        <mc:AlternateContent xmlns:mc="http://schemas.openxmlformats.org/markup-compatibility/2006">
          <mc:Choice Requires="x14">
            <control shapeId="12714" r:id="rId2268" name="Button 1450">
              <controlPr defaultSize="0" autoFill="0" autoLine="0" autoPict="0" macro="[0]!Sheet1.deleteRow">
                <anchor moveWithCells="1" sizeWithCells="1">
                  <from>
                    <xdr:col>6</xdr:col>
                    <xdr:colOff>0</xdr:colOff>
                    <xdr:row>3964</xdr:row>
                    <xdr:rowOff>0</xdr:rowOff>
                  </from>
                  <to>
                    <xdr:col>7</xdr:col>
                    <xdr:colOff>0</xdr:colOff>
                    <xdr:row>3964</xdr:row>
                    <xdr:rowOff>161925</xdr:rowOff>
                  </to>
                </anchor>
              </controlPr>
            </control>
          </mc:Choice>
        </mc:AlternateContent>
        <mc:AlternateContent xmlns:mc="http://schemas.openxmlformats.org/markup-compatibility/2006">
          <mc:Choice Requires="x14">
            <control shapeId="12713" r:id="rId2269" name="Button 1449">
              <controlPr defaultSize="0" autoFill="0" autoLine="0" autoPict="0" macro="[0]!Sheet1.deleteRow">
                <anchor moveWithCells="1" sizeWithCells="1">
                  <from>
                    <xdr:col>6</xdr:col>
                    <xdr:colOff>0</xdr:colOff>
                    <xdr:row>3965</xdr:row>
                    <xdr:rowOff>0</xdr:rowOff>
                  </from>
                  <to>
                    <xdr:col>7</xdr:col>
                    <xdr:colOff>0</xdr:colOff>
                    <xdr:row>3965</xdr:row>
                    <xdr:rowOff>161925</xdr:rowOff>
                  </to>
                </anchor>
              </controlPr>
            </control>
          </mc:Choice>
        </mc:AlternateContent>
        <mc:AlternateContent xmlns:mc="http://schemas.openxmlformats.org/markup-compatibility/2006">
          <mc:Choice Requires="x14">
            <control shapeId="12712" r:id="rId2270" name="Button 1448">
              <controlPr defaultSize="0" autoFill="0" autoLine="0" autoPict="0" macro="[0]!Sheet1.deleteRow">
                <anchor moveWithCells="1" sizeWithCells="1">
                  <from>
                    <xdr:col>6</xdr:col>
                    <xdr:colOff>0</xdr:colOff>
                    <xdr:row>3966</xdr:row>
                    <xdr:rowOff>0</xdr:rowOff>
                  </from>
                  <to>
                    <xdr:col>7</xdr:col>
                    <xdr:colOff>0</xdr:colOff>
                    <xdr:row>3966</xdr:row>
                    <xdr:rowOff>161925</xdr:rowOff>
                  </to>
                </anchor>
              </controlPr>
            </control>
          </mc:Choice>
        </mc:AlternateContent>
        <mc:AlternateContent xmlns:mc="http://schemas.openxmlformats.org/markup-compatibility/2006">
          <mc:Choice Requires="x14">
            <control shapeId="12711" r:id="rId2271" name="Button 1447">
              <controlPr defaultSize="0" autoFill="0" autoLine="0" autoPict="0" macro="[0]!Sheet1.deleteRow">
                <anchor moveWithCells="1" sizeWithCells="1">
                  <from>
                    <xdr:col>6</xdr:col>
                    <xdr:colOff>0</xdr:colOff>
                    <xdr:row>3967</xdr:row>
                    <xdr:rowOff>0</xdr:rowOff>
                  </from>
                  <to>
                    <xdr:col>7</xdr:col>
                    <xdr:colOff>0</xdr:colOff>
                    <xdr:row>3967</xdr:row>
                    <xdr:rowOff>161925</xdr:rowOff>
                  </to>
                </anchor>
              </controlPr>
            </control>
          </mc:Choice>
        </mc:AlternateContent>
        <mc:AlternateContent xmlns:mc="http://schemas.openxmlformats.org/markup-compatibility/2006">
          <mc:Choice Requires="x14">
            <control shapeId="12710" r:id="rId2272" name="Button 1446">
              <controlPr defaultSize="0" autoFill="0" autoLine="0" autoPict="0" macro="[0]!Sheet1.deleteRow">
                <anchor moveWithCells="1" sizeWithCells="1">
                  <from>
                    <xdr:col>6</xdr:col>
                    <xdr:colOff>0</xdr:colOff>
                    <xdr:row>3968</xdr:row>
                    <xdr:rowOff>0</xdr:rowOff>
                  </from>
                  <to>
                    <xdr:col>7</xdr:col>
                    <xdr:colOff>0</xdr:colOff>
                    <xdr:row>3968</xdr:row>
                    <xdr:rowOff>161925</xdr:rowOff>
                  </to>
                </anchor>
              </controlPr>
            </control>
          </mc:Choice>
        </mc:AlternateContent>
        <mc:AlternateContent xmlns:mc="http://schemas.openxmlformats.org/markup-compatibility/2006">
          <mc:Choice Requires="x14">
            <control shapeId="12709" r:id="rId2273" name="Button 1445">
              <controlPr defaultSize="0" autoFill="0" autoLine="0" autoPict="0" macro="[0]!Sheet1.deleteRow">
                <anchor moveWithCells="1" sizeWithCells="1">
                  <from>
                    <xdr:col>6</xdr:col>
                    <xdr:colOff>0</xdr:colOff>
                    <xdr:row>3969</xdr:row>
                    <xdr:rowOff>0</xdr:rowOff>
                  </from>
                  <to>
                    <xdr:col>7</xdr:col>
                    <xdr:colOff>0</xdr:colOff>
                    <xdr:row>3969</xdr:row>
                    <xdr:rowOff>161925</xdr:rowOff>
                  </to>
                </anchor>
              </controlPr>
            </control>
          </mc:Choice>
        </mc:AlternateContent>
        <mc:AlternateContent xmlns:mc="http://schemas.openxmlformats.org/markup-compatibility/2006">
          <mc:Choice Requires="x14">
            <control shapeId="12708" r:id="rId2274" name="Button 1444">
              <controlPr defaultSize="0" autoFill="0" autoLine="0" autoPict="0" macro="[0]!Sheet1.deleteRow">
                <anchor moveWithCells="1" sizeWithCells="1">
                  <from>
                    <xdr:col>6</xdr:col>
                    <xdr:colOff>0</xdr:colOff>
                    <xdr:row>3970</xdr:row>
                    <xdr:rowOff>0</xdr:rowOff>
                  </from>
                  <to>
                    <xdr:col>7</xdr:col>
                    <xdr:colOff>0</xdr:colOff>
                    <xdr:row>3970</xdr:row>
                    <xdr:rowOff>161925</xdr:rowOff>
                  </to>
                </anchor>
              </controlPr>
            </control>
          </mc:Choice>
        </mc:AlternateContent>
        <mc:AlternateContent xmlns:mc="http://schemas.openxmlformats.org/markup-compatibility/2006">
          <mc:Choice Requires="x14">
            <control shapeId="12707" r:id="rId2275" name="Button 1443">
              <controlPr defaultSize="0" autoFill="0" autoLine="0" autoPict="0" macro="[0]!Sheet1.deleteRow">
                <anchor moveWithCells="1" sizeWithCells="1">
                  <from>
                    <xdr:col>6</xdr:col>
                    <xdr:colOff>0</xdr:colOff>
                    <xdr:row>3971</xdr:row>
                    <xdr:rowOff>0</xdr:rowOff>
                  </from>
                  <to>
                    <xdr:col>7</xdr:col>
                    <xdr:colOff>0</xdr:colOff>
                    <xdr:row>3971</xdr:row>
                    <xdr:rowOff>161925</xdr:rowOff>
                  </to>
                </anchor>
              </controlPr>
            </control>
          </mc:Choice>
        </mc:AlternateContent>
        <mc:AlternateContent xmlns:mc="http://schemas.openxmlformats.org/markup-compatibility/2006">
          <mc:Choice Requires="x14">
            <control shapeId="12706" r:id="rId2276" name="Button 1442">
              <controlPr defaultSize="0" autoFill="0" autoLine="0" autoPict="0" macro="[0]!Sheet1.deleteRow">
                <anchor moveWithCells="1" sizeWithCells="1">
                  <from>
                    <xdr:col>6</xdr:col>
                    <xdr:colOff>0</xdr:colOff>
                    <xdr:row>3972</xdr:row>
                    <xdr:rowOff>0</xdr:rowOff>
                  </from>
                  <to>
                    <xdr:col>7</xdr:col>
                    <xdr:colOff>0</xdr:colOff>
                    <xdr:row>3972</xdr:row>
                    <xdr:rowOff>161925</xdr:rowOff>
                  </to>
                </anchor>
              </controlPr>
            </control>
          </mc:Choice>
        </mc:AlternateContent>
        <mc:AlternateContent xmlns:mc="http://schemas.openxmlformats.org/markup-compatibility/2006">
          <mc:Choice Requires="x14">
            <control shapeId="12705" r:id="rId2277" name="Button 1441">
              <controlPr defaultSize="0" autoFill="0" autoLine="0" autoPict="0" macro="[0]!Sheet1.deleteRow">
                <anchor moveWithCells="1" sizeWithCells="1">
                  <from>
                    <xdr:col>6</xdr:col>
                    <xdr:colOff>0</xdr:colOff>
                    <xdr:row>3973</xdr:row>
                    <xdr:rowOff>0</xdr:rowOff>
                  </from>
                  <to>
                    <xdr:col>7</xdr:col>
                    <xdr:colOff>0</xdr:colOff>
                    <xdr:row>3973</xdr:row>
                    <xdr:rowOff>161925</xdr:rowOff>
                  </to>
                </anchor>
              </controlPr>
            </control>
          </mc:Choice>
        </mc:AlternateContent>
        <mc:AlternateContent xmlns:mc="http://schemas.openxmlformats.org/markup-compatibility/2006">
          <mc:Choice Requires="x14">
            <control shapeId="12704" r:id="rId2278" name="Button 1440">
              <controlPr defaultSize="0" autoFill="0" autoLine="0" autoPict="0" macro="[0]!Sheet1.deleteRow">
                <anchor moveWithCells="1" sizeWithCells="1">
                  <from>
                    <xdr:col>6</xdr:col>
                    <xdr:colOff>0</xdr:colOff>
                    <xdr:row>3974</xdr:row>
                    <xdr:rowOff>0</xdr:rowOff>
                  </from>
                  <to>
                    <xdr:col>7</xdr:col>
                    <xdr:colOff>0</xdr:colOff>
                    <xdr:row>3974</xdr:row>
                    <xdr:rowOff>161925</xdr:rowOff>
                  </to>
                </anchor>
              </controlPr>
            </control>
          </mc:Choice>
        </mc:AlternateContent>
        <mc:AlternateContent xmlns:mc="http://schemas.openxmlformats.org/markup-compatibility/2006">
          <mc:Choice Requires="x14">
            <control shapeId="12703" r:id="rId2279" name="Button 1439">
              <controlPr defaultSize="0" autoFill="0" autoLine="0" autoPict="0" macro="[0]!Sheet1.deleteRow">
                <anchor moveWithCells="1" sizeWithCells="1">
                  <from>
                    <xdr:col>6</xdr:col>
                    <xdr:colOff>0</xdr:colOff>
                    <xdr:row>3975</xdr:row>
                    <xdr:rowOff>0</xdr:rowOff>
                  </from>
                  <to>
                    <xdr:col>7</xdr:col>
                    <xdr:colOff>0</xdr:colOff>
                    <xdr:row>3975</xdr:row>
                    <xdr:rowOff>161925</xdr:rowOff>
                  </to>
                </anchor>
              </controlPr>
            </control>
          </mc:Choice>
        </mc:AlternateContent>
        <mc:AlternateContent xmlns:mc="http://schemas.openxmlformats.org/markup-compatibility/2006">
          <mc:Choice Requires="x14">
            <control shapeId="12702" r:id="rId2280" name="Button 1438">
              <controlPr defaultSize="0" autoFill="0" autoLine="0" autoPict="0" macro="[0]!Sheet1.deleteRow">
                <anchor moveWithCells="1" sizeWithCells="1">
                  <from>
                    <xdr:col>6</xdr:col>
                    <xdr:colOff>0</xdr:colOff>
                    <xdr:row>3976</xdr:row>
                    <xdr:rowOff>0</xdr:rowOff>
                  </from>
                  <to>
                    <xdr:col>7</xdr:col>
                    <xdr:colOff>0</xdr:colOff>
                    <xdr:row>3976</xdr:row>
                    <xdr:rowOff>161925</xdr:rowOff>
                  </to>
                </anchor>
              </controlPr>
            </control>
          </mc:Choice>
        </mc:AlternateContent>
        <mc:AlternateContent xmlns:mc="http://schemas.openxmlformats.org/markup-compatibility/2006">
          <mc:Choice Requires="x14">
            <control shapeId="12701" r:id="rId2281" name="Button 1437">
              <controlPr defaultSize="0" autoFill="0" autoLine="0" autoPict="0" macro="[0]!Sheet1.deleteRow">
                <anchor moveWithCells="1" sizeWithCells="1">
                  <from>
                    <xdr:col>6</xdr:col>
                    <xdr:colOff>0</xdr:colOff>
                    <xdr:row>3977</xdr:row>
                    <xdr:rowOff>0</xdr:rowOff>
                  </from>
                  <to>
                    <xdr:col>7</xdr:col>
                    <xdr:colOff>0</xdr:colOff>
                    <xdr:row>3977</xdr:row>
                    <xdr:rowOff>161925</xdr:rowOff>
                  </to>
                </anchor>
              </controlPr>
            </control>
          </mc:Choice>
        </mc:AlternateContent>
        <mc:AlternateContent xmlns:mc="http://schemas.openxmlformats.org/markup-compatibility/2006">
          <mc:Choice Requires="x14">
            <control shapeId="12700" r:id="rId2282" name="Button 1436">
              <controlPr defaultSize="0" autoFill="0" autoLine="0" autoPict="0" macro="[0]!Sheet1.deleteRow">
                <anchor moveWithCells="1" sizeWithCells="1">
                  <from>
                    <xdr:col>6</xdr:col>
                    <xdr:colOff>0</xdr:colOff>
                    <xdr:row>3978</xdr:row>
                    <xdr:rowOff>0</xdr:rowOff>
                  </from>
                  <to>
                    <xdr:col>7</xdr:col>
                    <xdr:colOff>0</xdr:colOff>
                    <xdr:row>3978</xdr:row>
                    <xdr:rowOff>161925</xdr:rowOff>
                  </to>
                </anchor>
              </controlPr>
            </control>
          </mc:Choice>
        </mc:AlternateContent>
        <mc:AlternateContent xmlns:mc="http://schemas.openxmlformats.org/markup-compatibility/2006">
          <mc:Choice Requires="x14">
            <control shapeId="12699" r:id="rId2283" name="Button 1435">
              <controlPr defaultSize="0" autoFill="0" autoLine="0" autoPict="0" macro="[0]!Sheet1.deleteProcedure">
                <anchor moveWithCells="1" sizeWithCells="1">
                  <from>
                    <xdr:col>6</xdr:col>
                    <xdr:colOff>0</xdr:colOff>
                    <xdr:row>3981</xdr:row>
                    <xdr:rowOff>0</xdr:rowOff>
                  </from>
                  <to>
                    <xdr:col>7</xdr:col>
                    <xdr:colOff>0</xdr:colOff>
                    <xdr:row>3982</xdr:row>
                    <xdr:rowOff>0</xdr:rowOff>
                  </to>
                </anchor>
              </controlPr>
            </control>
          </mc:Choice>
        </mc:AlternateContent>
        <mc:AlternateContent xmlns:mc="http://schemas.openxmlformats.org/markup-compatibility/2006">
          <mc:Choice Requires="x14">
            <control shapeId="12698" r:id="rId2284" name="Button 1434">
              <controlPr defaultSize="0" autoFill="0" autoLine="0" autoPict="0" macro="[0]!Sheet1.InsertNewTableRow">
                <anchor moveWithCells="1" sizeWithCells="1">
                  <from>
                    <xdr:col>6</xdr:col>
                    <xdr:colOff>0</xdr:colOff>
                    <xdr:row>3988</xdr:row>
                    <xdr:rowOff>0</xdr:rowOff>
                  </from>
                  <to>
                    <xdr:col>7</xdr:col>
                    <xdr:colOff>0</xdr:colOff>
                    <xdr:row>3988</xdr:row>
                    <xdr:rowOff>38100</xdr:rowOff>
                  </to>
                </anchor>
              </controlPr>
            </control>
          </mc:Choice>
        </mc:AlternateContent>
        <mc:AlternateContent xmlns:mc="http://schemas.openxmlformats.org/markup-compatibility/2006">
          <mc:Choice Requires="x14">
            <control shapeId="12697" r:id="rId2285" name="Button 1433">
              <controlPr defaultSize="0" autoFill="0" autoLine="0" autoPict="0" macro="[0]!Sheet1.deleteRow">
                <anchor moveWithCells="1" sizeWithCells="1">
                  <from>
                    <xdr:col>6</xdr:col>
                    <xdr:colOff>0</xdr:colOff>
                    <xdr:row>3989</xdr:row>
                    <xdr:rowOff>0</xdr:rowOff>
                  </from>
                  <to>
                    <xdr:col>7</xdr:col>
                    <xdr:colOff>0</xdr:colOff>
                    <xdr:row>3989</xdr:row>
                    <xdr:rowOff>161925</xdr:rowOff>
                  </to>
                </anchor>
              </controlPr>
            </control>
          </mc:Choice>
        </mc:AlternateContent>
        <mc:AlternateContent xmlns:mc="http://schemas.openxmlformats.org/markup-compatibility/2006">
          <mc:Choice Requires="x14">
            <control shapeId="12696" r:id="rId2286" name="Button 1432">
              <controlPr defaultSize="0" autoFill="0" autoLine="0" autoPict="0" macro="[0]!Sheet1.deleteRow">
                <anchor moveWithCells="1" sizeWithCells="1">
                  <from>
                    <xdr:col>6</xdr:col>
                    <xdr:colOff>0</xdr:colOff>
                    <xdr:row>3990</xdr:row>
                    <xdr:rowOff>0</xdr:rowOff>
                  </from>
                  <to>
                    <xdr:col>7</xdr:col>
                    <xdr:colOff>0</xdr:colOff>
                    <xdr:row>3990</xdr:row>
                    <xdr:rowOff>161925</xdr:rowOff>
                  </to>
                </anchor>
              </controlPr>
            </control>
          </mc:Choice>
        </mc:AlternateContent>
        <mc:AlternateContent xmlns:mc="http://schemas.openxmlformats.org/markup-compatibility/2006">
          <mc:Choice Requires="x14">
            <control shapeId="12695" r:id="rId2287" name="Button 1431">
              <controlPr defaultSize="0" autoFill="0" autoLine="0" autoPict="0" macro="[0]!Sheet1.deleteRow">
                <anchor moveWithCells="1" sizeWithCells="1">
                  <from>
                    <xdr:col>6</xdr:col>
                    <xdr:colOff>0</xdr:colOff>
                    <xdr:row>3991</xdr:row>
                    <xdr:rowOff>0</xdr:rowOff>
                  </from>
                  <to>
                    <xdr:col>7</xdr:col>
                    <xdr:colOff>0</xdr:colOff>
                    <xdr:row>3991</xdr:row>
                    <xdr:rowOff>161925</xdr:rowOff>
                  </to>
                </anchor>
              </controlPr>
            </control>
          </mc:Choice>
        </mc:AlternateContent>
        <mc:AlternateContent xmlns:mc="http://schemas.openxmlformats.org/markup-compatibility/2006">
          <mc:Choice Requires="x14">
            <control shapeId="12694" r:id="rId2288" name="Button 1430">
              <controlPr defaultSize="0" autoFill="0" autoLine="0" autoPict="0" macro="[0]!Sheet1.deleteRow">
                <anchor moveWithCells="1" sizeWithCells="1">
                  <from>
                    <xdr:col>6</xdr:col>
                    <xdr:colOff>0</xdr:colOff>
                    <xdr:row>3992</xdr:row>
                    <xdr:rowOff>0</xdr:rowOff>
                  </from>
                  <to>
                    <xdr:col>7</xdr:col>
                    <xdr:colOff>0</xdr:colOff>
                    <xdr:row>3992</xdr:row>
                    <xdr:rowOff>161925</xdr:rowOff>
                  </to>
                </anchor>
              </controlPr>
            </control>
          </mc:Choice>
        </mc:AlternateContent>
        <mc:AlternateContent xmlns:mc="http://schemas.openxmlformats.org/markup-compatibility/2006">
          <mc:Choice Requires="x14">
            <control shapeId="12693" r:id="rId2289" name="Button 1429">
              <controlPr defaultSize="0" autoFill="0" autoLine="0" autoPict="0" macro="[0]!Sheet1.deleteProcedure">
                <anchor moveWithCells="1" sizeWithCells="1">
                  <from>
                    <xdr:col>6</xdr:col>
                    <xdr:colOff>0</xdr:colOff>
                    <xdr:row>3995</xdr:row>
                    <xdr:rowOff>0</xdr:rowOff>
                  </from>
                  <to>
                    <xdr:col>7</xdr:col>
                    <xdr:colOff>0</xdr:colOff>
                    <xdr:row>3996</xdr:row>
                    <xdr:rowOff>0</xdr:rowOff>
                  </to>
                </anchor>
              </controlPr>
            </control>
          </mc:Choice>
        </mc:AlternateContent>
        <mc:AlternateContent xmlns:mc="http://schemas.openxmlformats.org/markup-compatibility/2006">
          <mc:Choice Requires="x14">
            <control shapeId="12692" r:id="rId2290" name="Button 1428">
              <controlPr defaultSize="0" autoFill="0" autoLine="0" autoPict="0" macro="[0]!Sheet1.InsertNewTableRow">
                <anchor moveWithCells="1" sizeWithCells="1">
                  <from>
                    <xdr:col>6</xdr:col>
                    <xdr:colOff>0</xdr:colOff>
                    <xdr:row>4002</xdr:row>
                    <xdr:rowOff>0</xdr:rowOff>
                  </from>
                  <to>
                    <xdr:col>7</xdr:col>
                    <xdr:colOff>0</xdr:colOff>
                    <xdr:row>4002</xdr:row>
                    <xdr:rowOff>38100</xdr:rowOff>
                  </to>
                </anchor>
              </controlPr>
            </control>
          </mc:Choice>
        </mc:AlternateContent>
        <mc:AlternateContent xmlns:mc="http://schemas.openxmlformats.org/markup-compatibility/2006">
          <mc:Choice Requires="x14">
            <control shapeId="12691" r:id="rId2291" name="Button 1427">
              <controlPr defaultSize="0" autoFill="0" autoLine="0" autoPict="0" macro="[0]!Sheet1.deleteRow">
                <anchor moveWithCells="1" sizeWithCells="1">
                  <from>
                    <xdr:col>6</xdr:col>
                    <xdr:colOff>0</xdr:colOff>
                    <xdr:row>4003</xdr:row>
                    <xdr:rowOff>0</xdr:rowOff>
                  </from>
                  <to>
                    <xdr:col>7</xdr:col>
                    <xdr:colOff>0</xdr:colOff>
                    <xdr:row>4003</xdr:row>
                    <xdr:rowOff>161925</xdr:rowOff>
                  </to>
                </anchor>
              </controlPr>
            </control>
          </mc:Choice>
        </mc:AlternateContent>
        <mc:AlternateContent xmlns:mc="http://schemas.openxmlformats.org/markup-compatibility/2006">
          <mc:Choice Requires="x14">
            <control shapeId="12690" r:id="rId2292" name="Button 1426">
              <controlPr defaultSize="0" autoFill="0" autoLine="0" autoPict="0" macro="[0]!Sheet1.deleteProcedure">
                <anchor moveWithCells="1" sizeWithCells="1">
                  <from>
                    <xdr:col>6</xdr:col>
                    <xdr:colOff>0</xdr:colOff>
                    <xdr:row>4006</xdr:row>
                    <xdr:rowOff>0</xdr:rowOff>
                  </from>
                  <to>
                    <xdr:col>7</xdr:col>
                    <xdr:colOff>0</xdr:colOff>
                    <xdr:row>4007</xdr:row>
                    <xdr:rowOff>0</xdr:rowOff>
                  </to>
                </anchor>
              </controlPr>
            </control>
          </mc:Choice>
        </mc:AlternateContent>
        <mc:AlternateContent xmlns:mc="http://schemas.openxmlformats.org/markup-compatibility/2006">
          <mc:Choice Requires="x14">
            <control shapeId="12689" r:id="rId2293" name="Button 1425">
              <controlPr defaultSize="0" autoFill="0" autoLine="0" autoPict="0" macro="[0]!Sheet1.InsertNewTableRow">
                <anchor moveWithCells="1" sizeWithCells="1">
                  <from>
                    <xdr:col>6</xdr:col>
                    <xdr:colOff>0</xdr:colOff>
                    <xdr:row>4013</xdr:row>
                    <xdr:rowOff>0</xdr:rowOff>
                  </from>
                  <to>
                    <xdr:col>7</xdr:col>
                    <xdr:colOff>0</xdr:colOff>
                    <xdr:row>4013</xdr:row>
                    <xdr:rowOff>38100</xdr:rowOff>
                  </to>
                </anchor>
              </controlPr>
            </control>
          </mc:Choice>
        </mc:AlternateContent>
        <mc:AlternateContent xmlns:mc="http://schemas.openxmlformats.org/markup-compatibility/2006">
          <mc:Choice Requires="x14">
            <control shapeId="12688" r:id="rId2294" name="Button 1424">
              <controlPr defaultSize="0" autoFill="0" autoLine="0" autoPict="0" macro="[0]!Sheet1.deleteRow">
                <anchor moveWithCells="1" sizeWithCells="1">
                  <from>
                    <xdr:col>6</xdr:col>
                    <xdr:colOff>0</xdr:colOff>
                    <xdr:row>4014</xdr:row>
                    <xdr:rowOff>0</xdr:rowOff>
                  </from>
                  <to>
                    <xdr:col>7</xdr:col>
                    <xdr:colOff>0</xdr:colOff>
                    <xdr:row>4014</xdr:row>
                    <xdr:rowOff>161925</xdr:rowOff>
                  </to>
                </anchor>
              </controlPr>
            </control>
          </mc:Choice>
        </mc:AlternateContent>
        <mc:AlternateContent xmlns:mc="http://schemas.openxmlformats.org/markup-compatibility/2006">
          <mc:Choice Requires="x14">
            <control shapeId="12687" r:id="rId2295" name="Button 1423">
              <controlPr defaultSize="0" autoFill="0" autoLine="0" autoPict="0" macro="[0]!Sheet1.deleteRow">
                <anchor moveWithCells="1" sizeWithCells="1">
                  <from>
                    <xdr:col>6</xdr:col>
                    <xdr:colOff>0</xdr:colOff>
                    <xdr:row>4015</xdr:row>
                    <xdr:rowOff>0</xdr:rowOff>
                  </from>
                  <to>
                    <xdr:col>7</xdr:col>
                    <xdr:colOff>0</xdr:colOff>
                    <xdr:row>4015</xdr:row>
                    <xdr:rowOff>161925</xdr:rowOff>
                  </to>
                </anchor>
              </controlPr>
            </control>
          </mc:Choice>
        </mc:AlternateContent>
        <mc:AlternateContent xmlns:mc="http://schemas.openxmlformats.org/markup-compatibility/2006">
          <mc:Choice Requires="x14">
            <control shapeId="12686" r:id="rId2296" name="Button 1422">
              <controlPr defaultSize="0" autoFill="0" autoLine="0" autoPict="0" macro="[0]!Sheet1.deleteRow">
                <anchor moveWithCells="1" sizeWithCells="1">
                  <from>
                    <xdr:col>6</xdr:col>
                    <xdr:colOff>0</xdr:colOff>
                    <xdr:row>4016</xdr:row>
                    <xdr:rowOff>0</xdr:rowOff>
                  </from>
                  <to>
                    <xdr:col>7</xdr:col>
                    <xdr:colOff>0</xdr:colOff>
                    <xdr:row>4016</xdr:row>
                    <xdr:rowOff>161925</xdr:rowOff>
                  </to>
                </anchor>
              </controlPr>
            </control>
          </mc:Choice>
        </mc:AlternateContent>
        <mc:AlternateContent xmlns:mc="http://schemas.openxmlformats.org/markup-compatibility/2006">
          <mc:Choice Requires="x14">
            <control shapeId="12685" r:id="rId2297" name="Button 1421">
              <controlPr defaultSize="0" autoFill="0" autoLine="0" autoPict="0" macro="[0]!Sheet1.deleteRow">
                <anchor moveWithCells="1" sizeWithCells="1">
                  <from>
                    <xdr:col>6</xdr:col>
                    <xdr:colOff>0</xdr:colOff>
                    <xdr:row>4017</xdr:row>
                    <xdr:rowOff>0</xdr:rowOff>
                  </from>
                  <to>
                    <xdr:col>7</xdr:col>
                    <xdr:colOff>0</xdr:colOff>
                    <xdr:row>4017</xdr:row>
                    <xdr:rowOff>161925</xdr:rowOff>
                  </to>
                </anchor>
              </controlPr>
            </control>
          </mc:Choice>
        </mc:AlternateContent>
        <mc:AlternateContent xmlns:mc="http://schemas.openxmlformats.org/markup-compatibility/2006">
          <mc:Choice Requires="x14">
            <control shapeId="12684" r:id="rId2298" name="Button 1420">
              <controlPr defaultSize="0" autoFill="0" autoLine="0" autoPict="0" macro="[0]!Sheet1.deleteRow">
                <anchor moveWithCells="1" sizeWithCells="1">
                  <from>
                    <xdr:col>6</xdr:col>
                    <xdr:colOff>0</xdr:colOff>
                    <xdr:row>4018</xdr:row>
                    <xdr:rowOff>0</xdr:rowOff>
                  </from>
                  <to>
                    <xdr:col>7</xdr:col>
                    <xdr:colOff>0</xdr:colOff>
                    <xdr:row>4018</xdr:row>
                    <xdr:rowOff>161925</xdr:rowOff>
                  </to>
                </anchor>
              </controlPr>
            </control>
          </mc:Choice>
        </mc:AlternateContent>
        <mc:AlternateContent xmlns:mc="http://schemas.openxmlformats.org/markup-compatibility/2006">
          <mc:Choice Requires="x14">
            <control shapeId="12683" r:id="rId2299" name="Button 1419">
              <controlPr defaultSize="0" autoFill="0" autoLine="0" autoPict="0" macro="[0]!Sheet1.deleteRow">
                <anchor moveWithCells="1" sizeWithCells="1">
                  <from>
                    <xdr:col>6</xdr:col>
                    <xdr:colOff>0</xdr:colOff>
                    <xdr:row>4019</xdr:row>
                    <xdr:rowOff>0</xdr:rowOff>
                  </from>
                  <to>
                    <xdr:col>7</xdr:col>
                    <xdr:colOff>0</xdr:colOff>
                    <xdr:row>4019</xdr:row>
                    <xdr:rowOff>161925</xdr:rowOff>
                  </to>
                </anchor>
              </controlPr>
            </control>
          </mc:Choice>
        </mc:AlternateContent>
        <mc:AlternateContent xmlns:mc="http://schemas.openxmlformats.org/markup-compatibility/2006">
          <mc:Choice Requires="x14">
            <control shapeId="12682" r:id="rId2300" name="Button 1418">
              <controlPr defaultSize="0" autoFill="0" autoLine="0" autoPict="0" macro="[0]!Sheet1.deleteRow">
                <anchor moveWithCells="1" sizeWithCells="1">
                  <from>
                    <xdr:col>6</xdr:col>
                    <xdr:colOff>0</xdr:colOff>
                    <xdr:row>4020</xdr:row>
                    <xdr:rowOff>0</xdr:rowOff>
                  </from>
                  <to>
                    <xdr:col>7</xdr:col>
                    <xdr:colOff>0</xdr:colOff>
                    <xdr:row>4020</xdr:row>
                    <xdr:rowOff>161925</xdr:rowOff>
                  </to>
                </anchor>
              </controlPr>
            </control>
          </mc:Choice>
        </mc:AlternateContent>
        <mc:AlternateContent xmlns:mc="http://schemas.openxmlformats.org/markup-compatibility/2006">
          <mc:Choice Requires="x14">
            <control shapeId="12681" r:id="rId2301" name="Button 1417">
              <controlPr defaultSize="0" autoFill="0" autoLine="0" autoPict="0" macro="[0]!Sheet1.deleteRow">
                <anchor moveWithCells="1" sizeWithCells="1">
                  <from>
                    <xdr:col>6</xdr:col>
                    <xdr:colOff>0</xdr:colOff>
                    <xdr:row>4021</xdr:row>
                    <xdr:rowOff>0</xdr:rowOff>
                  </from>
                  <to>
                    <xdr:col>7</xdr:col>
                    <xdr:colOff>0</xdr:colOff>
                    <xdr:row>4021</xdr:row>
                    <xdr:rowOff>161925</xdr:rowOff>
                  </to>
                </anchor>
              </controlPr>
            </control>
          </mc:Choice>
        </mc:AlternateContent>
        <mc:AlternateContent xmlns:mc="http://schemas.openxmlformats.org/markup-compatibility/2006">
          <mc:Choice Requires="x14">
            <control shapeId="12680" r:id="rId2302" name="Button 1416">
              <controlPr defaultSize="0" autoFill="0" autoLine="0" autoPict="0" macro="[0]!Sheet1.deleteRow">
                <anchor moveWithCells="1" sizeWithCells="1">
                  <from>
                    <xdr:col>6</xdr:col>
                    <xdr:colOff>0</xdr:colOff>
                    <xdr:row>4022</xdr:row>
                    <xdr:rowOff>0</xdr:rowOff>
                  </from>
                  <to>
                    <xdr:col>7</xdr:col>
                    <xdr:colOff>0</xdr:colOff>
                    <xdr:row>4022</xdr:row>
                    <xdr:rowOff>161925</xdr:rowOff>
                  </to>
                </anchor>
              </controlPr>
            </control>
          </mc:Choice>
        </mc:AlternateContent>
        <mc:AlternateContent xmlns:mc="http://schemas.openxmlformats.org/markup-compatibility/2006">
          <mc:Choice Requires="x14">
            <control shapeId="12679" r:id="rId2303" name="Button 1415">
              <controlPr defaultSize="0" autoFill="0" autoLine="0" autoPict="0" macro="[0]!Sheet1.deleteRow">
                <anchor moveWithCells="1" sizeWithCells="1">
                  <from>
                    <xdr:col>6</xdr:col>
                    <xdr:colOff>0</xdr:colOff>
                    <xdr:row>4023</xdr:row>
                    <xdr:rowOff>0</xdr:rowOff>
                  </from>
                  <to>
                    <xdr:col>7</xdr:col>
                    <xdr:colOff>0</xdr:colOff>
                    <xdr:row>4023</xdr:row>
                    <xdr:rowOff>161925</xdr:rowOff>
                  </to>
                </anchor>
              </controlPr>
            </control>
          </mc:Choice>
        </mc:AlternateContent>
        <mc:AlternateContent xmlns:mc="http://schemas.openxmlformats.org/markup-compatibility/2006">
          <mc:Choice Requires="x14">
            <control shapeId="12678" r:id="rId2304" name="Button 1414">
              <controlPr defaultSize="0" autoFill="0" autoLine="0" autoPict="0" macro="[0]!Sheet1.deleteRow">
                <anchor moveWithCells="1" sizeWithCells="1">
                  <from>
                    <xdr:col>6</xdr:col>
                    <xdr:colOff>0</xdr:colOff>
                    <xdr:row>4024</xdr:row>
                    <xdr:rowOff>0</xdr:rowOff>
                  </from>
                  <to>
                    <xdr:col>7</xdr:col>
                    <xdr:colOff>0</xdr:colOff>
                    <xdr:row>4024</xdr:row>
                    <xdr:rowOff>161925</xdr:rowOff>
                  </to>
                </anchor>
              </controlPr>
            </control>
          </mc:Choice>
        </mc:AlternateContent>
        <mc:AlternateContent xmlns:mc="http://schemas.openxmlformats.org/markup-compatibility/2006">
          <mc:Choice Requires="x14">
            <control shapeId="12677" r:id="rId2305" name="Button 1413">
              <controlPr defaultSize="0" autoFill="0" autoLine="0" autoPict="0" macro="[0]!Sheet1.deleteRow">
                <anchor moveWithCells="1" sizeWithCells="1">
                  <from>
                    <xdr:col>6</xdr:col>
                    <xdr:colOff>0</xdr:colOff>
                    <xdr:row>4025</xdr:row>
                    <xdr:rowOff>0</xdr:rowOff>
                  </from>
                  <to>
                    <xdr:col>7</xdr:col>
                    <xdr:colOff>0</xdr:colOff>
                    <xdr:row>4025</xdr:row>
                    <xdr:rowOff>161925</xdr:rowOff>
                  </to>
                </anchor>
              </controlPr>
            </control>
          </mc:Choice>
        </mc:AlternateContent>
        <mc:AlternateContent xmlns:mc="http://schemas.openxmlformats.org/markup-compatibility/2006">
          <mc:Choice Requires="x14">
            <control shapeId="12676" r:id="rId2306" name="Button 1412">
              <controlPr defaultSize="0" autoFill="0" autoLine="0" autoPict="0" macro="[0]!Sheet1.deleteRow">
                <anchor moveWithCells="1" sizeWithCells="1">
                  <from>
                    <xdr:col>6</xdr:col>
                    <xdr:colOff>0</xdr:colOff>
                    <xdr:row>4026</xdr:row>
                    <xdr:rowOff>0</xdr:rowOff>
                  </from>
                  <to>
                    <xdr:col>7</xdr:col>
                    <xdr:colOff>0</xdr:colOff>
                    <xdr:row>4026</xdr:row>
                    <xdr:rowOff>161925</xdr:rowOff>
                  </to>
                </anchor>
              </controlPr>
            </control>
          </mc:Choice>
        </mc:AlternateContent>
        <mc:AlternateContent xmlns:mc="http://schemas.openxmlformats.org/markup-compatibility/2006">
          <mc:Choice Requires="x14">
            <control shapeId="12675" r:id="rId2307" name="Button 1411">
              <controlPr defaultSize="0" autoFill="0" autoLine="0" autoPict="0" macro="[0]!Sheet1.deleteRow">
                <anchor moveWithCells="1" sizeWithCells="1">
                  <from>
                    <xdr:col>6</xdr:col>
                    <xdr:colOff>0</xdr:colOff>
                    <xdr:row>4027</xdr:row>
                    <xdr:rowOff>0</xdr:rowOff>
                  </from>
                  <to>
                    <xdr:col>7</xdr:col>
                    <xdr:colOff>0</xdr:colOff>
                    <xdr:row>4027</xdr:row>
                    <xdr:rowOff>161925</xdr:rowOff>
                  </to>
                </anchor>
              </controlPr>
            </control>
          </mc:Choice>
        </mc:AlternateContent>
        <mc:AlternateContent xmlns:mc="http://schemas.openxmlformats.org/markup-compatibility/2006">
          <mc:Choice Requires="x14">
            <control shapeId="12674" r:id="rId2308" name="Button 1410">
              <controlPr defaultSize="0" autoFill="0" autoLine="0" autoPict="0" macro="[0]!Sheet1.deleteProcedure">
                <anchor moveWithCells="1" sizeWithCells="1">
                  <from>
                    <xdr:col>6</xdr:col>
                    <xdr:colOff>0</xdr:colOff>
                    <xdr:row>4030</xdr:row>
                    <xdr:rowOff>0</xdr:rowOff>
                  </from>
                  <to>
                    <xdr:col>7</xdr:col>
                    <xdr:colOff>0</xdr:colOff>
                    <xdr:row>4031</xdr:row>
                    <xdr:rowOff>0</xdr:rowOff>
                  </to>
                </anchor>
              </controlPr>
            </control>
          </mc:Choice>
        </mc:AlternateContent>
        <mc:AlternateContent xmlns:mc="http://schemas.openxmlformats.org/markup-compatibility/2006">
          <mc:Choice Requires="x14">
            <control shapeId="12673" r:id="rId2309" name="Button 1409">
              <controlPr defaultSize="0" autoFill="0" autoLine="0" autoPict="0" macro="[0]!Sheet1.InsertNewTableRow">
                <anchor moveWithCells="1" sizeWithCells="1">
                  <from>
                    <xdr:col>6</xdr:col>
                    <xdr:colOff>0</xdr:colOff>
                    <xdr:row>4037</xdr:row>
                    <xdr:rowOff>0</xdr:rowOff>
                  </from>
                  <to>
                    <xdr:col>7</xdr:col>
                    <xdr:colOff>0</xdr:colOff>
                    <xdr:row>4037</xdr:row>
                    <xdr:rowOff>38100</xdr:rowOff>
                  </to>
                </anchor>
              </controlPr>
            </control>
          </mc:Choice>
        </mc:AlternateContent>
        <mc:AlternateContent xmlns:mc="http://schemas.openxmlformats.org/markup-compatibility/2006">
          <mc:Choice Requires="x14">
            <control shapeId="12672" r:id="rId2310" name="Button 1408">
              <controlPr defaultSize="0" autoFill="0" autoLine="0" autoPict="0" macro="[0]!Sheet1.deleteRow">
                <anchor moveWithCells="1" sizeWithCells="1">
                  <from>
                    <xdr:col>6</xdr:col>
                    <xdr:colOff>0</xdr:colOff>
                    <xdr:row>4038</xdr:row>
                    <xdr:rowOff>0</xdr:rowOff>
                  </from>
                  <to>
                    <xdr:col>7</xdr:col>
                    <xdr:colOff>0</xdr:colOff>
                    <xdr:row>4038</xdr:row>
                    <xdr:rowOff>161925</xdr:rowOff>
                  </to>
                </anchor>
              </controlPr>
            </control>
          </mc:Choice>
        </mc:AlternateContent>
        <mc:AlternateContent xmlns:mc="http://schemas.openxmlformats.org/markup-compatibility/2006">
          <mc:Choice Requires="x14">
            <control shapeId="12671" r:id="rId2311" name="Button 1407">
              <controlPr defaultSize="0" autoFill="0" autoLine="0" autoPict="0" macro="[0]!Sheet1.deleteProcedure">
                <anchor moveWithCells="1" sizeWithCells="1">
                  <from>
                    <xdr:col>6</xdr:col>
                    <xdr:colOff>0</xdr:colOff>
                    <xdr:row>4041</xdr:row>
                    <xdr:rowOff>0</xdr:rowOff>
                  </from>
                  <to>
                    <xdr:col>7</xdr:col>
                    <xdr:colOff>0</xdr:colOff>
                    <xdr:row>4042</xdr:row>
                    <xdr:rowOff>0</xdr:rowOff>
                  </to>
                </anchor>
              </controlPr>
            </control>
          </mc:Choice>
        </mc:AlternateContent>
        <mc:AlternateContent xmlns:mc="http://schemas.openxmlformats.org/markup-compatibility/2006">
          <mc:Choice Requires="x14">
            <control shapeId="12670" r:id="rId2312" name="Button 1406">
              <controlPr defaultSize="0" autoFill="0" autoLine="0" autoPict="0" macro="[0]!Sheet1.InsertNewTableRow">
                <anchor moveWithCells="1" sizeWithCells="1">
                  <from>
                    <xdr:col>6</xdr:col>
                    <xdr:colOff>0</xdr:colOff>
                    <xdr:row>4048</xdr:row>
                    <xdr:rowOff>0</xdr:rowOff>
                  </from>
                  <to>
                    <xdr:col>7</xdr:col>
                    <xdr:colOff>0</xdr:colOff>
                    <xdr:row>4048</xdr:row>
                    <xdr:rowOff>38100</xdr:rowOff>
                  </to>
                </anchor>
              </controlPr>
            </control>
          </mc:Choice>
        </mc:AlternateContent>
        <mc:AlternateContent xmlns:mc="http://schemas.openxmlformats.org/markup-compatibility/2006">
          <mc:Choice Requires="x14">
            <control shapeId="12669" r:id="rId2313" name="Button 1405">
              <controlPr defaultSize="0" autoFill="0" autoLine="0" autoPict="0" macro="[0]!Sheet1.deleteRow">
                <anchor moveWithCells="1" sizeWithCells="1">
                  <from>
                    <xdr:col>6</xdr:col>
                    <xdr:colOff>0</xdr:colOff>
                    <xdr:row>4049</xdr:row>
                    <xdr:rowOff>0</xdr:rowOff>
                  </from>
                  <to>
                    <xdr:col>7</xdr:col>
                    <xdr:colOff>0</xdr:colOff>
                    <xdr:row>4049</xdr:row>
                    <xdr:rowOff>161925</xdr:rowOff>
                  </to>
                </anchor>
              </controlPr>
            </control>
          </mc:Choice>
        </mc:AlternateContent>
        <mc:AlternateContent xmlns:mc="http://schemas.openxmlformats.org/markup-compatibility/2006">
          <mc:Choice Requires="x14">
            <control shapeId="12668" r:id="rId2314" name="Button 1404">
              <controlPr defaultSize="0" autoFill="0" autoLine="0" autoPict="0" macro="[0]!Sheet1.deleteRow">
                <anchor moveWithCells="1" sizeWithCells="1">
                  <from>
                    <xdr:col>6</xdr:col>
                    <xdr:colOff>0</xdr:colOff>
                    <xdr:row>4050</xdr:row>
                    <xdr:rowOff>0</xdr:rowOff>
                  </from>
                  <to>
                    <xdr:col>7</xdr:col>
                    <xdr:colOff>0</xdr:colOff>
                    <xdr:row>4050</xdr:row>
                    <xdr:rowOff>161925</xdr:rowOff>
                  </to>
                </anchor>
              </controlPr>
            </control>
          </mc:Choice>
        </mc:AlternateContent>
        <mc:AlternateContent xmlns:mc="http://schemas.openxmlformats.org/markup-compatibility/2006">
          <mc:Choice Requires="x14">
            <control shapeId="12667" r:id="rId2315" name="Button 1403">
              <controlPr defaultSize="0" autoFill="0" autoLine="0" autoPict="0" macro="[0]!Sheet1.deleteRow">
                <anchor moveWithCells="1" sizeWithCells="1">
                  <from>
                    <xdr:col>6</xdr:col>
                    <xdr:colOff>0</xdr:colOff>
                    <xdr:row>4051</xdr:row>
                    <xdr:rowOff>0</xdr:rowOff>
                  </from>
                  <to>
                    <xdr:col>7</xdr:col>
                    <xdr:colOff>0</xdr:colOff>
                    <xdr:row>4051</xdr:row>
                    <xdr:rowOff>161925</xdr:rowOff>
                  </to>
                </anchor>
              </controlPr>
            </control>
          </mc:Choice>
        </mc:AlternateContent>
        <mc:AlternateContent xmlns:mc="http://schemas.openxmlformats.org/markup-compatibility/2006">
          <mc:Choice Requires="x14">
            <control shapeId="12666" r:id="rId2316" name="Button 1402">
              <controlPr defaultSize="0" autoFill="0" autoLine="0" autoPict="0" macro="[0]!Sheet1.deleteRow">
                <anchor moveWithCells="1" sizeWithCells="1">
                  <from>
                    <xdr:col>6</xdr:col>
                    <xdr:colOff>0</xdr:colOff>
                    <xdr:row>4052</xdr:row>
                    <xdr:rowOff>0</xdr:rowOff>
                  </from>
                  <to>
                    <xdr:col>7</xdr:col>
                    <xdr:colOff>0</xdr:colOff>
                    <xdr:row>4052</xdr:row>
                    <xdr:rowOff>161925</xdr:rowOff>
                  </to>
                </anchor>
              </controlPr>
            </control>
          </mc:Choice>
        </mc:AlternateContent>
        <mc:AlternateContent xmlns:mc="http://schemas.openxmlformats.org/markup-compatibility/2006">
          <mc:Choice Requires="x14">
            <control shapeId="12665" r:id="rId2317" name="Button 1401">
              <controlPr defaultSize="0" autoFill="0" autoLine="0" autoPict="0" macro="[0]!Sheet1.deleteRow">
                <anchor moveWithCells="1" sizeWithCells="1">
                  <from>
                    <xdr:col>6</xdr:col>
                    <xdr:colOff>0</xdr:colOff>
                    <xdr:row>4053</xdr:row>
                    <xdr:rowOff>0</xdr:rowOff>
                  </from>
                  <to>
                    <xdr:col>7</xdr:col>
                    <xdr:colOff>0</xdr:colOff>
                    <xdr:row>4053</xdr:row>
                    <xdr:rowOff>161925</xdr:rowOff>
                  </to>
                </anchor>
              </controlPr>
            </control>
          </mc:Choice>
        </mc:AlternateContent>
        <mc:AlternateContent xmlns:mc="http://schemas.openxmlformats.org/markup-compatibility/2006">
          <mc:Choice Requires="x14">
            <control shapeId="12664" r:id="rId2318" name="Button 1400">
              <controlPr defaultSize="0" autoFill="0" autoLine="0" autoPict="0" macro="[0]!Sheet1.deleteRow">
                <anchor moveWithCells="1" sizeWithCells="1">
                  <from>
                    <xdr:col>6</xdr:col>
                    <xdr:colOff>0</xdr:colOff>
                    <xdr:row>4054</xdr:row>
                    <xdr:rowOff>0</xdr:rowOff>
                  </from>
                  <to>
                    <xdr:col>7</xdr:col>
                    <xdr:colOff>0</xdr:colOff>
                    <xdr:row>4054</xdr:row>
                    <xdr:rowOff>161925</xdr:rowOff>
                  </to>
                </anchor>
              </controlPr>
            </control>
          </mc:Choice>
        </mc:AlternateContent>
        <mc:AlternateContent xmlns:mc="http://schemas.openxmlformats.org/markup-compatibility/2006">
          <mc:Choice Requires="x14">
            <control shapeId="12663" r:id="rId2319" name="Button 1399">
              <controlPr defaultSize="0" autoFill="0" autoLine="0" autoPict="0" macro="[0]!Sheet1.deleteRow">
                <anchor moveWithCells="1" sizeWithCells="1">
                  <from>
                    <xdr:col>6</xdr:col>
                    <xdr:colOff>0</xdr:colOff>
                    <xdr:row>4055</xdr:row>
                    <xdr:rowOff>0</xdr:rowOff>
                  </from>
                  <to>
                    <xdr:col>7</xdr:col>
                    <xdr:colOff>0</xdr:colOff>
                    <xdr:row>4055</xdr:row>
                    <xdr:rowOff>161925</xdr:rowOff>
                  </to>
                </anchor>
              </controlPr>
            </control>
          </mc:Choice>
        </mc:AlternateContent>
        <mc:AlternateContent xmlns:mc="http://schemas.openxmlformats.org/markup-compatibility/2006">
          <mc:Choice Requires="x14">
            <control shapeId="12662" r:id="rId2320" name="Button 1398">
              <controlPr defaultSize="0" autoFill="0" autoLine="0" autoPict="0" macro="[0]!Sheet1.deleteRow">
                <anchor moveWithCells="1" sizeWithCells="1">
                  <from>
                    <xdr:col>6</xdr:col>
                    <xdr:colOff>0</xdr:colOff>
                    <xdr:row>4056</xdr:row>
                    <xdr:rowOff>0</xdr:rowOff>
                  </from>
                  <to>
                    <xdr:col>7</xdr:col>
                    <xdr:colOff>0</xdr:colOff>
                    <xdr:row>4056</xdr:row>
                    <xdr:rowOff>161925</xdr:rowOff>
                  </to>
                </anchor>
              </controlPr>
            </control>
          </mc:Choice>
        </mc:AlternateContent>
        <mc:AlternateContent xmlns:mc="http://schemas.openxmlformats.org/markup-compatibility/2006">
          <mc:Choice Requires="x14">
            <control shapeId="12661" r:id="rId2321" name="Button 1397">
              <controlPr defaultSize="0" autoFill="0" autoLine="0" autoPict="0" macro="[0]!Sheet1.deleteRow">
                <anchor moveWithCells="1" sizeWithCells="1">
                  <from>
                    <xdr:col>6</xdr:col>
                    <xdr:colOff>0</xdr:colOff>
                    <xdr:row>4057</xdr:row>
                    <xdr:rowOff>0</xdr:rowOff>
                  </from>
                  <to>
                    <xdr:col>7</xdr:col>
                    <xdr:colOff>0</xdr:colOff>
                    <xdr:row>4057</xdr:row>
                    <xdr:rowOff>161925</xdr:rowOff>
                  </to>
                </anchor>
              </controlPr>
            </control>
          </mc:Choice>
        </mc:AlternateContent>
        <mc:AlternateContent xmlns:mc="http://schemas.openxmlformats.org/markup-compatibility/2006">
          <mc:Choice Requires="x14">
            <control shapeId="12660" r:id="rId2322" name="Button 1396">
              <controlPr defaultSize="0" autoFill="0" autoLine="0" autoPict="0" macro="[0]!Sheet1.deleteRow">
                <anchor moveWithCells="1" sizeWithCells="1">
                  <from>
                    <xdr:col>6</xdr:col>
                    <xdr:colOff>0</xdr:colOff>
                    <xdr:row>4058</xdr:row>
                    <xdr:rowOff>0</xdr:rowOff>
                  </from>
                  <to>
                    <xdr:col>7</xdr:col>
                    <xdr:colOff>0</xdr:colOff>
                    <xdr:row>4058</xdr:row>
                    <xdr:rowOff>161925</xdr:rowOff>
                  </to>
                </anchor>
              </controlPr>
            </control>
          </mc:Choice>
        </mc:AlternateContent>
        <mc:AlternateContent xmlns:mc="http://schemas.openxmlformats.org/markup-compatibility/2006">
          <mc:Choice Requires="x14">
            <control shapeId="12659" r:id="rId2323" name="Button 1395">
              <controlPr defaultSize="0" autoFill="0" autoLine="0" autoPict="0" macro="[0]!Sheet1.deleteRow">
                <anchor moveWithCells="1" sizeWithCells="1">
                  <from>
                    <xdr:col>6</xdr:col>
                    <xdr:colOff>0</xdr:colOff>
                    <xdr:row>4059</xdr:row>
                    <xdr:rowOff>0</xdr:rowOff>
                  </from>
                  <to>
                    <xdr:col>7</xdr:col>
                    <xdr:colOff>0</xdr:colOff>
                    <xdr:row>4059</xdr:row>
                    <xdr:rowOff>161925</xdr:rowOff>
                  </to>
                </anchor>
              </controlPr>
            </control>
          </mc:Choice>
        </mc:AlternateContent>
        <mc:AlternateContent xmlns:mc="http://schemas.openxmlformats.org/markup-compatibility/2006">
          <mc:Choice Requires="x14">
            <control shapeId="12658" r:id="rId2324" name="Button 1394">
              <controlPr defaultSize="0" autoFill="0" autoLine="0" autoPict="0" macro="[0]!Sheet1.deleteRow">
                <anchor moveWithCells="1" sizeWithCells="1">
                  <from>
                    <xdr:col>6</xdr:col>
                    <xdr:colOff>0</xdr:colOff>
                    <xdr:row>4060</xdr:row>
                    <xdr:rowOff>0</xdr:rowOff>
                  </from>
                  <to>
                    <xdr:col>7</xdr:col>
                    <xdr:colOff>0</xdr:colOff>
                    <xdr:row>4060</xdr:row>
                    <xdr:rowOff>161925</xdr:rowOff>
                  </to>
                </anchor>
              </controlPr>
            </control>
          </mc:Choice>
        </mc:AlternateContent>
        <mc:AlternateContent xmlns:mc="http://schemas.openxmlformats.org/markup-compatibility/2006">
          <mc:Choice Requires="x14">
            <control shapeId="12657" r:id="rId2325" name="Button 1393">
              <controlPr defaultSize="0" autoFill="0" autoLine="0" autoPict="0" macro="[0]!Sheet1.deleteRow">
                <anchor moveWithCells="1" sizeWithCells="1">
                  <from>
                    <xdr:col>6</xdr:col>
                    <xdr:colOff>0</xdr:colOff>
                    <xdr:row>4061</xdr:row>
                    <xdr:rowOff>0</xdr:rowOff>
                  </from>
                  <to>
                    <xdr:col>7</xdr:col>
                    <xdr:colOff>0</xdr:colOff>
                    <xdr:row>4061</xdr:row>
                    <xdr:rowOff>161925</xdr:rowOff>
                  </to>
                </anchor>
              </controlPr>
            </control>
          </mc:Choice>
        </mc:AlternateContent>
        <mc:AlternateContent xmlns:mc="http://schemas.openxmlformats.org/markup-compatibility/2006">
          <mc:Choice Requires="x14">
            <control shapeId="12656" r:id="rId2326" name="Button 1392">
              <controlPr defaultSize="0" autoFill="0" autoLine="0" autoPict="0" macro="[0]!Sheet1.deleteRow">
                <anchor moveWithCells="1" sizeWithCells="1">
                  <from>
                    <xdr:col>6</xdr:col>
                    <xdr:colOff>0</xdr:colOff>
                    <xdr:row>4062</xdr:row>
                    <xdr:rowOff>0</xdr:rowOff>
                  </from>
                  <to>
                    <xdr:col>7</xdr:col>
                    <xdr:colOff>0</xdr:colOff>
                    <xdr:row>4062</xdr:row>
                    <xdr:rowOff>161925</xdr:rowOff>
                  </to>
                </anchor>
              </controlPr>
            </control>
          </mc:Choice>
        </mc:AlternateContent>
        <mc:AlternateContent xmlns:mc="http://schemas.openxmlformats.org/markup-compatibility/2006">
          <mc:Choice Requires="x14">
            <control shapeId="12655" r:id="rId2327" name="Button 1391">
              <controlPr defaultSize="0" autoFill="0" autoLine="0" autoPict="0" macro="[0]!Sheet1.deleteRow">
                <anchor moveWithCells="1" sizeWithCells="1">
                  <from>
                    <xdr:col>6</xdr:col>
                    <xdr:colOff>0</xdr:colOff>
                    <xdr:row>4063</xdr:row>
                    <xdr:rowOff>0</xdr:rowOff>
                  </from>
                  <to>
                    <xdr:col>7</xdr:col>
                    <xdr:colOff>0</xdr:colOff>
                    <xdr:row>4063</xdr:row>
                    <xdr:rowOff>161925</xdr:rowOff>
                  </to>
                </anchor>
              </controlPr>
            </control>
          </mc:Choice>
        </mc:AlternateContent>
        <mc:AlternateContent xmlns:mc="http://schemas.openxmlformats.org/markup-compatibility/2006">
          <mc:Choice Requires="x14">
            <control shapeId="12654" r:id="rId2328" name="Button 1390">
              <controlPr defaultSize="0" autoFill="0" autoLine="0" autoPict="0" macro="[0]!Sheet1.deleteRow">
                <anchor moveWithCells="1" sizeWithCells="1">
                  <from>
                    <xdr:col>6</xdr:col>
                    <xdr:colOff>0</xdr:colOff>
                    <xdr:row>4064</xdr:row>
                    <xdr:rowOff>0</xdr:rowOff>
                  </from>
                  <to>
                    <xdr:col>7</xdr:col>
                    <xdr:colOff>0</xdr:colOff>
                    <xdr:row>4064</xdr:row>
                    <xdr:rowOff>161925</xdr:rowOff>
                  </to>
                </anchor>
              </controlPr>
            </control>
          </mc:Choice>
        </mc:AlternateContent>
        <mc:AlternateContent xmlns:mc="http://schemas.openxmlformats.org/markup-compatibility/2006">
          <mc:Choice Requires="x14">
            <control shapeId="12653" r:id="rId2329" name="Button 1389">
              <controlPr defaultSize="0" autoFill="0" autoLine="0" autoPict="0" macro="[0]!Sheet1.deleteRow">
                <anchor moveWithCells="1" sizeWithCells="1">
                  <from>
                    <xdr:col>6</xdr:col>
                    <xdr:colOff>0</xdr:colOff>
                    <xdr:row>4065</xdr:row>
                    <xdr:rowOff>0</xdr:rowOff>
                  </from>
                  <to>
                    <xdr:col>7</xdr:col>
                    <xdr:colOff>0</xdr:colOff>
                    <xdr:row>4065</xdr:row>
                    <xdr:rowOff>161925</xdr:rowOff>
                  </to>
                </anchor>
              </controlPr>
            </control>
          </mc:Choice>
        </mc:AlternateContent>
        <mc:AlternateContent xmlns:mc="http://schemas.openxmlformats.org/markup-compatibility/2006">
          <mc:Choice Requires="x14">
            <control shapeId="12652" r:id="rId2330" name="Button 1388">
              <controlPr defaultSize="0" autoFill="0" autoLine="0" autoPict="0" macro="[0]!Sheet1.deleteRow">
                <anchor moveWithCells="1" sizeWithCells="1">
                  <from>
                    <xdr:col>6</xdr:col>
                    <xdr:colOff>0</xdr:colOff>
                    <xdr:row>4066</xdr:row>
                    <xdr:rowOff>0</xdr:rowOff>
                  </from>
                  <to>
                    <xdr:col>7</xdr:col>
                    <xdr:colOff>0</xdr:colOff>
                    <xdr:row>4066</xdr:row>
                    <xdr:rowOff>161925</xdr:rowOff>
                  </to>
                </anchor>
              </controlPr>
            </control>
          </mc:Choice>
        </mc:AlternateContent>
        <mc:AlternateContent xmlns:mc="http://schemas.openxmlformats.org/markup-compatibility/2006">
          <mc:Choice Requires="x14">
            <control shapeId="12651" r:id="rId2331" name="Button 1387">
              <controlPr defaultSize="0" autoFill="0" autoLine="0" autoPict="0" macro="[0]!Sheet1.deleteRow">
                <anchor moveWithCells="1" sizeWithCells="1">
                  <from>
                    <xdr:col>6</xdr:col>
                    <xdr:colOff>0</xdr:colOff>
                    <xdr:row>4067</xdr:row>
                    <xdr:rowOff>0</xdr:rowOff>
                  </from>
                  <to>
                    <xdr:col>7</xdr:col>
                    <xdr:colOff>0</xdr:colOff>
                    <xdr:row>4067</xdr:row>
                    <xdr:rowOff>161925</xdr:rowOff>
                  </to>
                </anchor>
              </controlPr>
            </control>
          </mc:Choice>
        </mc:AlternateContent>
        <mc:AlternateContent xmlns:mc="http://schemas.openxmlformats.org/markup-compatibility/2006">
          <mc:Choice Requires="x14">
            <control shapeId="12650" r:id="rId2332" name="Button 1386">
              <controlPr defaultSize="0" autoFill="0" autoLine="0" autoPict="0" macro="[0]!Sheet1.deleteRow">
                <anchor moveWithCells="1" sizeWithCells="1">
                  <from>
                    <xdr:col>6</xdr:col>
                    <xdr:colOff>0</xdr:colOff>
                    <xdr:row>4068</xdr:row>
                    <xdr:rowOff>0</xdr:rowOff>
                  </from>
                  <to>
                    <xdr:col>7</xdr:col>
                    <xdr:colOff>0</xdr:colOff>
                    <xdr:row>4068</xdr:row>
                    <xdr:rowOff>161925</xdr:rowOff>
                  </to>
                </anchor>
              </controlPr>
            </control>
          </mc:Choice>
        </mc:AlternateContent>
        <mc:AlternateContent xmlns:mc="http://schemas.openxmlformats.org/markup-compatibility/2006">
          <mc:Choice Requires="x14">
            <control shapeId="12649" r:id="rId2333" name="Button 1385">
              <controlPr defaultSize="0" autoFill="0" autoLine="0" autoPict="0" macro="[0]!Sheet1.deleteRow">
                <anchor moveWithCells="1" sizeWithCells="1">
                  <from>
                    <xdr:col>6</xdr:col>
                    <xdr:colOff>0</xdr:colOff>
                    <xdr:row>4069</xdr:row>
                    <xdr:rowOff>0</xdr:rowOff>
                  </from>
                  <to>
                    <xdr:col>7</xdr:col>
                    <xdr:colOff>0</xdr:colOff>
                    <xdr:row>4069</xdr:row>
                    <xdr:rowOff>161925</xdr:rowOff>
                  </to>
                </anchor>
              </controlPr>
            </control>
          </mc:Choice>
        </mc:AlternateContent>
        <mc:AlternateContent xmlns:mc="http://schemas.openxmlformats.org/markup-compatibility/2006">
          <mc:Choice Requires="x14">
            <control shapeId="12648" r:id="rId2334" name="Button 1384">
              <controlPr defaultSize="0" autoFill="0" autoLine="0" autoPict="0" macro="[0]!Sheet1.deleteRow">
                <anchor moveWithCells="1" sizeWithCells="1">
                  <from>
                    <xdr:col>6</xdr:col>
                    <xdr:colOff>0</xdr:colOff>
                    <xdr:row>4070</xdr:row>
                    <xdr:rowOff>0</xdr:rowOff>
                  </from>
                  <to>
                    <xdr:col>7</xdr:col>
                    <xdr:colOff>0</xdr:colOff>
                    <xdr:row>4070</xdr:row>
                    <xdr:rowOff>161925</xdr:rowOff>
                  </to>
                </anchor>
              </controlPr>
            </control>
          </mc:Choice>
        </mc:AlternateContent>
        <mc:AlternateContent xmlns:mc="http://schemas.openxmlformats.org/markup-compatibility/2006">
          <mc:Choice Requires="x14">
            <control shapeId="12647" r:id="rId2335" name="Button 1383">
              <controlPr defaultSize="0" autoFill="0" autoLine="0" autoPict="0" macro="[0]!Sheet1.deleteRow">
                <anchor moveWithCells="1" sizeWithCells="1">
                  <from>
                    <xdr:col>6</xdr:col>
                    <xdr:colOff>0</xdr:colOff>
                    <xdr:row>4071</xdr:row>
                    <xdr:rowOff>0</xdr:rowOff>
                  </from>
                  <to>
                    <xdr:col>7</xdr:col>
                    <xdr:colOff>0</xdr:colOff>
                    <xdr:row>4071</xdr:row>
                    <xdr:rowOff>161925</xdr:rowOff>
                  </to>
                </anchor>
              </controlPr>
            </control>
          </mc:Choice>
        </mc:AlternateContent>
        <mc:AlternateContent xmlns:mc="http://schemas.openxmlformats.org/markup-compatibility/2006">
          <mc:Choice Requires="x14">
            <control shapeId="12646" r:id="rId2336" name="Button 1382">
              <controlPr defaultSize="0" autoFill="0" autoLine="0" autoPict="0" macro="[0]!Sheet1.deleteRow">
                <anchor moveWithCells="1" sizeWithCells="1">
                  <from>
                    <xdr:col>6</xdr:col>
                    <xdr:colOff>0</xdr:colOff>
                    <xdr:row>4072</xdr:row>
                    <xdr:rowOff>0</xdr:rowOff>
                  </from>
                  <to>
                    <xdr:col>7</xdr:col>
                    <xdr:colOff>0</xdr:colOff>
                    <xdr:row>4072</xdr:row>
                    <xdr:rowOff>161925</xdr:rowOff>
                  </to>
                </anchor>
              </controlPr>
            </control>
          </mc:Choice>
        </mc:AlternateContent>
        <mc:AlternateContent xmlns:mc="http://schemas.openxmlformats.org/markup-compatibility/2006">
          <mc:Choice Requires="x14">
            <control shapeId="12645" r:id="rId2337" name="Button 1381">
              <controlPr defaultSize="0" autoFill="0" autoLine="0" autoPict="0" macro="[0]!Sheet1.deleteProcedure">
                <anchor moveWithCells="1" sizeWithCells="1">
                  <from>
                    <xdr:col>6</xdr:col>
                    <xdr:colOff>0</xdr:colOff>
                    <xdr:row>4075</xdr:row>
                    <xdr:rowOff>0</xdr:rowOff>
                  </from>
                  <to>
                    <xdr:col>7</xdr:col>
                    <xdr:colOff>0</xdr:colOff>
                    <xdr:row>4076</xdr:row>
                    <xdr:rowOff>0</xdr:rowOff>
                  </to>
                </anchor>
              </controlPr>
            </control>
          </mc:Choice>
        </mc:AlternateContent>
        <mc:AlternateContent xmlns:mc="http://schemas.openxmlformats.org/markup-compatibility/2006">
          <mc:Choice Requires="x14">
            <control shapeId="12644" r:id="rId2338" name="Button 1380">
              <controlPr defaultSize="0" autoFill="0" autoLine="0" autoPict="0" macro="[0]!Sheet1.InsertNewTableRow">
                <anchor moveWithCells="1" sizeWithCells="1">
                  <from>
                    <xdr:col>6</xdr:col>
                    <xdr:colOff>0</xdr:colOff>
                    <xdr:row>4082</xdr:row>
                    <xdr:rowOff>0</xdr:rowOff>
                  </from>
                  <to>
                    <xdr:col>7</xdr:col>
                    <xdr:colOff>0</xdr:colOff>
                    <xdr:row>4082</xdr:row>
                    <xdr:rowOff>38100</xdr:rowOff>
                  </to>
                </anchor>
              </controlPr>
            </control>
          </mc:Choice>
        </mc:AlternateContent>
        <mc:AlternateContent xmlns:mc="http://schemas.openxmlformats.org/markup-compatibility/2006">
          <mc:Choice Requires="x14">
            <control shapeId="12643" r:id="rId2339" name="Button 1379">
              <controlPr defaultSize="0" autoFill="0" autoLine="0" autoPict="0" macro="[0]!Sheet1.deleteRow">
                <anchor moveWithCells="1" sizeWithCells="1">
                  <from>
                    <xdr:col>6</xdr:col>
                    <xdr:colOff>0</xdr:colOff>
                    <xdr:row>4083</xdr:row>
                    <xdr:rowOff>0</xdr:rowOff>
                  </from>
                  <to>
                    <xdr:col>7</xdr:col>
                    <xdr:colOff>0</xdr:colOff>
                    <xdr:row>4083</xdr:row>
                    <xdr:rowOff>161925</xdr:rowOff>
                  </to>
                </anchor>
              </controlPr>
            </control>
          </mc:Choice>
        </mc:AlternateContent>
        <mc:AlternateContent xmlns:mc="http://schemas.openxmlformats.org/markup-compatibility/2006">
          <mc:Choice Requires="x14">
            <control shapeId="12642" r:id="rId2340" name="Button 1378">
              <controlPr defaultSize="0" autoFill="0" autoLine="0" autoPict="0" macro="[0]!Sheet1.deleteRow">
                <anchor moveWithCells="1" sizeWithCells="1">
                  <from>
                    <xdr:col>6</xdr:col>
                    <xdr:colOff>0</xdr:colOff>
                    <xdr:row>4084</xdr:row>
                    <xdr:rowOff>0</xdr:rowOff>
                  </from>
                  <to>
                    <xdr:col>7</xdr:col>
                    <xdr:colOff>0</xdr:colOff>
                    <xdr:row>4084</xdr:row>
                    <xdr:rowOff>161925</xdr:rowOff>
                  </to>
                </anchor>
              </controlPr>
            </control>
          </mc:Choice>
        </mc:AlternateContent>
        <mc:AlternateContent xmlns:mc="http://schemas.openxmlformats.org/markup-compatibility/2006">
          <mc:Choice Requires="x14">
            <control shapeId="12641" r:id="rId2341" name="Button 1377">
              <controlPr defaultSize="0" autoFill="0" autoLine="0" autoPict="0" macro="[0]!Sheet1.deleteRow">
                <anchor moveWithCells="1" sizeWithCells="1">
                  <from>
                    <xdr:col>6</xdr:col>
                    <xdr:colOff>0</xdr:colOff>
                    <xdr:row>4085</xdr:row>
                    <xdr:rowOff>0</xdr:rowOff>
                  </from>
                  <to>
                    <xdr:col>7</xdr:col>
                    <xdr:colOff>0</xdr:colOff>
                    <xdr:row>4085</xdr:row>
                    <xdr:rowOff>161925</xdr:rowOff>
                  </to>
                </anchor>
              </controlPr>
            </control>
          </mc:Choice>
        </mc:AlternateContent>
        <mc:AlternateContent xmlns:mc="http://schemas.openxmlformats.org/markup-compatibility/2006">
          <mc:Choice Requires="x14">
            <control shapeId="12640" r:id="rId2342" name="Button 1376">
              <controlPr defaultSize="0" autoFill="0" autoLine="0" autoPict="0" macro="[0]!Sheet1.deleteRow">
                <anchor moveWithCells="1" sizeWithCells="1">
                  <from>
                    <xdr:col>6</xdr:col>
                    <xdr:colOff>0</xdr:colOff>
                    <xdr:row>4086</xdr:row>
                    <xdr:rowOff>0</xdr:rowOff>
                  </from>
                  <to>
                    <xdr:col>7</xdr:col>
                    <xdr:colOff>0</xdr:colOff>
                    <xdr:row>4086</xdr:row>
                    <xdr:rowOff>161925</xdr:rowOff>
                  </to>
                </anchor>
              </controlPr>
            </control>
          </mc:Choice>
        </mc:AlternateContent>
        <mc:AlternateContent xmlns:mc="http://schemas.openxmlformats.org/markup-compatibility/2006">
          <mc:Choice Requires="x14">
            <control shapeId="12639" r:id="rId2343" name="Button 1375">
              <controlPr defaultSize="0" autoFill="0" autoLine="0" autoPict="0" macro="[0]!Sheet1.deleteRow">
                <anchor moveWithCells="1" sizeWithCells="1">
                  <from>
                    <xdr:col>6</xdr:col>
                    <xdr:colOff>0</xdr:colOff>
                    <xdr:row>4087</xdr:row>
                    <xdr:rowOff>0</xdr:rowOff>
                  </from>
                  <to>
                    <xdr:col>7</xdr:col>
                    <xdr:colOff>0</xdr:colOff>
                    <xdr:row>4087</xdr:row>
                    <xdr:rowOff>161925</xdr:rowOff>
                  </to>
                </anchor>
              </controlPr>
            </control>
          </mc:Choice>
        </mc:AlternateContent>
        <mc:AlternateContent xmlns:mc="http://schemas.openxmlformats.org/markup-compatibility/2006">
          <mc:Choice Requires="x14">
            <control shapeId="12638" r:id="rId2344" name="Button 1374">
              <controlPr defaultSize="0" autoFill="0" autoLine="0" autoPict="0" macro="[0]!Sheet1.deleteRow">
                <anchor moveWithCells="1" sizeWithCells="1">
                  <from>
                    <xdr:col>6</xdr:col>
                    <xdr:colOff>0</xdr:colOff>
                    <xdr:row>4088</xdr:row>
                    <xdr:rowOff>0</xdr:rowOff>
                  </from>
                  <to>
                    <xdr:col>7</xdr:col>
                    <xdr:colOff>0</xdr:colOff>
                    <xdr:row>4088</xdr:row>
                    <xdr:rowOff>161925</xdr:rowOff>
                  </to>
                </anchor>
              </controlPr>
            </control>
          </mc:Choice>
        </mc:AlternateContent>
        <mc:AlternateContent xmlns:mc="http://schemas.openxmlformats.org/markup-compatibility/2006">
          <mc:Choice Requires="x14">
            <control shapeId="12637" r:id="rId2345" name="Button 1373">
              <controlPr defaultSize="0" autoFill="0" autoLine="0" autoPict="0" macro="[0]!Sheet1.deleteRow">
                <anchor moveWithCells="1" sizeWithCells="1">
                  <from>
                    <xdr:col>6</xdr:col>
                    <xdr:colOff>0</xdr:colOff>
                    <xdr:row>4089</xdr:row>
                    <xdr:rowOff>0</xdr:rowOff>
                  </from>
                  <to>
                    <xdr:col>7</xdr:col>
                    <xdr:colOff>0</xdr:colOff>
                    <xdr:row>4089</xdr:row>
                    <xdr:rowOff>161925</xdr:rowOff>
                  </to>
                </anchor>
              </controlPr>
            </control>
          </mc:Choice>
        </mc:AlternateContent>
        <mc:AlternateContent xmlns:mc="http://schemas.openxmlformats.org/markup-compatibility/2006">
          <mc:Choice Requires="x14">
            <control shapeId="12636" r:id="rId2346" name="Button 1372">
              <controlPr defaultSize="0" autoFill="0" autoLine="0" autoPict="0" macro="[0]!Sheet1.deleteRow">
                <anchor moveWithCells="1" sizeWithCells="1">
                  <from>
                    <xdr:col>6</xdr:col>
                    <xdr:colOff>0</xdr:colOff>
                    <xdr:row>4090</xdr:row>
                    <xdr:rowOff>0</xdr:rowOff>
                  </from>
                  <to>
                    <xdr:col>7</xdr:col>
                    <xdr:colOff>0</xdr:colOff>
                    <xdr:row>4090</xdr:row>
                    <xdr:rowOff>161925</xdr:rowOff>
                  </to>
                </anchor>
              </controlPr>
            </control>
          </mc:Choice>
        </mc:AlternateContent>
        <mc:AlternateContent xmlns:mc="http://schemas.openxmlformats.org/markup-compatibility/2006">
          <mc:Choice Requires="x14">
            <control shapeId="12635" r:id="rId2347" name="Button 1371">
              <controlPr defaultSize="0" autoFill="0" autoLine="0" autoPict="0" macro="[0]!Sheet1.deleteRow">
                <anchor moveWithCells="1" sizeWithCells="1">
                  <from>
                    <xdr:col>6</xdr:col>
                    <xdr:colOff>0</xdr:colOff>
                    <xdr:row>4091</xdr:row>
                    <xdr:rowOff>0</xdr:rowOff>
                  </from>
                  <to>
                    <xdr:col>7</xdr:col>
                    <xdr:colOff>0</xdr:colOff>
                    <xdr:row>4091</xdr:row>
                    <xdr:rowOff>161925</xdr:rowOff>
                  </to>
                </anchor>
              </controlPr>
            </control>
          </mc:Choice>
        </mc:AlternateContent>
        <mc:AlternateContent xmlns:mc="http://schemas.openxmlformats.org/markup-compatibility/2006">
          <mc:Choice Requires="x14">
            <control shapeId="12634" r:id="rId2348" name="Button 1370">
              <controlPr defaultSize="0" autoFill="0" autoLine="0" autoPict="0" macro="[0]!Sheet1.deleteRow">
                <anchor moveWithCells="1" sizeWithCells="1">
                  <from>
                    <xdr:col>6</xdr:col>
                    <xdr:colOff>0</xdr:colOff>
                    <xdr:row>4092</xdr:row>
                    <xdr:rowOff>0</xdr:rowOff>
                  </from>
                  <to>
                    <xdr:col>7</xdr:col>
                    <xdr:colOff>0</xdr:colOff>
                    <xdr:row>4092</xdr:row>
                    <xdr:rowOff>161925</xdr:rowOff>
                  </to>
                </anchor>
              </controlPr>
            </control>
          </mc:Choice>
        </mc:AlternateContent>
        <mc:AlternateContent xmlns:mc="http://schemas.openxmlformats.org/markup-compatibility/2006">
          <mc:Choice Requires="x14">
            <control shapeId="12633" r:id="rId2349" name="Button 1369">
              <controlPr defaultSize="0" autoFill="0" autoLine="0" autoPict="0" macro="[0]!Sheet1.deleteRow">
                <anchor moveWithCells="1" sizeWithCells="1">
                  <from>
                    <xdr:col>6</xdr:col>
                    <xdr:colOff>0</xdr:colOff>
                    <xdr:row>4093</xdr:row>
                    <xdr:rowOff>0</xdr:rowOff>
                  </from>
                  <to>
                    <xdr:col>7</xdr:col>
                    <xdr:colOff>0</xdr:colOff>
                    <xdr:row>4093</xdr:row>
                    <xdr:rowOff>161925</xdr:rowOff>
                  </to>
                </anchor>
              </controlPr>
            </control>
          </mc:Choice>
        </mc:AlternateContent>
        <mc:AlternateContent xmlns:mc="http://schemas.openxmlformats.org/markup-compatibility/2006">
          <mc:Choice Requires="x14">
            <control shapeId="12632" r:id="rId2350" name="Button 1368">
              <controlPr defaultSize="0" autoFill="0" autoLine="0" autoPict="0" macro="[0]!Sheet1.deleteRow">
                <anchor moveWithCells="1" sizeWithCells="1">
                  <from>
                    <xdr:col>6</xdr:col>
                    <xdr:colOff>0</xdr:colOff>
                    <xdr:row>4094</xdr:row>
                    <xdr:rowOff>0</xdr:rowOff>
                  </from>
                  <to>
                    <xdr:col>7</xdr:col>
                    <xdr:colOff>0</xdr:colOff>
                    <xdr:row>4094</xdr:row>
                    <xdr:rowOff>161925</xdr:rowOff>
                  </to>
                </anchor>
              </controlPr>
            </control>
          </mc:Choice>
        </mc:AlternateContent>
        <mc:AlternateContent xmlns:mc="http://schemas.openxmlformats.org/markup-compatibility/2006">
          <mc:Choice Requires="x14">
            <control shapeId="12631" r:id="rId2351" name="Button 1367">
              <controlPr defaultSize="0" autoFill="0" autoLine="0" autoPict="0" macro="[0]!Sheet1.deleteRow">
                <anchor moveWithCells="1" sizeWithCells="1">
                  <from>
                    <xdr:col>6</xdr:col>
                    <xdr:colOff>0</xdr:colOff>
                    <xdr:row>4095</xdr:row>
                    <xdr:rowOff>0</xdr:rowOff>
                  </from>
                  <to>
                    <xdr:col>7</xdr:col>
                    <xdr:colOff>0</xdr:colOff>
                    <xdr:row>4095</xdr:row>
                    <xdr:rowOff>161925</xdr:rowOff>
                  </to>
                </anchor>
              </controlPr>
            </control>
          </mc:Choice>
        </mc:AlternateContent>
        <mc:AlternateContent xmlns:mc="http://schemas.openxmlformats.org/markup-compatibility/2006">
          <mc:Choice Requires="x14">
            <control shapeId="12630" r:id="rId2352" name="Button 1366">
              <controlPr defaultSize="0" autoFill="0" autoLine="0" autoPict="0" macro="[0]!Sheet1.deleteRow">
                <anchor moveWithCells="1" sizeWithCells="1">
                  <from>
                    <xdr:col>6</xdr:col>
                    <xdr:colOff>0</xdr:colOff>
                    <xdr:row>4096</xdr:row>
                    <xdr:rowOff>0</xdr:rowOff>
                  </from>
                  <to>
                    <xdr:col>7</xdr:col>
                    <xdr:colOff>0</xdr:colOff>
                    <xdr:row>4096</xdr:row>
                    <xdr:rowOff>161925</xdr:rowOff>
                  </to>
                </anchor>
              </controlPr>
            </control>
          </mc:Choice>
        </mc:AlternateContent>
        <mc:AlternateContent xmlns:mc="http://schemas.openxmlformats.org/markup-compatibility/2006">
          <mc:Choice Requires="x14">
            <control shapeId="12629" r:id="rId2353" name="Button 1365">
              <controlPr defaultSize="0" autoFill="0" autoLine="0" autoPict="0" macro="[0]!Sheet1.deleteRow">
                <anchor moveWithCells="1" sizeWithCells="1">
                  <from>
                    <xdr:col>6</xdr:col>
                    <xdr:colOff>0</xdr:colOff>
                    <xdr:row>4097</xdr:row>
                    <xdr:rowOff>0</xdr:rowOff>
                  </from>
                  <to>
                    <xdr:col>7</xdr:col>
                    <xdr:colOff>0</xdr:colOff>
                    <xdr:row>4097</xdr:row>
                    <xdr:rowOff>161925</xdr:rowOff>
                  </to>
                </anchor>
              </controlPr>
            </control>
          </mc:Choice>
        </mc:AlternateContent>
        <mc:AlternateContent xmlns:mc="http://schemas.openxmlformats.org/markup-compatibility/2006">
          <mc:Choice Requires="x14">
            <control shapeId="12628" r:id="rId2354" name="Button 1364">
              <controlPr defaultSize="0" autoFill="0" autoLine="0" autoPict="0" macro="[0]!Sheet1.deleteRow">
                <anchor moveWithCells="1" sizeWithCells="1">
                  <from>
                    <xdr:col>6</xdr:col>
                    <xdr:colOff>0</xdr:colOff>
                    <xdr:row>4098</xdr:row>
                    <xdr:rowOff>0</xdr:rowOff>
                  </from>
                  <to>
                    <xdr:col>7</xdr:col>
                    <xdr:colOff>0</xdr:colOff>
                    <xdr:row>4098</xdr:row>
                    <xdr:rowOff>161925</xdr:rowOff>
                  </to>
                </anchor>
              </controlPr>
            </control>
          </mc:Choice>
        </mc:AlternateContent>
        <mc:AlternateContent xmlns:mc="http://schemas.openxmlformats.org/markup-compatibility/2006">
          <mc:Choice Requires="x14">
            <control shapeId="12627" r:id="rId2355" name="Button 1363">
              <controlPr defaultSize="0" autoFill="0" autoLine="0" autoPict="0" macro="[0]!Sheet1.deleteRow">
                <anchor moveWithCells="1" sizeWithCells="1">
                  <from>
                    <xdr:col>6</xdr:col>
                    <xdr:colOff>0</xdr:colOff>
                    <xdr:row>4099</xdr:row>
                    <xdr:rowOff>0</xdr:rowOff>
                  </from>
                  <to>
                    <xdr:col>7</xdr:col>
                    <xdr:colOff>0</xdr:colOff>
                    <xdr:row>4099</xdr:row>
                    <xdr:rowOff>161925</xdr:rowOff>
                  </to>
                </anchor>
              </controlPr>
            </control>
          </mc:Choice>
        </mc:AlternateContent>
        <mc:AlternateContent xmlns:mc="http://schemas.openxmlformats.org/markup-compatibility/2006">
          <mc:Choice Requires="x14">
            <control shapeId="12626" r:id="rId2356" name="Button 1362">
              <controlPr defaultSize="0" autoFill="0" autoLine="0" autoPict="0" macro="[0]!Sheet1.deleteRow">
                <anchor moveWithCells="1" sizeWithCells="1">
                  <from>
                    <xdr:col>6</xdr:col>
                    <xdr:colOff>0</xdr:colOff>
                    <xdr:row>4100</xdr:row>
                    <xdr:rowOff>0</xdr:rowOff>
                  </from>
                  <to>
                    <xdr:col>7</xdr:col>
                    <xdr:colOff>0</xdr:colOff>
                    <xdr:row>4100</xdr:row>
                    <xdr:rowOff>161925</xdr:rowOff>
                  </to>
                </anchor>
              </controlPr>
            </control>
          </mc:Choice>
        </mc:AlternateContent>
        <mc:AlternateContent xmlns:mc="http://schemas.openxmlformats.org/markup-compatibility/2006">
          <mc:Choice Requires="x14">
            <control shapeId="12625" r:id="rId2357" name="Button 1361">
              <controlPr defaultSize="0" autoFill="0" autoLine="0" autoPict="0" macro="[0]!Sheet1.deleteRow">
                <anchor moveWithCells="1" sizeWithCells="1">
                  <from>
                    <xdr:col>6</xdr:col>
                    <xdr:colOff>0</xdr:colOff>
                    <xdr:row>4101</xdr:row>
                    <xdr:rowOff>0</xdr:rowOff>
                  </from>
                  <to>
                    <xdr:col>7</xdr:col>
                    <xdr:colOff>0</xdr:colOff>
                    <xdr:row>4101</xdr:row>
                    <xdr:rowOff>161925</xdr:rowOff>
                  </to>
                </anchor>
              </controlPr>
            </control>
          </mc:Choice>
        </mc:AlternateContent>
        <mc:AlternateContent xmlns:mc="http://schemas.openxmlformats.org/markup-compatibility/2006">
          <mc:Choice Requires="x14">
            <control shapeId="12624" r:id="rId2358" name="Button 1360">
              <controlPr defaultSize="0" autoFill="0" autoLine="0" autoPict="0" macro="[0]!Sheet1.deleteRow">
                <anchor moveWithCells="1" sizeWithCells="1">
                  <from>
                    <xdr:col>6</xdr:col>
                    <xdr:colOff>0</xdr:colOff>
                    <xdr:row>4102</xdr:row>
                    <xdr:rowOff>0</xdr:rowOff>
                  </from>
                  <to>
                    <xdr:col>7</xdr:col>
                    <xdr:colOff>0</xdr:colOff>
                    <xdr:row>4102</xdr:row>
                    <xdr:rowOff>161925</xdr:rowOff>
                  </to>
                </anchor>
              </controlPr>
            </control>
          </mc:Choice>
        </mc:AlternateContent>
        <mc:AlternateContent xmlns:mc="http://schemas.openxmlformats.org/markup-compatibility/2006">
          <mc:Choice Requires="x14">
            <control shapeId="12623" r:id="rId2359" name="Button 1359">
              <controlPr defaultSize="0" autoFill="0" autoLine="0" autoPict="0" macro="[0]!Sheet1.deleteRow">
                <anchor moveWithCells="1" sizeWithCells="1">
                  <from>
                    <xdr:col>6</xdr:col>
                    <xdr:colOff>0</xdr:colOff>
                    <xdr:row>4103</xdr:row>
                    <xdr:rowOff>0</xdr:rowOff>
                  </from>
                  <to>
                    <xdr:col>7</xdr:col>
                    <xdr:colOff>0</xdr:colOff>
                    <xdr:row>4103</xdr:row>
                    <xdr:rowOff>161925</xdr:rowOff>
                  </to>
                </anchor>
              </controlPr>
            </control>
          </mc:Choice>
        </mc:AlternateContent>
        <mc:AlternateContent xmlns:mc="http://schemas.openxmlformats.org/markup-compatibility/2006">
          <mc:Choice Requires="x14">
            <control shapeId="12622" r:id="rId2360" name="Button 1358">
              <controlPr defaultSize="0" autoFill="0" autoLine="0" autoPict="0" macro="[0]!Sheet1.deleteRow">
                <anchor moveWithCells="1" sizeWithCells="1">
                  <from>
                    <xdr:col>6</xdr:col>
                    <xdr:colOff>0</xdr:colOff>
                    <xdr:row>4104</xdr:row>
                    <xdr:rowOff>0</xdr:rowOff>
                  </from>
                  <to>
                    <xdr:col>7</xdr:col>
                    <xdr:colOff>0</xdr:colOff>
                    <xdr:row>4104</xdr:row>
                    <xdr:rowOff>161925</xdr:rowOff>
                  </to>
                </anchor>
              </controlPr>
            </control>
          </mc:Choice>
        </mc:AlternateContent>
        <mc:AlternateContent xmlns:mc="http://schemas.openxmlformats.org/markup-compatibility/2006">
          <mc:Choice Requires="x14">
            <control shapeId="12621" r:id="rId2361" name="Button 1357">
              <controlPr defaultSize="0" autoFill="0" autoLine="0" autoPict="0" macro="[0]!Sheet1.deleteRow">
                <anchor moveWithCells="1" sizeWithCells="1">
                  <from>
                    <xdr:col>6</xdr:col>
                    <xdr:colOff>0</xdr:colOff>
                    <xdr:row>4105</xdr:row>
                    <xdr:rowOff>0</xdr:rowOff>
                  </from>
                  <to>
                    <xdr:col>7</xdr:col>
                    <xdr:colOff>0</xdr:colOff>
                    <xdr:row>4105</xdr:row>
                    <xdr:rowOff>161925</xdr:rowOff>
                  </to>
                </anchor>
              </controlPr>
            </control>
          </mc:Choice>
        </mc:AlternateContent>
        <mc:AlternateContent xmlns:mc="http://schemas.openxmlformats.org/markup-compatibility/2006">
          <mc:Choice Requires="x14">
            <control shapeId="12620" r:id="rId2362" name="Button 1356">
              <controlPr defaultSize="0" autoFill="0" autoLine="0" autoPict="0" macro="[0]!Sheet1.deleteRow">
                <anchor moveWithCells="1" sizeWithCells="1">
                  <from>
                    <xdr:col>6</xdr:col>
                    <xdr:colOff>0</xdr:colOff>
                    <xdr:row>4106</xdr:row>
                    <xdr:rowOff>0</xdr:rowOff>
                  </from>
                  <to>
                    <xdr:col>7</xdr:col>
                    <xdr:colOff>0</xdr:colOff>
                    <xdr:row>4106</xdr:row>
                    <xdr:rowOff>161925</xdr:rowOff>
                  </to>
                </anchor>
              </controlPr>
            </control>
          </mc:Choice>
        </mc:AlternateContent>
        <mc:AlternateContent xmlns:mc="http://schemas.openxmlformats.org/markup-compatibility/2006">
          <mc:Choice Requires="x14">
            <control shapeId="12619" r:id="rId2363" name="Button 1355">
              <controlPr defaultSize="0" autoFill="0" autoLine="0" autoPict="0" macro="[0]!Sheet1.deleteRow">
                <anchor moveWithCells="1" sizeWithCells="1">
                  <from>
                    <xdr:col>6</xdr:col>
                    <xdr:colOff>0</xdr:colOff>
                    <xdr:row>4107</xdr:row>
                    <xdr:rowOff>0</xdr:rowOff>
                  </from>
                  <to>
                    <xdr:col>7</xdr:col>
                    <xdr:colOff>0</xdr:colOff>
                    <xdr:row>4107</xdr:row>
                    <xdr:rowOff>161925</xdr:rowOff>
                  </to>
                </anchor>
              </controlPr>
            </control>
          </mc:Choice>
        </mc:AlternateContent>
        <mc:AlternateContent xmlns:mc="http://schemas.openxmlformats.org/markup-compatibility/2006">
          <mc:Choice Requires="x14">
            <control shapeId="12618" r:id="rId2364" name="Button 1354">
              <controlPr defaultSize="0" autoFill="0" autoLine="0" autoPict="0" macro="[0]!Sheet1.deleteRow">
                <anchor moveWithCells="1" sizeWithCells="1">
                  <from>
                    <xdr:col>6</xdr:col>
                    <xdr:colOff>0</xdr:colOff>
                    <xdr:row>4108</xdr:row>
                    <xdr:rowOff>0</xdr:rowOff>
                  </from>
                  <to>
                    <xdr:col>7</xdr:col>
                    <xdr:colOff>0</xdr:colOff>
                    <xdr:row>4108</xdr:row>
                    <xdr:rowOff>161925</xdr:rowOff>
                  </to>
                </anchor>
              </controlPr>
            </control>
          </mc:Choice>
        </mc:AlternateContent>
        <mc:AlternateContent xmlns:mc="http://schemas.openxmlformats.org/markup-compatibility/2006">
          <mc:Choice Requires="x14">
            <control shapeId="12617" r:id="rId2365" name="Button 1353">
              <controlPr defaultSize="0" autoFill="0" autoLine="0" autoPict="0" macro="[0]!Sheet1.deleteRow">
                <anchor moveWithCells="1" sizeWithCells="1">
                  <from>
                    <xdr:col>6</xdr:col>
                    <xdr:colOff>0</xdr:colOff>
                    <xdr:row>4109</xdr:row>
                    <xdr:rowOff>0</xdr:rowOff>
                  </from>
                  <to>
                    <xdr:col>7</xdr:col>
                    <xdr:colOff>0</xdr:colOff>
                    <xdr:row>4109</xdr:row>
                    <xdr:rowOff>161925</xdr:rowOff>
                  </to>
                </anchor>
              </controlPr>
            </control>
          </mc:Choice>
        </mc:AlternateContent>
        <mc:AlternateContent xmlns:mc="http://schemas.openxmlformats.org/markup-compatibility/2006">
          <mc:Choice Requires="x14">
            <control shapeId="12616" r:id="rId2366" name="Button 1352">
              <controlPr defaultSize="0" autoFill="0" autoLine="0" autoPict="0" macro="[0]!Sheet1.deleteRow">
                <anchor moveWithCells="1" sizeWithCells="1">
                  <from>
                    <xdr:col>6</xdr:col>
                    <xdr:colOff>0</xdr:colOff>
                    <xdr:row>4110</xdr:row>
                    <xdr:rowOff>0</xdr:rowOff>
                  </from>
                  <to>
                    <xdr:col>7</xdr:col>
                    <xdr:colOff>0</xdr:colOff>
                    <xdr:row>4110</xdr:row>
                    <xdr:rowOff>161925</xdr:rowOff>
                  </to>
                </anchor>
              </controlPr>
            </control>
          </mc:Choice>
        </mc:AlternateContent>
        <mc:AlternateContent xmlns:mc="http://schemas.openxmlformats.org/markup-compatibility/2006">
          <mc:Choice Requires="x14">
            <control shapeId="12615" r:id="rId2367" name="Button 1351">
              <controlPr defaultSize="0" autoFill="0" autoLine="0" autoPict="0" macro="[0]!Sheet1.deleteRow">
                <anchor moveWithCells="1" sizeWithCells="1">
                  <from>
                    <xdr:col>6</xdr:col>
                    <xdr:colOff>0</xdr:colOff>
                    <xdr:row>4111</xdr:row>
                    <xdr:rowOff>0</xdr:rowOff>
                  </from>
                  <to>
                    <xdr:col>7</xdr:col>
                    <xdr:colOff>0</xdr:colOff>
                    <xdr:row>4111</xdr:row>
                    <xdr:rowOff>161925</xdr:rowOff>
                  </to>
                </anchor>
              </controlPr>
            </control>
          </mc:Choice>
        </mc:AlternateContent>
        <mc:AlternateContent xmlns:mc="http://schemas.openxmlformats.org/markup-compatibility/2006">
          <mc:Choice Requires="x14">
            <control shapeId="12614" r:id="rId2368" name="Button 1350">
              <controlPr defaultSize="0" autoFill="0" autoLine="0" autoPict="0" macro="[0]!Sheet1.deleteRow">
                <anchor moveWithCells="1" sizeWithCells="1">
                  <from>
                    <xdr:col>6</xdr:col>
                    <xdr:colOff>0</xdr:colOff>
                    <xdr:row>4112</xdr:row>
                    <xdr:rowOff>0</xdr:rowOff>
                  </from>
                  <to>
                    <xdr:col>7</xdr:col>
                    <xdr:colOff>0</xdr:colOff>
                    <xdr:row>4112</xdr:row>
                    <xdr:rowOff>161925</xdr:rowOff>
                  </to>
                </anchor>
              </controlPr>
            </control>
          </mc:Choice>
        </mc:AlternateContent>
        <mc:AlternateContent xmlns:mc="http://schemas.openxmlformats.org/markup-compatibility/2006">
          <mc:Choice Requires="x14">
            <control shapeId="12613" r:id="rId2369" name="Button 1349">
              <controlPr defaultSize="0" autoFill="0" autoLine="0" autoPict="0" macro="[0]!Sheet1.deleteRow">
                <anchor moveWithCells="1" sizeWithCells="1">
                  <from>
                    <xdr:col>6</xdr:col>
                    <xdr:colOff>0</xdr:colOff>
                    <xdr:row>4113</xdr:row>
                    <xdr:rowOff>0</xdr:rowOff>
                  </from>
                  <to>
                    <xdr:col>7</xdr:col>
                    <xdr:colOff>0</xdr:colOff>
                    <xdr:row>4113</xdr:row>
                    <xdr:rowOff>161925</xdr:rowOff>
                  </to>
                </anchor>
              </controlPr>
            </control>
          </mc:Choice>
        </mc:AlternateContent>
        <mc:AlternateContent xmlns:mc="http://schemas.openxmlformats.org/markup-compatibility/2006">
          <mc:Choice Requires="x14">
            <control shapeId="12612" r:id="rId2370" name="Button 1348">
              <controlPr defaultSize="0" autoFill="0" autoLine="0" autoPict="0" macro="[0]!Sheet1.deleteRow">
                <anchor moveWithCells="1" sizeWithCells="1">
                  <from>
                    <xdr:col>6</xdr:col>
                    <xdr:colOff>0</xdr:colOff>
                    <xdr:row>4114</xdr:row>
                    <xdr:rowOff>0</xdr:rowOff>
                  </from>
                  <to>
                    <xdr:col>7</xdr:col>
                    <xdr:colOff>0</xdr:colOff>
                    <xdr:row>4114</xdr:row>
                    <xdr:rowOff>161925</xdr:rowOff>
                  </to>
                </anchor>
              </controlPr>
            </control>
          </mc:Choice>
        </mc:AlternateContent>
        <mc:AlternateContent xmlns:mc="http://schemas.openxmlformats.org/markup-compatibility/2006">
          <mc:Choice Requires="x14">
            <control shapeId="12611" r:id="rId2371" name="Button 1347">
              <controlPr defaultSize="0" autoFill="0" autoLine="0" autoPict="0" macro="[0]!Sheet1.deleteRow">
                <anchor moveWithCells="1" sizeWithCells="1">
                  <from>
                    <xdr:col>6</xdr:col>
                    <xdr:colOff>0</xdr:colOff>
                    <xdr:row>4115</xdr:row>
                    <xdr:rowOff>0</xdr:rowOff>
                  </from>
                  <to>
                    <xdr:col>7</xdr:col>
                    <xdr:colOff>0</xdr:colOff>
                    <xdr:row>4115</xdr:row>
                    <xdr:rowOff>161925</xdr:rowOff>
                  </to>
                </anchor>
              </controlPr>
            </control>
          </mc:Choice>
        </mc:AlternateContent>
        <mc:AlternateContent xmlns:mc="http://schemas.openxmlformats.org/markup-compatibility/2006">
          <mc:Choice Requires="x14">
            <control shapeId="12610" r:id="rId2372" name="Button 1346">
              <controlPr defaultSize="0" autoFill="0" autoLine="0" autoPict="0" macro="[0]!Sheet1.deleteRow">
                <anchor moveWithCells="1" sizeWithCells="1">
                  <from>
                    <xdr:col>6</xdr:col>
                    <xdr:colOff>0</xdr:colOff>
                    <xdr:row>4116</xdr:row>
                    <xdr:rowOff>0</xdr:rowOff>
                  </from>
                  <to>
                    <xdr:col>7</xdr:col>
                    <xdr:colOff>0</xdr:colOff>
                    <xdr:row>4116</xdr:row>
                    <xdr:rowOff>161925</xdr:rowOff>
                  </to>
                </anchor>
              </controlPr>
            </control>
          </mc:Choice>
        </mc:AlternateContent>
        <mc:AlternateContent xmlns:mc="http://schemas.openxmlformats.org/markup-compatibility/2006">
          <mc:Choice Requires="x14">
            <control shapeId="12609" r:id="rId2373" name="Button 1345">
              <controlPr defaultSize="0" autoFill="0" autoLine="0" autoPict="0" macro="[0]!Sheet1.deleteRow">
                <anchor moveWithCells="1" sizeWithCells="1">
                  <from>
                    <xdr:col>6</xdr:col>
                    <xdr:colOff>0</xdr:colOff>
                    <xdr:row>4117</xdr:row>
                    <xdr:rowOff>0</xdr:rowOff>
                  </from>
                  <to>
                    <xdr:col>7</xdr:col>
                    <xdr:colOff>0</xdr:colOff>
                    <xdr:row>4117</xdr:row>
                    <xdr:rowOff>161925</xdr:rowOff>
                  </to>
                </anchor>
              </controlPr>
            </control>
          </mc:Choice>
        </mc:AlternateContent>
        <mc:AlternateContent xmlns:mc="http://schemas.openxmlformats.org/markup-compatibility/2006">
          <mc:Choice Requires="x14">
            <control shapeId="12608" r:id="rId2374" name="Button 1344">
              <controlPr defaultSize="0" autoFill="0" autoLine="0" autoPict="0" macro="[0]!Sheet1.deleteRow">
                <anchor moveWithCells="1" sizeWithCells="1">
                  <from>
                    <xdr:col>6</xdr:col>
                    <xdr:colOff>0</xdr:colOff>
                    <xdr:row>4118</xdr:row>
                    <xdr:rowOff>0</xdr:rowOff>
                  </from>
                  <to>
                    <xdr:col>7</xdr:col>
                    <xdr:colOff>0</xdr:colOff>
                    <xdr:row>4118</xdr:row>
                    <xdr:rowOff>161925</xdr:rowOff>
                  </to>
                </anchor>
              </controlPr>
            </control>
          </mc:Choice>
        </mc:AlternateContent>
        <mc:AlternateContent xmlns:mc="http://schemas.openxmlformats.org/markup-compatibility/2006">
          <mc:Choice Requires="x14">
            <control shapeId="12607" r:id="rId2375" name="Button 1343">
              <controlPr defaultSize="0" autoFill="0" autoLine="0" autoPict="0" macro="[0]!Sheet1.deleteRow">
                <anchor moveWithCells="1" sizeWithCells="1">
                  <from>
                    <xdr:col>6</xdr:col>
                    <xdr:colOff>0</xdr:colOff>
                    <xdr:row>4119</xdr:row>
                    <xdr:rowOff>0</xdr:rowOff>
                  </from>
                  <to>
                    <xdr:col>7</xdr:col>
                    <xdr:colOff>0</xdr:colOff>
                    <xdr:row>4119</xdr:row>
                    <xdr:rowOff>161925</xdr:rowOff>
                  </to>
                </anchor>
              </controlPr>
            </control>
          </mc:Choice>
        </mc:AlternateContent>
        <mc:AlternateContent xmlns:mc="http://schemas.openxmlformats.org/markup-compatibility/2006">
          <mc:Choice Requires="x14">
            <control shapeId="12606" r:id="rId2376" name="Button 1342">
              <controlPr defaultSize="0" autoFill="0" autoLine="0" autoPict="0" macro="[0]!Sheet1.deleteRow">
                <anchor moveWithCells="1" sizeWithCells="1">
                  <from>
                    <xdr:col>6</xdr:col>
                    <xdr:colOff>0</xdr:colOff>
                    <xdr:row>4120</xdr:row>
                    <xdr:rowOff>0</xdr:rowOff>
                  </from>
                  <to>
                    <xdr:col>7</xdr:col>
                    <xdr:colOff>0</xdr:colOff>
                    <xdr:row>4120</xdr:row>
                    <xdr:rowOff>161925</xdr:rowOff>
                  </to>
                </anchor>
              </controlPr>
            </control>
          </mc:Choice>
        </mc:AlternateContent>
        <mc:AlternateContent xmlns:mc="http://schemas.openxmlformats.org/markup-compatibility/2006">
          <mc:Choice Requires="x14">
            <control shapeId="12605" r:id="rId2377" name="Button 1341">
              <controlPr defaultSize="0" autoFill="0" autoLine="0" autoPict="0" macro="[0]!Sheet1.deleteRow">
                <anchor moveWithCells="1" sizeWithCells="1">
                  <from>
                    <xdr:col>6</xdr:col>
                    <xdr:colOff>0</xdr:colOff>
                    <xdr:row>4121</xdr:row>
                    <xdr:rowOff>0</xdr:rowOff>
                  </from>
                  <to>
                    <xdr:col>7</xdr:col>
                    <xdr:colOff>0</xdr:colOff>
                    <xdr:row>4121</xdr:row>
                    <xdr:rowOff>161925</xdr:rowOff>
                  </to>
                </anchor>
              </controlPr>
            </control>
          </mc:Choice>
        </mc:AlternateContent>
        <mc:AlternateContent xmlns:mc="http://schemas.openxmlformats.org/markup-compatibility/2006">
          <mc:Choice Requires="x14">
            <control shapeId="12604" r:id="rId2378" name="Button 1340">
              <controlPr defaultSize="0" autoFill="0" autoLine="0" autoPict="0" macro="[0]!Sheet1.deleteRow">
                <anchor moveWithCells="1" sizeWithCells="1">
                  <from>
                    <xdr:col>6</xdr:col>
                    <xdr:colOff>0</xdr:colOff>
                    <xdr:row>4122</xdr:row>
                    <xdr:rowOff>0</xdr:rowOff>
                  </from>
                  <to>
                    <xdr:col>7</xdr:col>
                    <xdr:colOff>0</xdr:colOff>
                    <xdr:row>4122</xdr:row>
                    <xdr:rowOff>161925</xdr:rowOff>
                  </to>
                </anchor>
              </controlPr>
            </control>
          </mc:Choice>
        </mc:AlternateContent>
        <mc:AlternateContent xmlns:mc="http://schemas.openxmlformats.org/markup-compatibility/2006">
          <mc:Choice Requires="x14">
            <control shapeId="12603" r:id="rId2379" name="Button 1339">
              <controlPr defaultSize="0" autoFill="0" autoLine="0" autoPict="0" macro="[0]!Sheet1.deleteRow">
                <anchor moveWithCells="1" sizeWithCells="1">
                  <from>
                    <xdr:col>6</xdr:col>
                    <xdr:colOff>0</xdr:colOff>
                    <xdr:row>4123</xdr:row>
                    <xdr:rowOff>0</xdr:rowOff>
                  </from>
                  <to>
                    <xdr:col>7</xdr:col>
                    <xdr:colOff>0</xdr:colOff>
                    <xdr:row>4123</xdr:row>
                    <xdr:rowOff>161925</xdr:rowOff>
                  </to>
                </anchor>
              </controlPr>
            </control>
          </mc:Choice>
        </mc:AlternateContent>
        <mc:AlternateContent xmlns:mc="http://schemas.openxmlformats.org/markup-compatibility/2006">
          <mc:Choice Requires="x14">
            <control shapeId="12602" r:id="rId2380" name="Button 1338">
              <controlPr defaultSize="0" autoFill="0" autoLine="0" autoPict="0" macro="[0]!Sheet1.deleteRow">
                <anchor moveWithCells="1" sizeWithCells="1">
                  <from>
                    <xdr:col>6</xdr:col>
                    <xdr:colOff>0</xdr:colOff>
                    <xdr:row>4124</xdr:row>
                    <xdr:rowOff>0</xdr:rowOff>
                  </from>
                  <to>
                    <xdr:col>7</xdr:col>
                    <xdr:colOff>0</xdr:colOff>
                    <xdr:row>4124</xdr:row>
                    <xdr:rowOff>161925</xdr:rowOff>
                  </to>
                </anchor>
              </controlPr>
            </control>
          </mc:Choice>
        </mc:AlternateContent>
        <mc:AlternateContent xmlns:mc="http://schemas.openxmlformats.org/markup-compatibility/2006">
          <mc:Choice Requires="x14">
            <control shapeId="12601" r:id="rId2381" name="Button 1337">
              <controlPr defaultSize="0" autoFill="0" autoLine="0" autoPict="0" macro="[0]!Sheet1.deleteRow">
                <anchor moveWithCells="1" sizeWithCells="1">
                  <from>
                    <xdr:col>6</xdr:col>
                    <xdr:colOff>0</xdr:colOff>
                    <xdr:row>4125</xdr:row>
                    <xdr:rowOff>0</xdr:rowOff>
                  </from>
                  <to>
                    <xdr:col>7</xdr:col>
                    <xdr:colOff>0</xdr:colOff>
                    <xdr:row>4125</xdr:row>
                    <xdr:rowOff>161925</xdr:rowOff>
                  </to>
                </anchor>
              </controlPr>
            </control>
          </mc:Choice>
        </mc:AlternateContent>
        <mc:AlternateContent xmlns:mc="http://schemas.openxmlformats.org/markup-compatibility/2006">
          <mc:Choice Requires="x14">
            <control shapeId="12600" r:id="rId2382" name="Button 1336">
              <controlPr defaultSize="0" autoFill="0" autoLine="0" autoPict="0" macro="[0]!Sheet1.deleteRow">
                <anchor moveWithCells="1" sizeWithCells="1">
                  <from>
                    <xdr:col>6</xdr:col>
                    <xdr:colOff>0</xdr:colOff>
                    <xdr:row>4126</xdr:row>
                    <xdr:rowOff>0</xdr:rowOff>
                  </from>
                  <to>
                    <xdr:col>7</xdr:col>
                    <xdr:colOff>0</xdr:colOff>
                    <xdr:row>4126</xdr:row>
                    <xdr:rowOff>161925</xdr:rowOff>
                  </to>
                </anchor>
              </controlPr>
            </control>
          </mc:Choice>
        </mc:AlternateContent>
        <mc:AlternateContent xmlns:mc="http://schemas.openxmlformats.org/markup-compatibility/2006">
          <mc:Choice Requires="x14">
            <control shapeId="12599" r:id="rId2383" name="Button 1335">
              <controlPr defaultSize="0" autoFill="0" autoLine="0" autoPict="0" macro="[0]!Sheet1.deleteProcedure">
                <anchor moveWithCells="1" sizeWithCells="1">
                  <from>
                    <xdr:col>6</xdr:col>
                    <xdr:colOff>0</xdr:colOff>
                    <xdr:row>4129</xdr:row>
                    <xdr:rowOff>0</xdr:rowOff>
                  </from>
                  <to>
                    <xdr:col>7</xdr:col>
                    <xdr:colOff>0</xdr:colOff>
                    <xdr:row>4130</xdr:row>
                    <xdr:rowOff>0</xdr:rowOff>
                  </to>
                </anchor>
              </controlPr>
            </control>
          </mc:Choice>
        </mc:AlternateContent>
        <mc:AlternateContent xmlns:mc="http://schemas.openxmlformats.org/markup-compatibility/2006">
          <mc:Choice Requires="x14">
            <control shapeId="12598" r:id="rId2384" name="Button 1334">
              <controlPr defaultSize="0" autoFill="0" autoLine="0" autoPict="0" macro="[0]!Sheet1.InsertNewTableRow">
                <anchor moveWithCells="1" sizeWithCells="1">
                  <from>
                    <xdr:col>6</xdr:col>
                    <xdr:colOff>0</xdr:colOff>
                    <xdr:row>4136</xdr:row>
                    <xdr:rowOff>0</xdr:rowOff>
                  </from>
                  <to>
                    <xdr:col>7</xdr:col>
                    <xdr:colOff>0</xdr:colOff>
                    <xdr:row>4136</xdr:row>
                    <xdr:rowOff>38100</xdr:rowOff>
                  </to>
                </anchor>
              </controlPr>
            </control>
          </mc:Choice>
        </mc:AlternateContent>
        <mc:AlternateContent xmlns:mc="http://schemas.openxmlformats.org/markup-compatibility/2006">
          <mc:Choice Requires="x14">
            <control shapeId="12597" r:id="rId2385" name="Button 1333">
              <controlPr defaultSize="0" autoFill="0" autoLine="0" autoPict="0" macro="[0]!Sheet1.deleteRow">
                <anchor moveWithCells="1" sizeWithCells="1">
                  <from>
                    <xdr:col>6</xdr:col>
                    <xdr:colOff>0</xdr:colOff>
                    <xdr:row>4137</xdr:row>
                    <xdr:rowOff>0</xdr:rowOff>
                  </from>
                  <to>
                    <xdr:col>7</xdr:col>
                    <xdr:colOff>0</xdr:colOff>
                    <xdr:row>4137</xdr:row>
                    <xdr:rowOff>161925</xdr:rowOff>
                  </to>
                </anchor>
              </controlPr>
            </control>
          </mc:Choice>
        </mc:AlternateContent>
        <mc:AlternateContent xmlns:mc="http://schemas.openxmlformats.org/markup-compatibility/2006">
          <mc:Choice Requires="x14">
            <control shapeId="12596" r:id="rId2386" name="Button 1332">
              <controlPr defaultSize="0" autoFill="0" autoLine="0" autoPict="0" macro="[0]!Sheet1.deleteRow">
                <anchor moveWithCells="1" sizeWithCells="1">
                  <from>
                    <xdr:col>6</xdr:col>
                    <xdr:colOff>0</xdr:colOff>
                    <xdr:row>4138</xdr:row>
                    <xdr:rowOff>0</xdr:rowOff>
                  </from>
                  <to>
                    <xdr:col>7</xdr:col>
                    <xdr:colOff>0</xdr:colOff>
                    <xdr:row>4138</xdr:row>
                    <xdr:rowOff>161925</xdr:rowOff>
                  </to>
                </anchor>
              </controlPr>
            </control>
          </mc:Choice>
        </mc:AlternateContent>
        <mc:AlternateContent xmlns:mc="http://schemas.openxmlformats.org/markup-compatibility/2006">
          <mc:Choice Requires="x14">
            <control shapeId="12595" r:id="rId2387" name="Button 1331">
              <controlPr defaultSize="0" autoFill="0" autoLine="0" autoPict="0" macro="[0]!Sheet1.deleteRow">
                <anchor moveWithCells="1" sizeWithCells="1">
                  <from>
                    <xdr:col>6</xdr:col>
                    <xdr:colOff>0</xdr:colOff>
                    <xdr:row>4139</xdr:row>
                    <xdr:rowOff>0</xdr:rowOff>
                  </from>
                  <to>
                    <xdr:col>7</xdr:col>
                    <xdr:colOff>0</xdr:colOff>
                    <xdr:row>4139</xdr:row>
                    <xdr:rowOff>161925</xdr:rowOff>
                  </to>
                </anchor>
              </controlPr>
            </control>
          </mc:Choice>
        </mc:AlternateContent>
        <mc:AlternateContent xmlns:mc="http://schemas.openxmlformats.org/markup-compatibility/2006">
          <mc:Choice Requires="x14">
            <control shapeId="12594" r:id="rId2388" name="Button 1330">
              <controlPr defaultSize="0" autoFill="0" autoLine="0" autoPict="0" macro="[0]!Sheet1.deleteRow">
                <anchor moveWithCells="1" sizeWithCells="1">
                  <from>
                    <xdr:col>6</xdr:col>
                    <xdr:colOff>0</xdr:colOff>
                    <xdr:row>4140</xdr:row>
                    <xdr:rowOff>0</xdr:rowOff>
                  </from>
                  <to>
                    <xdr:col>7</xdr:col>
                    <xdr:colOff>0</xdr:colOff>
                    <xdr:row>4140</xdr:row>
                    <xdr:rowOff>161925</xdr:rowOff>
                  </to>
                </anchor>
              </controlPr>
            </control>
          </mc:Choice>
        </mc:AlternateContent>
        <mc:AlternateContent xmlns:mc="http://schemas.openxmlformats.org/markup-compatibility/2006">
          <mc:Choice Requires="x14">
            <control shapeId="12593" r:id="rId2389" name="Button 1329">
              <controlPr defaultSize="0" autoFill="0" autoLine="0" autoPict="0" macro="[0]!Sheet1.deleteRow">
                <anchor moveWithCells="1" sizeWithCells="1">
                  <from>
                    <xdr:col>6</xdr:col>
                    <xdr:colOff>0</xdr:colOff>
                    <xdr:row>4141</xdr:row>
                    <xdr:rowOff>0</xdr:rowOff>
                  </from>
                  <to>
                    <xdr:col>7</xdr:col>
                    <xdr:colOff>0</xdr:colOff>
                    <xdr:row>4141</xdr:row>
                    <xdr:rowOff>161925</xdr:rowOff>
                  </to>
                </anchor>
              </controlPr>
            </control>
          </mc:Choice>
        </mc:AlternateContent>
        <mc:AlternateContent xmlns:mc="http://schemas.openxmlformats.org/markup-compatibility/2006">
          <mc:Choice Requires="x14">
            <control shapeId="12592" r:id="rId2390" name="Button 1328">
              <controlPr defaultSize="0" autoFill="0" autoLine="0" autoPict="0" macro="[0]!Sheet1.deleteProcedure">
                <anchor moveWithCells="1" sizeWithCells="1">
                  <from>
                    <xdr:col>6</xdr:col>
                    <xdr:colOff>0</xdr:colOff>
                    <xdr:row>4144</xdr:row>
                    <xdr:rowOff>0</xdr:rowOff>
                  </from>
                  <to>
                    <xdr:col>7</xdr:col>
                    <xdr:colOff>0</xdr:colOff>
                    <xdr:row>4145</xdr:row>
                    <xdr:rowOff>0</xdr:rowOff>
                  </to>
                </anchor>
              </controlPr>
            </control>
          </mc:Choice>
        </mc:AlternateContent>
        <mc:AlternateContent xmlns:mc="http://schemas.openxmlformats.org/markup-compatibility/2006">
          <mc:Choice Requires="x14">
            <control shapeId="12591" r:id="rId2391" name="Button 1327">
              <controlPr defaultSize="0" autoFill="0" autoLine="0" autoPict="0" macro="[0]!Sheet1.InsertNewTableRow">
                <anchor moveWithCells="1" sizeWithCells="1">
                  <from>
                    <xdr:col>6</xdr:col>
                    <xdr:colOff>0</xdr:colOff>
                    <xdr:row>4151</xdr:row>
                    <xdr:rowOff>0</xdr:rowOff>
                  </from>
                  <to>
                    <xdr:col>7</xdr:col>
                    <xdr:colOff>0</xdr:colOff>
                    <xdr:row>4151</xdr:row>
                    <xdr:rowOff>38100</xdr:rowOff>
                  </to>
                </anchor>
              </controlPr>
            </control>
          </mc:Choice>
        </mc:AlternateContent>
        <mc:AlternateContent xmlns:mc="http://schemas.openxmlformats.org/markup-compatibility/2006">
          <mc:Choice Requires="x14">
            <control shapeId="12590" r:id="rId2392" name="Button 1326">
              <controlPr defaultSize="0" autoFill="0" autoLine="0" autoPict="0" macro="[0]!Sheet1.deleteRow">
                <anchor moveWithCells="1" sizeWithCells="1">
                  <from>
                    <xdr:col>6</xdr:col>
                    <xdr:colOff>0</xdr:colOff>
                    <xdr:row>4152</xdr:row>
                    <xdr:rowOff>0</xdr:rowOff>
                  </from>
                  <to>
                    <xdr:col>7</xdr:col>
                    <xdr:colOff>0</xdr:colOff>
                    <xdr:row>4152</xdr:row>
                    <xdr:rowOff>161925</xdr:rowOff>
                  </to>
                </anchor>
              </controlPr>
            </control>
          </mc:Choice>
        </mc:AlternateContent>
        <mc:AlternateContent xmlns:mc="http://schemas.openxmlformats.org/markup-compatibility/2006">
          <mc:Choice Requires="x14">
            <control shapeId="12589" r:id="rId2393" name="Button 1325">
              <controlPr defaultSize="0" autoFill="0" autoLine="0" autoPict="0" macro="[0]!Sheet1.deleteProcedure">
                <anchor moveWithCells="1" sizeWithCells="1">
                  <from>
                    <xdr:col>6</xdr:col>
                    <xdr:colOff>0</xdr:colOff>
                    <xdr:row>4155</xdr:row>
                    <xdr:rowOff>0</xdr:rowOff>
                  </from>
                  <to>
                    <xdr:col>7</xdr:col>
                    <xdr:colOff>0</xdr:colOff>
                    <xdr:row>4156</xdr:row>
                    <xdr:rowOff>0</xdr:rowOff>
                  </to>
                </anchor>
              </controlPr>
            </control>
          </mc:Choice>
        </mc:AlternateContent>
        <mc:AlternateContent xmlns:mc="http://schemas.openxmlformats.org/markup-compatibility/2006">
          <mc:Choice Requires="x14">
            <control shapeId="12588" r:id="rId2394" name="Button 1324">
              <controlPr defaultSize="0" autoFill="0" autoLine="0" autoPict="0" macro="[0]!Sheet1.InsertNewTableRow">
                <anchor moveWithCells="1" sizeWithCells="1">
                  <from>
                    <xdr:col>6</xdr:col>
                    <xdr:colOff>0</xdr:colOff>
                    <xdr:row>4162</xdr:row>
                    <xdr:rowOff>0</xdr:rowOff>
                  </from>
                  <to>
                    <xdr:col>7</xdr:col>
                    <xdr:colOff>0</xdr:colOff>
                    <xdr:row>4162</xdr:row>
                    <xdr:rowOff>38100</xdr:rowOff>
                  </to>
                </anchor>
              </controlPr>
            </control>
          </mc:Choice>
        </mc:AlternateContent>
        <mc:AlternateContent xmlns:mc="http://schemas.openxmlformats.org/markup-compatibility/2006">
          <mc:Choice Requires="x14">
            <control shapeId="12587" r:id="rId2395" name="Button 1323">
              <controlPr defaultSize="0" autoFill="0" autoLine="0" autoPict="0" macro="[0]!Sheet1.deleteRow">
                <anchor moveWithCells="1" sizeWithCells="1">
                  <from>
                    <xdr:col>6</xdr:col>
                    <xdr:colOff>0</xdr:colOff>
                    <xdr:row>4163</xdr:row>
                    <xdr:rowOff>0</xdr:rowOff>
                  </from>
                  <to>
                    <xdr:col>7</xdr:col>
                    <xdr:colOff>0</xdr:colOff>
                    <xdr:row>4163</xdr:row>
                    <xdr:rowOff>161925</xdr:rowOff>
                  </to>
                </anchor>
              </controlPr>
            </control>
          </mc:Choice>
        </mc:AlternateContent>
        <mc:AlternateContent xmlns:mc="http://schemas.openxmlformats.org/markup-compatibility/2006">
          <mc:Choice Requires="x14">
            <control shapeId="12586" r:id="rId2396" name="Button 1322">
              <controlPr defaultSize="0" autoFill="0" autoLine="0" autoPict="0" macro="[0]!Sheet1.deleteRow">
                <anchor moveWithCells="1" sizeWithCells="1">
                  <from>
                    <xdr:col>6</xdr:col>
                    <xdr:colOff>0</xdr:colOff>
                    <xdr:row>4164</xdr:row>
                    <xdr:rowOff>0</xdr:rowOff>
                  </from>
                  <to>
                    <xdr:col>7</xdr:col>
                    <xdr:colOff>0</xdr:colOff>
                    <xdr:row>4164</xdr:row>
                    <xdr:rowOff>161925</xdr:rowOff>
                  </to>
                </anchor>
              </controlPr>
            </control>
          </mc:Choice>
        </mc:AlternateContent>
        <mc:AlternateContent xmlns:mc="http://schemas.openxmlformats.org/markup-compatibility/2006">
          <mc:Choice Requires="x14">
            <control shapeId="12585" r:id="rId2397" name="Button 1321">
              <controlPr defaultSize="0" autoFill="0" autoLine="0" autoPict="0" macro="[0]!Sheet1.deleteRow">
                <anchor moveWithCells="1" sizeWithCells="1">
                  <from>
                    <xdr:col>6</xdr:col>
                    <xdr:colOff>0</xdr:colOff>
                    <xdr:row>4165</xdr:row>
                    <xdr:rowOff>0</xdr:rowOff>
                  </from>
                  <to>
                    <xdr:col>7</xdr:col>
                    <xdr:colOff>0</xdr:colOff>
                    <xdr:row>4165</xdr:row>
                    <xdr:rowOff>161925</xdr:rowOff>
                  </to>
                </anchor>
              </controlPr>
            </control>
          </mc:Choice>
        </mc:AlternateContent>
        <mc:AlternateContent xmlns:mc="http://schemas.openxmlformats.org/markup-compatibility/2006">
          <mc:Choice Requires="x14">
            <control shapeId="12584" r:id="rId2398" name="Button 1320">
              <controlPr defaultSize="0" autoFill="0" autoLine="0" autoPict="0" macro="[0]!Sheet1.deleteRow">
                <anchor moveWithCells="1" sizeWithCells="1">
                  <from>
                    <xdr:col>6</xdr:col>
                    <xdr:colOff>0</xdr:colOff>
                    <xdr:row>4166</xdr:row>
                    <xdr:rowOff>0</xdr:rowOff>
                  </from>
                  <to>
                    <xdr:col>7</xdr:col>
                    <xdr:colOff>0</xdr:colOff>
                    <xdr:row>4166</xdr:row>
                    <xdr:rowOff>161925</xdr:rowOff>
                  </to>
                </anchor>
              </controlPr>
            </control>
          </mc:Choice>
        </mc:AlternateContent>
        <mc:AlternateContent xmlns:mc="http://schemas.openxmlformats.org/markup-compatibility/2006">
          <mc:Choice Requires="x14">
            <control shapeId="12583" r:id="rId2399" name="Button 1319">
              <controlPr defaultSize="0" autoFill="0" autoLine="0" autoPict="0" macro="[0]!Sheet1.deleteRow">
                <anchor moveWithCells="1" sizeWithCells="1">
                  <from>
                    <xdr:col>6</xdr:col>
                    <xdr:colOff>0</xdr:colOff>
                    <xdr:row>4167</xdr:row>
                    <xdr:rowOff>0</xdr:rowOff>
                  </from>
                  <to>
                    <xdr:col>7</xdr:col>
                    <xdr:colOff>0</xdr:colOff>
                    <xdr:row>4167</xdr:row>
                    <xdr:rowOff>161925</xdr:rowOff>
                  </to>
                </anchor>
              </controlPr>
            </control>
          </mc:Choice>
        </mc:AlternateContent>
        <mc:AlternateContent xmlns:mc="http://schemas.openxmlformats.org/markup-compatibility/2006">
          <mc:Choice Requires="x14">
            <control shapeId="12582" r:id="rId2400" name="Button 1318">
              <controlPr defaultSize="0" autoFill="0" autoLine="0" autoPict="0" macro="[0]!Sheet1.deleteRow">
                <anchor moveWithCells="1" sizeWithCells="1">
                  <from>
                    <xdr:col>6</xdr:col>
                    <xdr:colOff>0</xdr:colOff>
                    <xdr:row>4168</xdr:row>
                    <xdr:rowOff>0</xdr:rowOff>
                  </from>
                  <to>
                    <xdr:col>7</xdr:col>
                    <xdr:colOff>0</xdr:colOff>
                    <xdr:row>4168</xdr:row>
                    <xdr:rowOff>161925</xdr:rowOff>
                  </to>
                </anchor>
              </controlPr>
            </control>
          </mc:Choice>
        </mc:AlternateContent>
        <mc:AlternateContent xmlns:mc="http://schemas.openxmlformats.org/markup-compatibility/2006">
          <mc:Choice Requires="x14">
            <control shapeId="12581" r:id="rId2401" name="Button 1317">
              <controlPr defaultSize="0" autoFill="0" autoLine="0" autoPict="0" macro="[0]!Sheet1.deleteRow">
                <anchor moveWithCells="1" sizeWithCells="1">
                  <from>
                    <xdr:col>6</xdr:col>
                    <xdr:colOff>0</xdr:colOff>
                    <xdr:row>4169</xdr:row>
                    <xdr:rowOff>0</xdr:rowOff>
                  </from>
                  <to>
                    <xdr:col>7</xdr:col>
                    <xdr:colOff>0</xdr:colOff>
                    <xdr:row>4169</xdr:row>
                    <xdr:rowOff>161925</xdr:rowOff>
                  </to>
                </anchor>
              </controlPr>
            </control>
          </mc:Choice>
        </mc:AlternateContent>
        <mc:AlternateContent xmlns:mc="http://schemas.openxmlformats.org/markup-compatibility/2006">
          <mc:Choice Requires="x14">
            <control shapeId="12580" r:id="rId2402" name="Button 1316">
              <controlPr defaultSize="0" autoFill="0" autoLine="0" autoPict="0" macro="[0]!Sheet1.deleteRow">
                <anchor moveWithCells="1" sizeWithCells="1">
                  <from>
                    <xdr:col>6</xdr:col>
                    <xdr:colOff>0</xdr:colOff>
                    <xdr:row>4170</xdr:row>
                    <xdr:rowOff>0</xdr:rowOff>
                  </from>
                  <to>
                    <xdr:col>7</xdr:col>
                    <xdr:colOff>0</xdr:colOff>
                    <xdr:row>4170</xdr:row>
                    <xdr:rowOff>161925</xdr:rowOff>
                  </to>
                </anchor>
              </controlPr>
            </control>
          </mc:Choice>
        </mc:AlternateContent>
        <mc:AlternateContent xmlns:mc="http://schemas.openxmlformats.org/markup-compatibility/2006">
          <mc:Choice Requires="x14">
            <control shapeId="12579" r:id="rId2403" name="Button 1315">
              <controlPr defaultSize="0" autoFill="0" autoLine="0" autoPict="0" macro="[0]!Sheet1.deleteRow">
                <anchor moveWithCells="1" sizeWithCells="1">
                  <from>
                    <xdr:col>6</xdr:col>
                    <xdr:colOff>0</xdr:colOff>
                    <xdr:row>4171</xdr:row>
                    <xdr:rowOff>0</xdr:rowOff>
                  </from>
                  <to>
                    <xdr:col>7</xdr:col>
                    <xdr:colOff>0</xdr:colOff>
                    <xdr:row>4171</xdr:row>
                    <xdr:rowOff>161925</xdr:rowOff>
                  </to>
                </anchor>
              </controlPr>
            </control>
          </mc:Choice>
        </mc:AlternateContent>
        <mc:AlternateContent xmlns:mc="http://schemas.openxmlformats.org/markup-compatibility/2006">
          <mc:Choice Requires="x14">
            <control shapeId="12578" r:id="rId2404" name="Button 1314">
              <controlPr defaultSize="0" autoFill="0" autoLine="0" autoPict="0" macro="[0]!Sheet1.deleteRow">
                <anchor moveWithCells="1" sizeWithCells="1">
                  <from>
                    <xdr:col>6</xdr:col>
                    <xdr:colOff>0</xdr:colOff>
                    <xdr:row>4172</xdr:row>
                    <xdr:rowOff>0</xdr:rowOff>
                  </from>
                  <to>
                    <xdr:col>7</xdr:col>
                    <xdr:colOff>0</xdr:colOff>
                    <xdr:row>4172</xdr:row>
                    <xdr:rowOff>161925</xdr:rowOff>
                  </to>
                </anchor>
              </controlPr>
            </control>
          </mc:Choice>
        </mc:AlternateContent>
        <mc:AlternateContent xmlns:mc="http://schemas.openxmlformats.org/markup-compatibility/2006">
          <mc:Choice Requires="x14">
            <control shapeId="12577" r:id="rId2405" name="Button 1313">
              <controlPr defaultSize="0" autoFill="0" autoLine="0" autoPict="0" macro="[0]!Sheet1.deleteRow">
                <anchor moveWithCells="1" sizeWithCells="1">
                  <from>
                    <xdr:col>6</xdr:col>
                    <xdr:colOff>0</xdr:colOff>
                    <xdr:row>4173</xdr:row>
                    <xdr:rowOff>0</xdr:rowOff>
                  </from>
                  <to>
                    <xdr:col>7</xdr:col>
                    <xdr:colOff>0</xdr:colOff>
                    <xdr:row>4173</xdr:row>
                    <xdr:rowOff>161925</xdr:rowOff>
                  </to>
                </anchor>
              </controlPr>
            </control>
          </mc:Choice>
        </mc:AlternateContent>
        <mc:AlternateContent xmlns:mc="http://schemas.openxmlformats.org/markup-compatibility/2006">
          <mc:Choice Requires="x14">
            <control shapeId="12576" r:id="rId2406" name="Button 1312">
              <controlPr defaultSize="0" autoFill="0" autoLine="0" autoPict="0" macro="[0]!Sheet1.deleteRow">
                <anchor moveWithCells="1" sizeWithCells="1">
                  <from>
                    <xdr:col>6</xdr:col>
                    <xdr:colOff>0</xdr:colOff>
                    <xdr:row>4174</xdr:row>
                    <xdr:rowOff>0</xdr:rowOff>
                  </from>
                  <to>
                    <xdr:col>7</xdr:col>
                    <xdr:colOff>0</xdr:colOff>
                    <xdr:row>4174</xdr:row>
                    <xdr:rowOff>161925</xdr:rowOff>
                  </to>
                </anchor>
              </controlPr>
            </control>
          </mc:Choice>
        </mc:AlternateContent>
        <mc:AlternateContent xmlns:mc="http://schemas.openxmlformats.org/markup-compatibility/2006">
          <mc:Choice Requires="x14">
            <control shapeId="12575" r:id="rId2407" name="Button 1311">
              <controlPr defaultSize="0" autoFill="0" autoLine="0" autoPict="0" macro="[0]!Sheet1.deleteRow">
                <anchor moveWithCells="1" sizeWithCells="1">
                  <from>
                    <xdr:col>6</xdr:col>
                    <xdr:colOff>0</xdr:colOff>
                    <xdr:row>4175</xdr:row>
                    <xdr:rowOff>0</xdr:rowOff>
                  </from>
                  <to>
                    <xdr:col>7</xdr:col>
                    <xdr:colOff>0</xdr:colOff>
                    <xdr:row>4175</xdr:row>
                    <xdr:rowOff>161925</xdr:rowOff>
                  </to>
                </anchor>
              </controlPr>
            </control>
          </mc:Choice>
        </mc:AlternateContent>
        <mc:AlternateContent xmlns:mc="http://schemas.openxmlformats.org/markup-compatibility/2006">
          <mc:Choice Requires="x14">
            <control shapeId="12574" r:id="rId2408" name="Button 1310">
              <controlPr defaultSize="0" autoFill="0" autoLine="0" autoPict="0" macro="[0]!Sheet1.deleteRow">
                <anchor moveWithCells="1" sizeWithCells="1">
                  <from>
                    <xdr:col>6</xdr:col>
                    <xdr:colOff>0</xdr:colOff>
                    <xdr:row>4176</xdr:row>
                    <xdr:rowOff>0</xdr:rowOff>
                  </from>
                  <to>
                    <xdr:col>7</xdr:col>
                    <xdr:colOff>0</xdr:colOff>
                    <xdr:row>4176</xdr:row>
                    <xdr:rowOff>161925</xdr:rowOff>
                  </to>
                </anchor>
              </controlPr>
            </control>
          </mc:Choice>
        </mc:AlternateContent>
        <mc:AlternateContent xmlns:mc="http://schemas.openxmlformats.org/markup-compatibility/2006">
          <mc:Choice Requires="x14">
            <control shapeId="12573" r:id="rId2409" name="Button 1309">
              <controlPr defaultSize="0" autoFill="0" autoLine="0" autoPict="0" macro="[0]!Sheet1.deleteRow">
                <anchor moveWithCells="1" sizeWithCells="1">
                  <from>
                    <xdr:col>6</xdr:col>
                    <xdr:colOff>0</xdr:colOff>
                    <xdr:row>4177</xdr:row>
                    <xdr:rowOff>0</xdr:rowOff>
                  </from>
                  <to>
                    <xdr:col>7</xdr:col>
                    <xdr:colOff>0</xdr:colOff>
                    <xdr:row>4177</xdr:row>
                    <xdr:rowOff>161925</xdr:rowOff>
                  </to>
                </anchor>
              </controlPr>
            </control>
          </mc:Choice>
        </mc:AlternateContent>
        <mc:AlternateContent xmlns:mc="http://schemas.openxmlformats.org/markup-compatibility/2006">
          <mc:Choice Requires="x14">
            <control shapeId="12572" r:id="rId2410" name="Button 1308">
              <controlPr defaultSize="0" autoFill="0" autoLine="0" autoPict="0" macro="[0]!Sheet1.deleteRow">
                <anchor moveWithCells="1" sizeWithCells="1">
                  <from>
                    <xdr:col>6</xdr:col>
                    <xdr:colOff>0</xdr:colOff>
                    <xdr:row>4178</xdr:row>
                    <xdr:rowOff>0</xdr:rowOff>
                  </from>
                  <to>
                    <xdr:col>7</xdr:col>
                    <xdr:colOff>0</xdr:colOff>
                    <xdr:row>4178</xdr:row>
                    <xdr:rowOff>161925</xdr:rowOff>
                  </to>
                </anchor>
              </controlPr>
            </control>
          </mc:Choice>
        </mc:AlternateContent>
        <mc:AlternateContent xmlns:mc="http://schemas.openxmlformats.org/markup-compatibility/2006">
          <mc:Choice Requires="x14">
            <control shapeId="12571" r:id="rId2411" name="Button 1307">
              <controlPr defaultSize="0" autoFill="0" autoLine="0" autoPict="0" macro="[0]!Sheet1.deleteRow">
                <anchor moveWithCells="1" sizeWithCells="1">
                  <from>
                    <xdr:col>6</xdr:col>
                    <xdr:colOff>0</xdr:colOff>
                    <xdr:row>4179</xdr:row>
                    <xdr:rowOff>0</xdr:rowOff>
                  </from>
                  <to>
                    <xdr:col>7</xdr:col>
                    <xdr:colOff>0</xdr:colOff>
                    <xdr:row>4179</xdr:row>
                    <xdr:rowOff>161925</xdr:rowOff>
                  </to>
                </anchor>
              </controlPr>
            </control>
          </mc:Choice>
        </mc:AlternateContent>
        <mc:AlternateContent xmlns:mc="http://schemas.openxmlformats.org/markup-compatibility/2006">
          <mc:Choice Requires="x14">
            <control shapeId="12570" r:id="rId2412" name="Button 1306">
              <controlPr defaultSize="0" autoFill="0" autoLine="0" autoPict="0" macro="[0]!Sheet1.deleteRow">
                <anchor moveWithCells="1" sizeWithCells="1">
                  <from>
                    <xdr:col>6</xdr:col>
                    <xdr:colOff>0</xdr:colOff>
                    <xdr:row>4180</xdr:row>
                    <xdr:rowOff>0</xdr:rowOff>
                  </from>
                  <to>
                    <xdr:col>7</xdr:col>
                    <xdr:colOff>0</xdr:colOff>
                    <xdr:row>4180</xdr:row>
                    <xdr:rowOff>161925</xdr:rowOff>
                  </to>
                </anchor>
              </controlPr>
            </control>
          </mc:Choice>
        </mc:AlternateContent>
        <mc:AlternateContent xmlns:mc="http://schemas.openxmlformats.org/markup-compatibility/2006">
          <mc:Choice Requires="x14">
            <control shapeId="12569" r:id="rId2413" name="Button 1305">
              <controlPr defaultSize="0" autoFill="0" autoLine="0" autoPict="0" macro="[0]!Sheet1.deleteRow">
                <anchor moveWithCells="1" sizeWithCells="1">
                  <from>
                    <xdr:col>6</xdr:col>
                    <xdr:colOff>0</xdr:colOff>
                    <xdr:row>4181</xdr:row>
                    <xdr:rowOff>0</xdr:rowOff>
                  </from>
                  <to>
                    <xdr:col>7</xdr:col>
                    <xdr:colOff>0</xdr:colOff>
                    <xdr:row>4181</xdr:row>
                    <xdr:rowOff>161925</xdr:rowOff>
                  </to>
                </anchor>
              </controlPr>
            </control>
          </mc:Choice>
        </mc:AlternateContent>
        <mc:AlternateContent xmlns:mc="http://schemas.openxmlformats.org/markup-compatibility/2006">
          <mc:Choice Requires="x14">
            <control shapeId="12568" r:id="rId2414" name="Button 1304">
              <controlPr defaultSize="0" autoFill="0" autoLine="0" autoPict="0" macro="[0]!Sheet1.deleteRow">
                <anchor moveWithCells="1" sizeWithCells="1">
                  <from>
                    <xdr:col>6</xdr:col>
                    <xdr:colOff>0</xdr:colOff>
                    <xdr:row>4182</xdr:row>
                    <xdr:rowOff>0</xdr:rowOff>
                  </from>
                  <to>
                    <xdr:col>7</xdr:col>
                    <xdr:colOff>0</xdr:colOff>
                    <xdr:row>4182</xdr:row>
                    <xdr:rowOff>161925</xdr:rowOff>
                  </to>
                </anchor>
              </controlPr>
            </control>
          </mc:Choice>
        </mc:AlternateContent>
        <mc:AlternateContent xmlns:mc="http://schemas.openxmlformats.org/markup-compatibility/2006">
          <mc:Choice Requires="x14">
            <control shapeId="12567" r:id="rId2415" name="Button 1303">
              <controlPr defaultSize="0" autoFill="0" autoLine="0" autoPict="0" macro="[0]!Sheet1.deleteRow">
                <anchor moveWithCells="1" sizeWithCells="1">
                  <from>
                    <xdr:col>6</xdr:col>
                    <xdr:colOff>0</xdr:colOff>
                    <xdr:row>4183</xdr:row>
                    <xdr:rowOff>0</xdr:rowOff>
                  </from>
                  <to>
                    <xdr:col>7</xdr:col>
                    <xdr:colOff>0</xdr:colOff>
                    <xdr:row>4183</xdr:row>
                    <xdr:rowOff>161925</xdr:rowOff>
                  </to>
                </anchor>
              </controlPr>
            </control>
          </mc:Choice>
        </mc:AlternateContent>
        <mc:AlternateContent xmlns:mc="http://schemas.openxmlformats.org/markup-compatibility/2006">
          <mc:Choice Requires="x14">
            <control shapeId="12566" r:id="rId2416" name="Button 1302">
              <controlPr defaultSize="0" autoFill="0" autoLine="0" autoPict="0" macro="[0]!Sheet1.deleteRow">
                <anchor moveWithCells="1" sizeWithCells="1">
                  <from>
                    <xdr:col>6</xdr:col>
                    <xdr:colOff>0</xdr:colOff>
                    <xdr:row>4184</xdr:row>
                    <xdr:rowOff>0</xdr:rowOff>
                  </from>
                  <to>
                    <xdr:col>7</xdr:col>
                    <xdr:colOff>0</xdr:colOff>
                    <xdr:row>4184</xdr:row>
                    <xdr:rowOff>161925</xdr:rowOff>
                  </to>
                </anchor>
              </controlPr>
            </control>
          </mc:Choice>
        </mc:AlternateContent>
        <mc:AlternateContent xmlns:mc="http://schemas.openxmlformats.org/markup-compatibility/2006">
          <mc:Choice Requires="x14">
            <control shapeId="12565" r:id="rId2417" name="Button 1301">
              <controlPr defaultSize="0" autoFill="0" autoLine="0" autoPict="0" macro="[0]!Sheet1.deleteRow">
                <anchor moveWithCells="1" sizeWithCells="1">
                  <from>
                    <xdr:col>6</xdr:col>
                    <xdr:colOff>0</xdr:colOff>
                    <xdr:row>4185</xdr:row>
                    <xdr:rowOff>0</xdr:rowOff>
                  </from>
                  <to>
                    <xdr:col>7</xdr:col>
                    <xdr:colOff>0</xdr:colOff>
                    <xdr:row>4185</xdr:row>
                    <xdr:rowOff>161925</xdr:rowOff>
                  </to>
                </anchor>
              </controlPr>
            </control>
          </mc:Choice>
        </mc:AlternateContent>
        <mc:AlternateContent xmlns:mc="http://schemas.openxmlformats.org/markup-compatibility/2006">
          <mc:Choice Requires="x14">
            <control shapeId="12564" r:id="rId2418" name="Button 1300">
              <controlPr defaultSize="0" autoFill="0" autoLine="0" autoPict="0" macro="[0]!Sheet1.deleteRow">
                <anchor moveWithCells="1" sizeWithCells="1">
                  <from>
                    <xdr:col>6</xdr:col>
                    <xdr:colOff>0</xdr:colOff>
                    <xdr:row>4186</xdr:row>
                    <xdr:rowOff>0</xdr:rowOff>
                  </from>
                  <to>
                    <xdr:col>7</xdr:col>
                    <xdr:colOff>0</xdr:colOff>
                    <xdr:row>4186</xdr:row>
                    <xdr:rowOff>161925</xdr:rowOff>
                  </to>
                </anchor>
              </controlPr>
            </control>
          </mc:Choice>
        </mc:AlternateContent>
        <mc:AlternateContent xmlns:mc="http://schemas.openxmlformats.org/markup-compatibility/2006">
          <mc:Choice Requires="x14">
            <control shapeId="12563" r:id="rId2419" name="Button 1299">
              <controlPr defaultSize="0" autoFill="0" autoLine="0" autoPict="0" macro="[0]!Sheet1.deleteRow">
                <anchor moveWithCells="1" sizeWithCells="1">
                  <from>
                    <xdr:col>6</xdr:col>
                    <xdr:colOff>0</xdr:colOff>
                    <xdr:row>4187</xdr:row>
                    <xdr:rowOff>0</xdr:rowOff>
                  </from>
                  <to>
                    <xdr:col>7</xdr:col>
                    <xdr:colOff>0</xdr:colOff>
                    <xdr:row>4187</xdr:row>
                    <xdr:rowOff>161925</xdr:rowOff>
                  </to>
                </anchor>
              </controlPr>
            </control>
          </mc:Choice>
        </mc:AlternateContent>
        <mc:AlternateContent xmlns:mc="http://schemas.openxmlformats.org/markup-compatibility/2006">
          <mc:Choice Requires="x14">
            <control shapeId="12562" r:id="rId2420" name="Button 1298">
              <controlPr defaultSize="0" autoFill="0" autoLine="0" autoPict="0" macro="[0]!Sheet1.deleteRow">
                <anchor moveWithCells="1" sizeWithCells="1">
                  <from>
                    <xdr:col>6</xdr:col>
                    <xdr:colOff>0</xdr:colOff>
                    <xdr:row>4188</xdr:row>
                    <xdr:rowOff>0</xdr:rowOff>
                  </from>
                  <to>
                    <xdr:col>7</xdr:col>
                    <xdr:colOff>0</xdr:colOff>
                    <xdr:row>4188</xdr:row>
                    <xdr:rowOff>161925</xdr:rowOff>
                  </to>
                </anchor>
              </controlPr>
            </control>
          </mc:Choice>
        </mc:AlternateContent>
        <mc:AlternateContent xmlns:mc="http://schemas.openxmlformats.org/markup-compatibility/2006">
          <mc:Choice Requires="x14">
            <control shapeId="12561" r:id="rId2421" name="Button 1297">
              <controlPr defaultSize="0" autoFill="0" autoLine="0" autoPict="0" macro="[0]!Sheet1.deleteRow">
                <anchor moveWithCells="1" sizeWithCells="1">
                  <from>
                    <xdr:col>6</xdr:col>
                    <xdr:colOff>0</xdr:colOff>
                    <xdr:row>4189</xdr:row>
                    <xdr:rowOff>0</xdr:rowOff>
                  </from>
                  <to>
                    <xdr:col>7</xdr:col>
                    <xdr:colOff>0</xdr:colOff>
                    <xdr:row>4189</xdr:row>
                    <xdr:rowOff>161925</xdr:rowOff>
                  </to>
                </anchor>
              </controlPr>
            </control>
          </mc:Choice>
        </mc:AlternateContent>
        <mc:AlternateContent xmlns:mc="http://schemas.openxmlformats.org/markup-compatibility/2006">
          <mc:Choice Requires="x14">
            <control shapeId="12560" r:id="rId2422" name="Button 1296">
              <controlPr defaultSize="0" autoFill="0" autoLine="0" autoPict="0" macro="[0]!Sheet1.deleteRow">
                <anchor moveWithCells="1" sizeWithCells="1">
                  <from>
                    <xdr:col>6</xdr:col>
                    <xdr:colOff>0</xdr:colOff>
                    <xdr:row>4190</xdr:row>
                    <xdr:rowOff>0</xdr:rowOff>
                  </from>
                  <to>
                    <xdr:col>7</xdr:col>
                    <xdr:colOff>0</xdr:colOff>
                    <xdr:row>4190</xdr:row>
                    <xdr:rowOff>161925</xdr:rowOff>
                  </to>
                </anchor>
              </controlPr>
            </control>
          </mc:Choice>
        </mc:AlternateContent>
        <mc:AlternateContent xmlns:mc="http://schemas.openxmlformats.org/markup-compatibility/2006">
          <mc:Choice Requires="x14">
            <control shapeId="12559" r:id="rId2423" name="Button 1295">
              <controlPr defaultSize="0" autoFill="0" autoLine="0" autoPict="0" macro="[0]!Sheet1.deleteRow">
                <anchor moveWithCells="1" sizeWithCells="1">
                  <from>
                    <xdr:col>6</xdr:col>
                    <xdr:colOff>0</xdr:colOff>
                    <xdr:row>4191</xdr:row>
                    <xdr:rowOff>0</xdr:rowOff>
                  </from>
                  <to>
                    <xdr:col>7</xdr:col>
                    <xdr:colOff>0</xdr:colOff>
                    <xdr:row>4191</xdr:row>
                    <xdr:rowOff>161925</xdr:rowOff>
                  </to>
                </anchor>
              </controlPr>
            </control>
          </mc:Choice>
        </mc:AlternateContent>
        <mc:AlternateContent xmlns:mc="http://schemas.openxmlformats.org/markup-compatibility/2006">
          <mc:Choice Requires="x14">
            <control shapeId="12558" r:id="rId2424" name="Button 1294">
              <controlPr defaultSize="0" autoFill="0" autoLine="0" autoPict="0" macro="[0]!Sheet1.deleteRow">
                <anchor moveWithCells="1" sizeWithCells="1">
                  <from>
                    <xdr:col>6</xdr:col>
                    <xdr:colOff>0</xdr:colOff>
                    <xdr:row>4192</xdr:row>
                    <xdr:rowOff>0</xdr:rowOff>
                  </from>
                  <to>
                    <xdr:col>7</xdr:col>
                    <xdr:colOff>0</xdr:colOff>
                    <xdr:row>4192</xdr:row>
                    <xdr:rowOff>161925</xdr:rowOff>
                  </to>
                </anchor>
              </controlPr>
            </control>
          </mc:Choice>
        </mc:AlternateContent>
        <mc:AlternateContent xmlns:mc="http://schemas.openxmlformats.org/markup-compatibility/2006">
          <mc:Choice Requires="x14">
            <control shapeId="12557" r:id="rId2425" name="Button 1293">
              <controlPr defaultSize="0" autoFill="0" autoLine="0" autoPict="0" macro="[0]!Sheet1.deleteRow">
                <anchor moveWithCells="1" sizeWithCells="1">
                  <from>
                    <xdr:col>6</xdr:col>
                    <xdr:colOff>0</xdr:colOff>
                    <xdr:row>4193</xdr:row>
                    <xdr:rowOff>0</xdr:rowOff>
                  </from>
                  <to>
                    <xdr:col>7</xdr:col>
                    <xdr:colOff>0</xdr:colOff>
                    <xdr:row>4193</xdr:row>
                    <xdr:rowOff>161925</xdr:rowOff>
                  </to>
                </anchor>
              </controlPr>
            </control>
          </mc:Choice>
        </mc:AlternateContent>
        <mc:AlternateContent xmlns:mc="http://schemas.openxmlformats.org/markup-compatibility/2006">
          <mc:Choice Requires="x14">
            <control shapeId="12556" r:id="rId2426" name="Button 1292">
              <controlPr defaultSize="0" autoFill="0" autoLine="0" autoPict="0" macro="[0]!Sheet1.deleteRow">
                <anchor moveWithCells="1" sizeWithCells="1">
                  <from>
                    <xdr:col>6</xdr:col>
                    <xdr:colOff>0</xdr:colOff>
                    <xdr:row>4194</xdr:row>
                    <xdr:rowOff>0</xdr:rowOff>
                  </from>
                  <to>
                    <xdr:col>7</xdr:col>
                    <xdr:colOff>0</xdr:colOff>
                    <xdr:row>4194</xdr:row>
                    <xdr:rowOff>161925</xdr:rowOff>
                  </to>
                </anchor>
              </controlPr>
            </control>
          </mc:Choice>
        </mc:AlternateContent>
        <mc:AlternateContent xmlns:mc="http://schemas.openxmlformats.org/markup-compatibility/2006">
          <mc:Choice Requires="x14">
            <control shapeId="12555" r:id="rId2427" name="Button 1291">
              <controlPr defaultSize="0" autoFill="0" autoLine="0" autoPict="0" macro="[0]!Sheet1.deleteRow">
                <anchor moveWithCells="1" sizeWithCells="1">
                  <from>
                    <xdr:col>6</xdr:col>
                    <xdr:colOff>0</xdr:colOff>
                    <xdr:row>4195</xdr:row>
                    <xdr:rowOff>0</xdr:rowOff>
                  </from>
                  <to>
                    <xdr:col>7</xdr:col>
                    <xdr:colOff>0</xdr:colOff>
                    <xdr:row>4195</xdr:row>
                    <xdr:rowOff>161925</xdr:rowOff>
                  </to>
                </anchor>
              </controlPr>
            </control>
          </mc:Choice>
        </mc:AlternateContent>
        <mc:AlternateContent xmlns:mc="http://schemas.openxmlformats.org/markup-compatibility/2006">
          <mc:Choice Requires="x14">
            <control shapeId="12554" r:id="rId2428" name="Button 1290">
              <controlPr defaultSize="0" autoFill="0" autoLine="0" autoPict="0" macro="[0]!Sheet1.deleteRow">
                <anchor moveWithCells="1" sizeWithCells="1">
                  <from>
                    <xdr:col>6</xdr:col>
                    <xdr:colOff>0</xdr:colOff>
                    <xdr:row>4196</xdr:row>
                    <xdr:rowOff>0</xdr:rowOff>
                  </from>
                  <to>
                    <xdr:col>7</xdr:col>
                    <xdr:colOff>0</xdr:colOff>
                    <xdr:row>4196</xdr:row>
                    <xdr:rowOff>161925</xdr:rowOff>
                  </to>
                </anchor>
              </controlPr>
            </control>
          </mc:Choice>
        </mc:AlternateContent>
        <mc:AlternateContent xmlns:mc="http://schemas.openxmlformats.org/markup-compatibility/2006">
          <mc:Choice Requires="x14">
            <control shapeId="12553" r:id="rId2429" name="Button 1289">
              <controlPr defaultSize="0" autoFill="0" autoLine="0" autoPict="0" macro="[0]!Sheet1.deleteRow">
                <anchor moveWithCells="1" sizeWithCells="1">
                  <from>
                    <xdr:col>6</xdr:col>
                    <xdr:colOff>0</xdr:colOff>
                    <xdr:row>4197</xdr:row>
                    <xdr:rowOff>0</xdr:rowOff>
                  </from>
                  <to>
                    <xdr:col>7</xdr:col>
                    <xdr:colOff>0</xdr:colOff>
                    <xdr:row>4197</xdr:row>
                    <xdr:rowOff>161925</xdr:rowOff>
                  </to>
                </anchor>
              </controlPr>
            </control>
          </mc:Choice>
        </mc:AlternateContent>
        <mc:AlternateContent xmlns:mc="http://schemas.openxmlformats.org/markup-compatibility/2006">
          <mc:Choice Requires="x14">
            <control shapeId="12552" r:id="rId2430" name="Button 1288">
              <controlPr defaultSize="0" autoFill="0" autoLine="0" autoPict="0" macro="[0]!Sheet1.deleteRow">
                <anchor moveWithCells="1" sizeWithCells="1">
                  <from>
                    <xdr:col>6</xdr:col>
                    <xdr:colOff>0</xdr:colOff>
                    <xdr:row>4198</xdr:row>
                    <xdr:rowOff>0</xdr:rowOff>
                  </from>
                  <to>
                    <xdr:col>7</xdr:col>
                    <xdr:colOff>0</xdr:colOff>
                    <xdr:row>4198</xdr:row>
                    <xdr:rowOff>161925</xdr:rowOff>
                  </to>
                </anchor>
              </controlPr>
            </control>
          </mc:Choice>
        </mc:AlternateContent>
        <mc:AlternateContent xmlns:mc="http://schemas.openxmlformats.org/markup-compatibility/2006">
          <mc:Choice Requires="x14">
            <control shapeId="12551" r:id="rId2431" name="Button 1287">
              <controlPr defaultSize="0" autoFill="0" autoLine="0" autoPict="0" macro="[0]!Sheet1.deleteRow">
                <anchor moveWithCells="1" sizeWithCells="1">
                  <from>
                    <xdr:col>6</xdr:col>
                    <xdr:colOff>0</xdr:colOff>
                    <xdr:row>4199</xdr:row>
                    <xdr:rowOff>0</xdr:rowOff>
                  </from>
                  <to>
                    <xdr:col>7</xdr:col>
                    <xdr:colOff>0</xdr:colOff>
                    <xdr:row>4199</xdr:row>
                    <xdr:rowOff>161925</xdr:rowOff>
                  </to>
                </anchor>
              </controlPr>
            </control>
          </mc:Choice>
        </mc:AlternateContent>
        <mc:AlternateContent xmlns:mc="http://schemas.openxmlformats.org/markup-compatibility/2006">
          <mc:Choice Requires="x14">
            <control shapeId="12550" r:id="rId2432" name="Button 1286">
              <controlPr defaultSize="0" autoFill="0" autoLine="0" autoPict="0" macro="[0]!Sheet1.deleteRow">
                <anchor moveWithCells="1" sizeWithCells="1">
                  <from>
                    <xdr:col>6</xdr:col>
                    <xdr:colOff>0</xdr:colOff>
                    <xdr:row>4200</xdr:row>
                    <xdr:rowOff>0</xdr:rowOff>
                  </from>
                  <to>
                    <xdr:col>7</xdr:col>
                    <xdr:colOff>0</xdr:colOff>
                    <xdr:row>4200</xdr:row>
                    <xdr:rowOff>161925</xdr:rowOff>
                  </to>
                </anchor>
              </controlPr>
            </control>
          </mc:Choice>
        </mc:AlternateContent>
        <mc:AlternateContent xmlns:mc="http://schemas.openxmlformats.org/markup-compatibility/2006">
          <mc:Choice Requires="x14">
            <control shapeId="12549" r:id="rId2433" name="Button 1285">
              <controlPr defaultSize="0" autoFill="0" autoLine="0" autoPict="0" macro="[0]!Sheet1.deleteRow">
                <anchor moveWithCells="1" sizeWithCells="1">
                  <from>
                    <xdr:col>6</xdr:col>
                    <xdr:colOff>0</xdr:colOff>
                    <xdr:row>4201</xdr:row>
                    <xdr:rowOff>0</xdr:rowOff>
                  </from>
                  <to>
                    <xdr:col>7</xdr:col>
                    <xdr:colOff>0</xdr:colOff>
                    <xdr:row>4201</xdr:row>
                    <xdr:rowOff>161925</xdr:rowOff>
                  </to>
                </anchor>
              </controlPr>
            </control>
          </mc:Choice>
        </mc:AlternateContent>
        <mc:AlternateContent xmlns:mc="http://schemas.openxmlformats.org/markup-compatibility/2006">
          <mc:Choice Requires="x14">
            <control shapeId="12548" r:id="rId2434" name="Button 1284">
              <controlPr defaultSize="0" autoFill="0" autoLine="0" autoPict="0" macro="[0]!Sheet1.deleteRow">
                <anchor moveWithCells="1" sizeWithCells="1">
                  <from>
                    <xdr:col>6</xdr:col>
                    <xdr:colOff>0</xdr:colOff>
                    <xdr:row>4202</xdr:row>
                    <xdr:rowOff>0</xdr:rowOff>
                  </from>
                  <to>
                    <xdr:col>7</xdr:col>
                    <xdr:colOff>0</xdr:colOff>
                    <xdr:row>4202</xdr:row>
                    <xdr:rowOff>161925</xdr:rowOff>
                  </to>
                </anchor>
              </controlPr>
            </control>
          </mc:Choice>
        </mc:AlternateContent>
        <mc:AlternateContent xmlns:mc="http://schemas.openxmlformats.org/markup-compatibility/2006">
          <mc:Choice Requires="x14">
            <control shapeId="12547" r:id="rId2435" name="Button 1283">
              <controlPr defaultSize="0" autoFill="0" autoLine="0" autoPict="0" macro="[0]!Sheet1.deleteRow">
                <anchor moveWithCells="1" sizeWithCells="1">
                  <from>
                    <xdr:col>6</xdr:col>
                    <xdr:colOff>0</xdr:colOff>
                    <xdr:row>4203</xdr:row>
                    <xdr:rowOff>0</xdr:rowOff>
                  </from>
                  <to>
                    <xdr:col>7</xdr:col>
                    <xdr:colOff>0</xdr:colOff>
                    <xdr:row>4203</xdr:row>
                    <xdr:rowOff>161925</xdr:rowOff>
                  </to>
                </anchor>
              </controlPr>
            </control>
          </mc:Choice>
        </mc:AlternateContent>
        <mc:AlternateContent xmlns:mc="http://schemas.openxmlformats.org/markup-compatibility/2006">
          <mc:Choice Requires="x14">
            <control shapeId="12546" r:id="rId2436" name="Button 1282">
              <controlPr defaultSize="0" autoFill="0" autoLine="0" autoPict="0" macro="[0]!Sheet1.deleteRow">
                <anchor moveWithCells="1" sizeWithCells="1">
                  <from>
                    <xdr:col>6</xdr:col>
                    <xdr:colOff>0</xdr:colOff>
                    <xdr:row>4204</xdr:row>
                    <xdr:rowOff>0</xdr:rowOff>
                  </from>
                  <to>
                    <xdr:col>7</xdr:col>
                    <xdr:colOff>0</xdr:colOff>
                    <xdr:row>4204</xdr:row>
                    <xdr:rowOff>161925</xdr:rowOff>
                  </to>
                </anchor>
              </controlPr>
            </control>
          </mc:Choice>
        </mc:AlternateContent>
        <mc:AlternateContent xmlns:mc="http://schemas.openxmlformats.org/markup-compatibility/2006">
          <mc:Choice Requires="x14">
            <control shapeId="12545" r:id="rId2437" name="Button 1281">
              <controlPr defaultSize="0" autoFill="0" autoLine="0" autoPict="0" macro="[0]!Sheet1.deleteRow">
                <anchor moveWithCells="1" sizeWithCells="1">
                  <from>
                    <xdr:col>6</xdr:col>
                    <xdr:colOff>0</xdr:colOff>
                    <xdr:row>4205</xdr:row>
                    <xdr:rowOff>0</xdr:rowOff>
                  </from>
                  <to>
                    <xdr:col>7</xdr:col>
                    <xdr:colOff>0</xdr:colOff>
                    <xdr:row>4205</xdr:row>
                    <xdr:rowOff>161925</xdr:rowOff>
                  </to>
                </anchor>
              </controlPr>
            </control>
          </mc:Choice>
        </mc:AlternateContent>
        <mc:AlternateContent xmlns:mc="http://schemas.openxmlformats.org/markup-compatibility/2006">
          <mc:Choice Requires="x14">
            <control shapeId="12544" r:id="rId2438" name="Button 1280">
              <controlPr defaultSize="0" autoFill="0" autoLine="0" autoPict="0" macro="[0]!Sheet1.deleteRow">
                <anchor moveWithCells="1" sizeWithCells="1">
                  <from>
                    <xdr:col>6</xdr:col>
                    <xdr:colOff>0</xdr:colOff>
                    <xdr:row>4206</xdr:row>
                    <xdr:rowOff>0</xdr:rowOff>
                  </from>
                  <to>
                    <xdr:col>7</xdr:col>
                    <xdr:colOff>0</xdr:colOff>
                    <xdr:row>4206</xdr:row>
                    <xdr:rowOff>161925</xdr:rowOff>
                  </to>
                </anchor>
              </controlPr>
            </control>
          </mc:Choice>
        </mc:AlternateContent>
        <mc:AlternateContent xmlns:mc="http://schemas.openxmlformats.org/markup-compatibility/2006">
          <mc:Choice Requires="x14">
            <control shapeId="12543" r:id="rId2439" name="Button 1279">
              <controlPr defaultSize="0" autoFill="0" autoLine="0" autoPict="0" macro="[0]!Sheet1.deleteProcedure">
                <anchor moveWithCells="1" sizeWithCells="1">
                  <from>
                    <xdr:col>6</xdr:col>
                    <xdr:colOff>0</xdr:colOff>
                    <xdr:row>4209</xdr:row>
                    <xdr:rowOff>0</xdr:rowOff>
                  </from>
                  <to>
                    <xdr:col>7</xdr:col>
                    <xdr:colOff>0</xdr:colOff>
                    <xdr:row>4210</xdr:row>
                    <xdr:rowOff>0</xdr:rowOff>
                  </to>
                </anchor>
              </controlPr>
            </control>
          </mc:Choice>
        </mc:AlternateContent>
        <mc:AlternateContent xmlns:mc="http://schemas.openxmlformats.org/markup-compatibility/2006">
          <mc:Choice Requires="x14">
            <control shapeId="12542" r:id="rId2440" name="Button 1278">
              <controlPr defaultSize="0" autoFill="0" autoLine="0" autoPict="0" macro="[0]!Sheet1.InsertNewTableRow">
                <anchor moveWithCells="1" sizeWithCells="1">
                  <from>
                    <xdr:col>6</xdr:col>
                    <xdr:colOff>0</xdr:colOff>
                    <xdr:row>4216</xdr:row>
                    <xdr:rowOff>0</xdr:rowOff>
                  </from>
                  <to>
                    <xdr:col>7</xdr:col>
                    <xdr:colOff>0</xdr:colOff>
                    <xdr:row>4216</xdr:row>
                    <xdr:rowOff>38100</xdr:rowOff>
                  </to>
                </anchor>
              </controlPr>
            </control>
          </mc:Choice>
        </mc:AlternateContent>
        <mc:AlternateContent xmlns:mc="http://schemas.openxmlformats.org/markup-compatibility/2006">
          <mc:Choice Requires="x14">
            <control shapeId="12541" r:id="rId2441" name="Button 1277">
              <controlPr defaultSize="0" autoFill="0" autoLine="0" autoPict="0" macro="[0]!Sheet1.deleteRow">
                <anchor moveWithCells="1" sizeWithCells="1">
                  <from>
                    <xdr:col>6</xdr:col>
                    <xdr:colOff>0</xdr:colOff>
                    <xdr:row>4217</xdr:row>
                    <xdr:rowOff>0</xdr:rowOff>
                  </from>
                  <to>
                    <xdr:col>7</xdr:col>
                    <xdr:colOff>0</xdr:colOff>
                    <xdr:row>4217</xdr:row>
                    <xdr:rowOff>161925</xdr:rowOff>
                  </to>
                </anchor>
              </controlPr>
            </control>
          </mc:Choice>
        </mc:AlternateContent>
        <mc:AlternateContent xmlns:mc="http://schemas.openxmlformats.org/markup-compatibility/2006">
          <mc:Choice Requires="x14">
            <control shapeId="12540" r:id="rId2442" name="Button 1276">
              <controlPr defaultSize="0" autoFill="0" autoLine="0" autoPict="0" macro="[0]!Sheet1.deleteRow">
                <anchor moveWithCells="1" sizeWithCells="1">
                  <from>
                    <xdr:col>6</xdr:col>
                    <xdr:colOff>0</xdr:colOff>
                    <xdr:row>4218</xdr:row>
                    <xdr:rowOff>0</xdr:rowOff>
                  </from>
                  <to>
                    <xdr:col>7</xdr:col>
                    <xdr:colOff>0</xdr:colOff>
                    <xdr:row>4218</xdr:row>
                    <xdr:rowOff>161925</xdr:rowOff>
                  </to>
                </anchor>
              </controlPr>
            </control>
          </mc:Choice>
        </mc:AlternateContent>
        <mc:AlternateContent xmlns:mc="http://schemas.openxmlformats.org/markup-compatibility/2006">
          <mc:Choice Requires="x14">
            <control shapeId="12539" r:id="rId2443" name="Button 1275">
              <controlPr defaultSize="0" autoFill="0" autoLine="0" autoPict="0" macro="[0]!Sheet1.deleteRow">
                <anchor moveWithCells="1" sizeWithCells="1">
                  <from>
                    <xdr:col>6</xdr:col>
                    <xdr:colOff>0</xdr:colOff>
                    <xdr:row>4219</xdr:row>
                    <xdr:rowOff>0</xdr:rowOff>
                  </from>
                  <to>
                    <xdr:col>7</xdr:col>
                    <xdr:colOff>0</xdr:colOff>
                    <xdr:row>4219</xdr:row>
                    <xdr:rowOff>161925</xdr:rowOff>
                  </to>
                </anchor>
              </controlPr>
            </control>
          </mc:Choice>
        </mc:AlternateContent>
        <mc:AlternateContent xmlns:mc="http://schemas.openxmlformats.org/markup-compatibility/2006">
          <mc:Choice Requires="x14">
            <control shapeId="12538" r:id="rId2444" name="Button 1274">
              <controlPr defaultSize="0" autoFill="0" autoLine="0" autoPict="0" macro="[0]!Sheet1.deleteRow">
                <anchor moveWithCells="1" sizeWithCells="1">
                  <from>
                    <xdr:col>6</xdr:col>
                    <xdr:colOff>0</xdr:colOff>
                    <xdr:row>4220</xdr:row>
                    <xdr:rowOff>0</xdr:rowOff>
                  </from>
                  <to>
                    <xdr:col>7</xdr:col>
                    <xdr:colOff>0</xdr:colOff>
                    <xdr:row>4220</xdr:row>
                    <xdr:rowOff>161925</xdr:rowOff>
                  </to>
                </anchor>
              </controlPr>
            </control>
          </mc:Choice>
        </mc:AlternateContent>
        <mc:AlternateContent xmlns:mc="http://schemas.openxmlformats.org/markup-compatibility/2006">
          <mc:Choice Requires="x14">
            <control shapeId="12537" r:id="rId2445" name="Button 1273">
              <controlPr defaultSize="0" autoFill="0" autoLine="0" autoPict="0" macro="[0]!Sheet1.deleteRow">
                <anchor moveWithCells="1" sizeWithCells="1">
                  <from>
                    <xdr:col>6</xdr:col>
                    <xdr:colOff>0</xdr:colOff>
                    <xdr:row>4221</xdr:row>
                    <xdr:rowOff>0</xdr:rowOff>
                  </from>
                  <to>
                    <xdr:col>7</xdr:col>
                    <xdr:colOff>0</xdr:colOff>
                    <xdr:row>4221</xdr:row>
                    <xdr:rowOff>161925</xdr:rowOff>
                  </to>
                </anchor>
              </controlPr>
            </control>
          </mc:Choice>
        </mc:AlternateContent>
        <mc:AlternateContent xmlns:mc="http://schemas.openxmlformats.org/markup-compatibility/2006">
          <mc:Choice Requires="x14">
            <control shapeId="12536" r:id="rId2446" name="Button 1272">
              <controlPr defaultSize="0" autoFill="0" autoLine="0" autoPict="0" macro="[0]!Sheet1.deleteRow">
                <anchor moveWithCells="1" sizeWithCells="1">
                  <from>
                    <xdr:col>6</xdr:col>
                    <xdr:colOff>0</xdr:colOff>
                    <xdr:row>4222</xdr:row>
                    <xdr:rowOff>0</xdr:rowOff>
                  </from>
                  <to>
                    <xdr:col>7</xdr:col>
                    <xdr:colOff>0</xdr:colOff>
                    <xdr:row>4222</xdr:row>
                    <xdr:rowOff>161925</xdr:rowOff>
                  </to>
                </anchor>
              </controlPr>
            </control>
          </mc:Choice>
        </mc:AlternateContent>
        <mc:AlternateContent xmlns:mc="http://schemas.openxmlformats.org/markup-compatibility/2006">
          <mc:Choice Requires="x14">
            <control shapeId="12535" r:id="rId2447" name="Button 1271">
              <controlPr defaultSize="0" autoFill="0" autoLine="0" autoPict="0" macro="[0]!Sheet1.deleteRow">
                <anchor moveWithCells="1" sizeWithCells="1">
                  <from>
                    <xdr:col>6</xdr:col>
                    <xdr:colOff>0</xdr:colOff>
                    <xdr:row>4223</xdr:row>
                    <xdr:rowOff>0</xdr:rowOff>
                  </from>
                  <to>
                    <xdr:col>7</xdr:col>
                    <xdr:colOff>0</xdr:colOff>
                    <xdr:row>4223</xdr:row>
                    <xdr:rowOff>161925</xdr:rowOff>
                  </to>
                </anchor>
              </controlPr>
            </control>
          </mc:Choice>
        </mc:AlternateContent>
        <mc:AlternateContent xmlns:mc="http://schemas.openxmlformats.org/markup-compatibility/2006">
          <mc:Choice Requires="x14">
            <control shapeId="12534" r:id="rId2448" name="Button 1270">
              <controlPr defaultSize="0" autoFill="0" autoLine="0" autoPict="0" macro="[0]!Sheet1.deleteRow">
                <anchor moveWithCells="1" sizeWithCells="1">
                  <from>
                    <xdr:col>6</xdr:col>
                    <xdr:colOff>0</xdr:colOff>
                    <xdr:row>4224</xdr:row>
                    <xdr:rowOff>0</xdr:rowOff>
                  </from>
                  <to>
                    <xdr:col>7</xdr:col>
                    <xdr:colOff>0</xdr:colOff>
                    <xdr:row>4224</xdr:row>
                    <xdr:rowOff>161925</xdr:rowOff>
                  </to>
                </anchor>
              </controlPr>
            </control>
          </mc:Choice>
        </mc:AlternateContent>
        <mc:AlternateContent xmlns:mc="http://schemas.openxmlformats.org/markup-compatibility/2006">
          <mc:Choice Requires="x14">
            <control shapeId="12533" r:id="rId2449" name="Button 1269">
              <controlPr defaultSize="0" autoFill="0" autoLine="0" autoPict="0" macro="[0]!Sheet1.deleteRow">
                <anchor moveWithCells="1" sizeWithCells="1">
                  <from>
                    <xdr:col>6</xdr:col>
                    <xdr:colOff>0</xdr:colOff>
                    <xdr:row>4225</xdr:row>
                    <xdr:rowOff>0</xdr:rowOff>
                  </from>
                  <to>
                    <xdr:col>7</xdr:col>
                    <xdr:colOff>0</xdr:colOff>
                    <xdr:row>4225</xdr:row>
                    <xdr:rowOff>161925</xdr:rowOff>
                  </to>
                </anchor>
              </controlPr>
            </control>
          </mc:Choice>
        </mc:AlternateContent>
        <mc:AlternateContent xmlns:mc="http://schemas.openxmlformats.org/markup-compatibility/2006">
          <mc:Choice Requires="x14">
            <control shapeId="12532" r:id="rId2450" name="Button 1268">
              <controlPr defaultSize="0" autoFill="0" autoLine="0" autoPict="0" macro="[0]!Sheet1.deleteRow">
                <anchor moveWithCells="1" sizeWithCells="1">
                  <from>
                    <xdr:col>6</xdr:col>
                    <xdr:colOff>0</xdr:colOff>
                    <xdr:row>4226</xdr:row>
                    <xdr:rowOff>0</xdr:rowOff>
                  </from>
                  <to>
                    <xdr:col>7</xdr:col>
                    <xdr:colOff>0</xdr:colOff>
                    <xdr:row>4226</xdr:row>
                    <xdr:rowOff>161925</xdr:rowOff>
                  </to>
                </anchor>
              </controlPr>
            </control>
          </mc:Choice>
        </mc:AlternateContent>
        <mc:AlternateContent xmlns:mc="http://schemas.openxmlformats.org/markup-compatibility/2006">
          <mc:Choice Requires="x14">
            <control shapeId="12531" r:id="rId2451" name="Button 1267">
              <controlPr defaultSize="0" autoFill="0" autoLine="0" autoPict="0" macro="[0]!Sheet1.deleteRow">
                <anchor moveWithCells="1" sizeWithCells="1">
                  <from>
                    <xdr:col>6</xdr:col>
                    <xdr:colOff>0</xdr:colOff>
                    <xdr:row>4227</xdr:row>
                    <xdr:rowOff>0</xdr:rowOff>
                  </from>
                  <to>
                    <xdr:col>7</xdr:col>
                    <xdr:colOff>0</xdr:colOff>
                    <xdr:row>4227</xdr:row>
                    <xdr:rowOff>161925</xdr:rowOff>
                  </to>
                </anchor>
              </controlPr>
            </control>
          </mc:Choice>
        </mc:AlternateContent>
        <mc:AlternateContent xmlns:mc="http://schemas.openxmlformats.org/markup-compatibility/2006">
          <mc:Choice Requires="x14">
            <control shapeId="12530" r:id="rId2452" name="Button 1266">
              <controlPr defaultSize="0" autoFill="0" autoLine="0" autoPict="0" macro="[0]!Sheet1.deleteRow">
                <anchor moveWithCells="1" sizeWithCells="1">
                  <from>
                    <xdr:col>6</xdr:col>
                    <xdr:colOff>0</xdr:colOff>
                    <xdr:row>4228</xdr:row>
                    <xdr:rowOff>0</xdr:rowOff>
                  </from>
                  <to>
                    <xdr:col>7</xdr:col>
                    <xdr:colOff>0</xdr:colOff>
                    <xdr:row>4228</xdr:row>
                    <xdr:rowOff>161925</xdr:rowOff>
                  </to>
                </anchor>
              </controlPr>
            </control>
          </mc:Choice>
        </mc:AlternateContent>
        <mc:AlternateContent xmlns:mc="http://schemas.openxmlformats.org/markup-compatibility/2006">
          <mc:Choice Requires="x14">
            <control shapeId="12529" r:id="rId2453" name="Button 1265">
              <controlPr defaultSize="0" autoFill="0" autoLine="0" autoPict="0" macro="[0]!Sheet1.deleteRow">
                <anchor moveWithCells="1" sizeWithCells="1">
                  <from>
                    <xdr:col>6</xdr:col>
                    <xdr:colOff>0</xdr:colOff>
                    <xdr:row>4229</xdr:row>
                    <xdr:rowOff>0</xdr:rowOff>
                  </from>
                  <to>
                    <xdr:col>7</xdr:col>
                    <xdr:colOff>0</xdr:colOff>
                    <xdr:row>4229</xdr:row>
                    <xdr:rowOff>161925</xdr:rowOff>
                  </to>
                </anchor>
              </controlPr>
            </control>
          </mc:Choice>
        </mc:AlternateContent>
        <mc:AlternateContent xmlns:mc="http://schemas.openxmlformats.org/markup-compatibility/2006">
          <mc:Choice Requires="x14">
            <control shapeId="12528" r:id="rId2454" name="Button 1264">
              <controlPr defaultSize="0" autoFill="0" autoLine="0" autoPict="0" macro="[0]!Sheet1.deleteRow">
                <anchor moveWithCells="1" sizeWithCells="1">
                  <from>
                    <xdr:col>6</xdr:col>
                    <xdr:colOff>0</xdr:colOff>
                    <xdr:row>4230</xdr:row>
                    <xdr:rowOff>0</xdr:rowOff>
                  </from>
                  <to>
                    <xdr:col>7</xdr:col>
                    <xdr:colOff>0</xdr:colOff>
                    <xdr:row>4230</xdr:row>
                    <xdr:rowOff>161925</xdr:rowOff>
                  </to>
                </anchor>
              </controlPr>
            </control>
          </mc:Choice>
        </mc:AlternateContent>
        <mc:AlternateContent xmlns:mc="http://schemas.openxmlformats.org/markup-compatibility/2006">
          <mc:Choice Requires="x14">
            <control shapeId="12527" r:id="rId2455" name="Button 1263">
              <controlPr defaultSize="0" autoFill="0" autoLine="0" autoPict="0" macro="[0]!Sheet1.deleteRow">
                <anchor moveWithCells="1" sizeWithCells="1">
                  <from>
                    <xdr:col>6</xdr:col>
                    <xdr:colOff>0</xdr:colOff>
                    <xdr:row>4231</xdr:row>
                    <xdr:rowOff>0</xdr:rowOff>
                  </from>
                  <to>
                    <xdr:col>7</xdr:col>
                    <xdr:colOff>0</xdr:colOff>
                    <xdr:row>4231</xdr:row>
                    <xdr:rowOff>161925</xdr:rowOff>
                  </to>
                </anchor>
              </controlPr>
            </control>
          </mc:Choice>
        </mc:AlternateContent>
        <mc:AlternateContent xmlns:mc="http://schemas.openxmlformats.org/markup-compatibility/2006">
          <mc:Choice Requires="x14">
            <control shapeId="12526" r:id="rId2456" name="Button 1262">
              <controlPr defaultSize="0" autoFill="0" autoLine="0" autoPict="0" macro="[0]!Sheet1.deleteRow">
                <anchor moveWithCells="1" sizeWithCells="1">
                  <from>
                    <xdr:col>6</xdr:col>
                    <xdr:colOff>0</xdr:colOff>
                    <xdr:row>4232</xdr:row>
                    <xdr:rowOff>0</xdr:rowOff>
                  </from>
                  <to>
                    <xdr:col>7</xdr:col>
                    <xdr:colOff>0</xdr:colOff>
                    <xdr:row>4232</xdr:row>
                    <xdr:rowOff>161925</xdr:rowOff>
                  </to>
                </anchor>
              </controlPr>
            </control>
          </mc:Choice>
        </mc:AlternateContent>
        <mc:AlternateContent xmlns:mc="http://schemas.openxmlformats.org/markup-compatibility/2006">
          <mc:Choice Requires="x14">
            <control shapeId="12525" r:id="rId2457" name="Button 1261">
              <controlPr defaultSize="0" autoFill="0" autoLine="0" autoPict="0" macro="[0]!Sheet1.deleteRow">
                <anchor moveWithCells="1" sizeWithCells="1">
                  <from>
                    <xdr:col>6</xdr:col>
                    <xdr:colOff>0</xdr:colOff>
                    <xdr:row>4233</xdr:row>
                    <xdr:rowOff>0</xdr:rowOff>
                  </from>
                  <to>
                    <xdr:col>7</xdr:col>
                    <xdr:colOff>0</xdr:colOff>
                    <xdr:row>4233</xdr:row>
                    <xdr:rowOff>161925</xdr:rowOff>
                  </to>
                </anchor>
              </controlPr>
            </control>
          </mc:Choice>
        </mc:AlternateContent>
        <mc:AlternateContent xmlns:mc="http://schemas.openxmlformats.org/markup-compatibility/2006">
          <mc:Choice Requires="x14">
            <control shapeId="12524" r:id="rId2458" name="Button 1260">
              <controlPr defaultSize="0" autoFill="0" autoLine="0" autoPict="0" macro="[0]!Sheet1.deleteRow">
                <anchor moveWithCells="1" sizeWithCells="1">
                  <from>
                    <xdr:col>6</xdr:col>
                    <xdr:colOff>0</xdr:colOff>
                    <xdr:row>4234</xdr:row>
                    <xdr:rowOff>0</xdr:rowOff>
                  </from>
                  <to>
                    <xdr:col>7</xdr:col>
                    <xdr:colOff>0</xdr:colOff>
                    <xdr:row>4234</xdr:row>
                    <xdr:rowOff>161925</xdr:rowOff>
                  </to>
                </anchor>
              </controlPr>
            </control>
          </mc:Choice>
        </mc:AlternateContent>
        <mc:AlternateContent xmlns:mc="http://schemas.openxmlformats.org/markup-compatibility/2006">
          <mc:Choice Requires="x14">
            <control shapeId="12523" r:id="rId2459" name="Button 1259">
              <controlPr defaultSize="0" autoFill="0" autoLine="0" autoPict="0" macro="[0]!Sheet1.deleteRow">
                <anchor moveWithCells="1" sizeWithCells="1">
                  <from>
                    <xdr:col>6</xdr:col>
                    <xdr:colOff>0</xdr:colOff>
                    <xdr:row>4235</xdr:row>
                    <xdr:rowOff>0</xdr:rowOff>
                  </from>
                  <to>
                    <xdr:col>7</xdr:col>
                    <xdr:colOff>0</xdr:colOff>
                    <xdr:row>4235</xdr:row>
                    <xdr:rowOff>161925</xdr:rowOff>
                  </to>
                </anchor>
              </controlPr>
            </control>
          </mc:Choice>
        </mc:AlternateContent>
        <mc:AlternateContent xmlns:mc="http://schemas.openxmlformats.org/markup-compatibility/2006">
          <mc:Choice Requires="x14">
            <control shapeId="12522" r:id="rId2460" name="Button 1258">
              <controlPr defaultSize="0" autoFill="0" autoLine="0" autoPict="0" macro="[0]!Sheet1.deleteRow">
                <anchor moveWithCells="1" sizeWithCells="1">
                  <from>
                    <xdr:col>6</xdr:col>
                    <xdr:colOff>0</xdr:colOff>
                    <xdr:row>4236</xdr:row>
                    <xdr:rowOff>0</xdr:rowOff>
                  </from>
                  <to>
                    <xdr:col>7</xdr:col>
                    <xdr:colOff>0</xdr:colOff>
                    <xdr:row>4236</xdr:row>
                    <xdr:rowOff>161925</xdr:rowOff>
                  </to>
                </anchor>
              </controlPr>
            </control>
          </mc:Choice>
        </mc:AlternateContent>
        <mc:AlternateContent xmlns:mc="http://schemas.openxmlformats.org/markup-compatibility/2006">
          <mc:Choice Requires="x14">
            <control shapeId="12521" r:id="rId2461" name="Button 1257">
              <controlPr defaultSize="0" autoFill="0" autoLine="0" autoPict="0" macro="[0]!Sheet1.deleteRow">
                <anchor moveWithCells="1" sizeWithCells="1">
                  <from>
                    <xdr:col>6</xdr:col>
                    <xdr:colOff>0</xdr:colOff>
                    <xdr:row>4237</xdr:row>
                    <xdr:rowOff>0</xdr:rowOff>
                  </from>
                  <to>
                    <xdr:col>7</xdr:col>
                    <xdr:colOff>0</xdr:colOff>
                    <xdr:row>4237</xdr:row>
                    <xdr:rowOff>161925</xdr:rowOff>
                  </to>
                </anchor>
              </controlPr>
            </control>
          </mc:Choice>
        </mc:AlternateContent>
        <mc:AlternateContent xmlns:mc="http://schemas.openxmlformats.org/markup-compatibility/2006">
          <mc:Choice Requires="x14">
            <control shapeId="12520" r:id="rId2462" name="Button 1256">
              <controlPr defaultSize="0" autoFill="0" autoLine="0" autoPict="0" macro="[0]!Sheet1.deleteRow">
                <anchor moveWithCells="1" sizeWithCells="1">
                  <from>
                    <xdr:col>6</xdr:col>
                    <xdr:colOff>0</xdr:colOff>
                    <xdr:row>4238</xdr:row>
                    <xdr:rowOff>0</xdr:rowOff>
                  </from>
                  <to>
                    <xdr:col>7</xdr:col>
                    <xdr:colOff>0</xdr:colOff>
                    <xdr:row>4238</xdr:row>
                    <xdr:rowOff>161925</xdr:rowOff>
                  </to>
                </anchor>
              </controlPr>
            </control>
          </mc:Choice>
        </mc:AlternateContent>
        <mc:AlternateContent xmlns:mc="http://schemas.openxmlformats.org/markup-compatibility/2006">
          <mc:Choice Requires="x14">
            <control shapeId="12519" r:id="rId2463" name="Button 1255">
              <controlPr defaultSize="0" autoFill="0" autoLine="0" autoPict="0" macro="[0]!Sheet1.deleteRow">
                <anchor moveWithCells="1" sizeWithCells="1">
                  <from>
                    <xdr:col>6</xdr:col>
                    <xdr:colOff>0</xdr:colOff>
                    <xdr:row>4239</xdr:row>
                    <xdr:rowOff>0</xdr:rowOff>
                  </from>
                  <to>
                    <xdr:col>7</xdr:col>
                    <xdr:colOff>0</xdr:colOff>
                    <xdr:row>4239</xdr:row>
                    <xdr:rowOff>161925</xdr:rowOff>
                  </to>
                </anchor>
              </controlPr>
            </control>
          </mc:Choice>
        </mc:AlternateContent>
        <mc:AlternateContent xmlns:mc="http://schemas.openxmlformats.org/markup-compatibility/2006">
          <mc:Choice Requires="x14">
            <control shapeId="12518" r:id="rId2464" name="Button 1254">
              <controlPr defaultSize="0" autoFill="0" autoLine="0" autoPict="0" macro="[0]!Sheet1.deleteRow">
                <anchor moveWithCells="1" sizeWithCells="1">
                  <from>
                    <xdr:col>6</xdr:col>
                    <xdr:colOff>0</xdr:colOff>
                    <xdr:row>4240</xdr:row>
                    <xdr:rowOff>0</xdr:rowOff>
                  </from>
                  <to>
                    <xdr:col>7</xdr:col>
                    <xdr:colOff>0</xdr:colOff>
                    <xdr:row>4240</xdr:row>
                    <xdr:rowOff>161925</xdr:rowOff>
                  </to>
                </anchor>
              </controlPr>
            </control>
          </mc:Choice>
        </mc:AlternateContent>
        <mc:AlternateContent xmlns:mc="http://schemas.openxmlformats.org/markup-compatibility/2006">
          <mc:Choice Requires="x14">
            <control shapeId="12517" r:id="rId2465" name="Button 1253">
              <controlPr defaultSize="0" autoFill="0" autoLine="0" autoPict="0" macro="[0]!Sheet1.deleteRow">
                <anchor moveWithCells="1" sizeWithCells="1">
                  <from>
                    <xdr:col>6</xdr:col>
                    <xdr:colOff>0</xdr:colOff>
                    <xdr:row>4241</xdr:row>
                    <xdr:rowOff>0</xdr:rowOff>
                  </from>
                  <to>
                    <xdr:col>7</xdr:col>
                    <xdr:colOff>0</xdr:colOff>
                    <xdr:row>4241</xdr:row>
                    <xdr:rowOff>161925</xdr:rowOff>
                  </to>
                </anchor>
              </controlPr>
            </control>
          </mc:Choice>
        </mc:AlternateContent>
        <mc:AlternateContent xmlns:mc="http://schemas.openxmlformats.org/markup-compatibility/2006">
          <mc:Choice Requires="x14">
            <control shapeId="12516" r:id="rId2466" name="Button 1252">
              <controlPr defaultSize="0" autoFill="0" autoLine="0" autoPict="0" macro="[0]!Sheet1.deleteRow">
                <anchor moveWithCells="1" sizeWithCells="1">
                  <from>
                    <xdr:col>6</xdr:col>
                    <xdr:colOff>0</xdr:colOff>
                    <xdr:row>4242</xdr:row>
                    <xdr:rowOff>0</xdr:rowOff>
                  </from>
                  <to>
                    <xdr:col>7</xdr:col>
                    <xdr:colOff>0</xdr:colOff>
                    <xdr:row>4242</xdr:row>
                    <xdr:rowOff>161925</xdr:rowOff>
                  </to>
                </anchor>
              </controlPr>
            </control>
          </mc:Choice>
        </mc:AlternateContent>
        <mc:AlternateContent xmlns:mc="http://schemas.openxmlformats.org/markup-compatibility/2006">
          <mc:Choice Requires="x14">
            <control shapeId="12515" r:id="rId2467" name="Button 1251">
              <controlPr defaultSize="0" autoFill="0" autoLine="0" autoPict="0" macro="[0]!Sheet1.deleteRow">
                <anchor moveWithCells="1" sizeWithCells="1">
                  <from>
                    <xdr:col>6</xdr:col>
                    <xdr:colOff>0</xdr:colOff>
                    <xdr:row>4243</xdr:row>
                    <xdr:rowOff>0</xdr:rowOff>
                  </from>
                  <to>
                    <xdr:col>7</xdr:col>
                    <xdr:colOff>0</xdr:colOff>
                    <xdr:row>4243</xdr:row>
                    <xdr:rowOff>161925</xdr:rowOff>
                  </to>
                </anchor>
              </controlPr>
            </control>
          </mc:Choice>
        </mc:AlternateContent>
        <mc:AlternateContent xmlns:mc="http://schemas.openxmlformats.org/markup-compatibility/2006">
          <mc:Choice Requires="x14">
            <control shapeId="12514" r:id="rId2468" name="Button 1250">
              <controlPr defaultSize="0" autoFill="0" autoLine="0" autoPict="0" macro="[0]!Sheet1.deleteRow">
                <anchor moveWithCells="1" sizeWithCells="1">
                  <from>
                    <xdr:col>6</xdr:col>
                    <xdr:colOff>0</xdr:colOff>
                    <xdr:row>4244</xdr:row>
                    <xdr:rowOff>0</xdr:rowOff>
                  </from>
                  <to>
                    <xdr:col>7</xdr:col>
                    <xdr:colOff>0</xdr:colOff>
                    <xdr:row>4244</xdr:row>
                    <xdr:rowOff>161925</xdr:rowOff>
                  </to>
                </anchor>
              </controlPr>
            </control>
          </mc:Choice>
        </mc:AlternateContent>
        <mc:AlternateContent xmlns:mc="http://schemas.openxmlformats.org/markup-compatibility/2006">
          <mc:Choice Requires="x14">
            <control shapeId="12513" r:id="rId2469" name="Button 1249">
              <controlPr defaultSize="0" autoFill="0" autoLine="0" autoPict="0" macro="[0]!Sheet1.deleteRow">
                <anchor moveWithCells="1" sizeWithCells="1">
                  <from>
                    <xdr:col>6</xdr:col>
                    <xdr:colOff>0</xdr:colOff>
                    <xdr:row>4245</xdr:row>
                    <xdr:rowOff>0</xdr:rowOff>
                  </from>
                  <to>
                    <xdr:col>7</xdr:col>
                    <xdr:colOff>0</xdr:colOff>
                    <xdr:row>4245</xdr:row>
                    <xdr:rowOff>161925</xdr:rowOff>
                  </to>
                </anchor>
              </controlPr>
            </control>
          </mc:Choice>
        </mc:AlternateContent>
        <mc:AlternateContent xmlns:mc="http://schemas.openxmlformats.org/markup-compatibility/2006">
          <mc:Choice Requires="x14">
            <control shapeId="12512" r:id="rId2470" name="Button 1248">
              <controlPr defaultSize="0" autoFill="0" autoLine="0" autoPict="0" macro="[0]!Sheet1.deleteRow">
                <anchor moveWithCells="1" sizeWithCells="1">
                  <from>
                    <xdr:col>6</xdr:col>
                    <xdr:colOff>0</xdr:colOff>
                    <xdr:row>4246</xdr:row>
                    <xdr:rowOff>0</xdr:rowOff>
                  </from>
                  <to>
                    <xdr:col>7</xdr:col>
                    <xdr:colOff>0</xdr:colOff>
                    <xdr:row>4246</xdr:row>
                    <xdr:rowOff>161925</xdr:rowOff>
                  </to>
                </anchor>
              </controlPr>
            </control>
          </mc:Choice>
        </mc:AlternateContent>
        <mc:AlternateContent xmlns:mc="http://schemas.openxmlformats.org/markup-compatibility/2006">
          <mc:Choice Requires="x14">
            <control shapeId="12511" r:id="rId2471" name="Button 1247">
              <controlPr defaultSize="0" autoFill="0" autoLine="0" autoPict="0" macro="[0]!Sheet1.deleteRow">
                <anchor moveWithCells="1" sizeWithCells="1">
                  <from>
                    <xdr:col>6</xdr:col>
                    <xdr:colOff>0</xdr:colOff>
                    <xdr:row>4247</xdr:row>
                    <xdr:rowOff>0</xdr:rowOff>
                  </from>
                  <to>
                    <xdr:col>7</xdr:col>
                    <xdr:colOff>0</xdr:colOff>
                    <xdr:row>4247</xdr:row>
                    <xdr:rowOff>161925</xdr:rowOff>
                  </to>
                </anchor>
              </controlPr>
            </control>
          </mc:Choice>
        </mc:AlternateContent>
        <mc:AlternateContent xmlns:mc="http://schemas.openxmlformats.org/markup-compatibility/2006">
          <mc:Choice Requires="x14">
            <control shapeId="12510" r:id="rId2472" name="Button 1246">
              <controlPr defaultSize="0" autoFill="0" autoLine="0" autoPict="0" macro="[0]!Sheet1.deleteRow">
                <anchor moveWithCells="1" sizeWithCells="1">
                  <from>
                    <xdr:col>6</xdr:col>
                    <xdr:colOff>0</xdr:colOff>
                    <xdr:row>4248</xdr:row>
                    <xdr:rowOff>0</xdr:rowOff>
                  </from>
                  <to>
                    <xdr:col>7</xdr:col>
                    <xdr:colOff>0</xdr:colOff>
                    <xdr:row>4248</xdr:row>
                    <xdr:rowOff>161925</xdr:rowOff>
                  </to>
                </anchor>
              </controlPr>
            </control>
          </mc:Choice>
        </mc:AlternateContent>
        <mc:AlternateContent xmlns:mc="http://schemas.openxmlformats.org/markup-compatibility/2006">
          <mc:Choice Requires="x14">
            <control shapeId="12509" r:id="rId2473" name="Button 1245">
              <controlPr defaultSize="0" autoFill="0" autoLine="0" autoPict="0" macro="[0]!Sheet1.deleteRow">
                <anchor moveWithCells="1" sizeWithCells="1">
                  <from>
                    <xdr:col>6</xdr:col>
                    <xdr:colOff>0</xdr:colOff>
                    <xdr:row>4249</xdr:row>
                    <xdr:rowOff>0</xdr:rowOff>
                  </from>
                  <to>
                    <xdr:col>7</xdr:col>
                    <xdr:colOff>0</xdr:colOff>
                    <xdr:row>4249</xdr:row>
                    <xdr:rowOff>161925</xdr:rowOff>
                  </to>
                </anchor>
              </controlPr>
            </control>
          </mc:Choice>
        </mc:AlternateContent>
        <mc:AlternateContent xmlns:mc="http://schemas.openxmlformats.org/markup-compatibility/2006">
          <mc:Choice Requires="x14">
            <control shapeId="12508" r:id="rId2474" name="Button 1244">
              <controlPr defaultSize="0" autoFill="0" autoLine="0" autoPict="0" macro="[0]!Sheet1.deleteRow">
                <anchor moveWithCells="1" sizeWithCells="1">
                  <from>
                    <xdr:col>6</xdr:col>
                    <xdr:colOff>0</xdr:colOff>
                    <xdr:row>4250</xdr:row>
                    <xdr:rowOff>0</xdr:rowOff>
                  </from>
                  <to>
                    <xdr:col>7</xdr:col>
                    <xdr:colOff>0</xdr:colOff>
                    <xdr:row>4250</xdr:row>
                    <xdr:rowOff>161925</xdr:rowOff>
                  </to>
                </anchor>
              </controlPr>
            </control>
          </mc:Choice>
        </mc:AlternateContent>
        <mc:AlternateContent xmlns:mc="http://schemas.openxmlformats.org/markup-compatibility/2006">
          <mc:Choice Requires="x14">
            <control shapeId="12507" r:id="rId2475" name="Button 1243">
              <controlPr defaultSize="0" autoFill="0" autoLine="0" autoPict="0" macro="[0]!Sheet1.deleteRow">
                <anchor moveWithCells="1" sizeWithCells="1">
                  <from>
                    <xdr:col>6</xdr:col>
                    <xdr:colOff>0</xdr:colOff>
                    <xdr:row>4251</xdr:row>
                    <xdr:rowOff>0</xdr:rowOff>
                  </from>
                  <to>
                    <xdr:col>7</xdr:col>
                    <xdr:colOff>0</xdr:colOff>
                    <xdr:row>4251</xdr:row>
                    <xdr:rowOff>161925</xdr:rowOff>
                  </to>
                </anchor>
              </controlPr>
            </control>
          </mc:Choice>
        </mc:AlternateContent>
        <mc:AlternateContent xmlns:mc="http://schemas.openxmlformats.org/markup-compatibility/2006">
          <mc:Choice Requires="x14">
            <control shapeId="12506" r:id="rId2476" name="Button 1242">
              <controlPr defaultSize="0" autoFill="0" autoLine="0" autoPict="0" macro="[0]!Sheet1.deleteRow">
                <anchor moveWithCells="1" sizeWithCells="1">
                  <from>
                    <xdr:col>6</xdr:col>
                    <xdr:colOff>0</xdr:colOff>
                    <xdr:row>4252</xdr:row>
                    <xdr:rowOff>0</xdr:rowOff>
                  </from>
                  <to>
                    <xdr:col>7</xdr:col>
                    <xdr:colOff>0</xdr:colOff>
                    <xdr:row>4252</xdr:row>
                    <xdr:rowOff>161925</xdr:rowOff>
                  </to>
                </anchor>
              </controlPr>
            </control>
          </mc:Choice>
        </mc:AlternateContent>
        <mc:AlternateContent xmlns:mc="http://schemas.openxmlformats.org/markup-compatibility/2006">
          <mc:Choice Requires="x14">
            <control shapeId="12505" r:id="rId2477" name="Button 1241">
              <controlPr defaultSize="0" autoFill="0" autoLine="0" autoPict="0" macro="[0]!Sheet1.deleteRow">
                <anchor moveWithCells="1" sizeWithCells="1">
                  <from>
                    <xdr:col>6</xdr:col>
                    <xdr:colOff>0</xdr:colOff>
                    <xdr:row>4253</xdr:row>
                    <xdr:rowOff>0</xdr:rowOff>
                  </from>
                  <to>
                    <xdr:col>7</xdr:col>
                    <xdr:colOff>0</xdr:colOff>
                    <xdr:row>4253</xdr:row>
                    <xdr:rowOff>161925</xdr:rowOff>
                  </to>
                </anchor>
              </controlPr>
            </control>
          </mc:Choice>
        </mc:AlternateContent>
        <mc:AlternateContent xmlns:mc="http://schemas.openxmlformats.org/markup-compatibility/2006">
          <mc:Choice Requires="x14">
            <control shapeId="12504" r:id="rId2478" name="Button 1240">
              <controlPr defaultSize="0" autoFill="0" autoLine="0" autoPict="0" macro="[0]!Sheet1.deleteRow">
                <anchor moveWithCells="1" sizeWithCells="1">
                  <from>
                    <xdr:col>6</xdr:col>
                    <xdr:colOff>0</xdr:colOff>
                    <xdr:row>4254</xdr:row>
                    <xdr:rowOff>0</xdr:rowOff>
                  </from>
                  <to>
                    <xdr:col>7</xdr:col>
                    <xdr:colOff>0</xdr:colOff>
                    <xdr:row>4254</xdr:row>
                    <xdr:rowOff>161925</xdr:rowOff>
                  </to>
                </anchor>
              </controlPr>
            </control>
          </mc:Choice>
        </mc:AlternateContent>
        <mc:AlternateContent xmlns:mc="http://schemas.openxmlformats.org/markup-compatibility/2006">
          <mc:Choice Requires="x14">
            <control shapeId="12503" r:id="rId2479" name="Button 1239">
              <controlPr defaultSize="0" autoFill="0" autoLine="0" autoPict="0" macro="[0]!Sheet1.deleteRow">
                <anchor moveWithCells="1" sizeWithCells="1">
                  <from>
                    <xdr:col>6</xdr:col>
                    <xdr:colOff>0</xdr:colOff>
                    <xdr:row>4255</xdr:row>
                    <xdr:rowOff>0</xdr:rowOff>
                  </from>
                  <to>
                    <xdr:col>7</xdr:col>
                    <xdr:colOff>0</xdr:colOff>
                    <xdr:row>4255</xdr:row>
                    <xdr:rowOff>161925</xdr:rowOff>
                  </to>
                </anchor>
              </controlPr>
            </control>
          </mc:Choice>
        </mc:AlternateContent>
        <mc:AlternateContent xmlns:mc="http://schemas.openxmlformats.org/markup-compatibility/2006">
          <mc:Choice Requires="x14">
            <control shapeId="12502" r:id="rId2480" name="Button 1238">
              <controlPr defaultSize="0" autoFill="0" autoLine="0" autoPict="0" macro="[0]!Sheet1.deleteRow">
                <anchor moveWithCells="1" sizeWithCells="1">
                  <from>
                    <xdr:col>6</xdr:col>
                    <xdr:colOff>0</xdr:colOff>
                    <xdr:row>4256</xdr:row>
                    <xdr:rowOff>0</xdr:rowOff>
                  </from>
                  <to>
                    <xdr:col>7</xdr:col>
                    <xdr:colOff>0</xdr:colOff>
                    <xdr:row>4256</xdr:row>
                    <xdr:rowOff>161925</xdr:rowOff>
                  </to>
                </anchor>
              </controlPr>
            </control>
          </mc:Choice>
        </mc:AlternateContent>
        <mc:AlternateContent xmlns:mc="http://schemas.openxmlformats.org/markup-compatibility/2006">
          <mc:Choice Requires="x14">
            <control shapeId="12501" r:id="rId2481" name="Button 1237">
              <controlPr defaultSize="0" autoFill="0" autoLine="0" autoPict="0" macro="[0]!Sheet1.deleteRow">
                <anchor moveWithCells="1" sizeWithCells="1">
                  <from>
                    <xdr:col>6</xdr:col>
                    <xdr:colOff>0</xdr:colOff>
                    <xdr:row>4257</xdr:row>
                    <xdr:rowOff>0</xdr:rowOff>
                  </from>
                  <to>
                    <xdr:col>7</xdr:col>
                    <xdr:colOff>0</xdr:colOff>
                    <xdr:row>4257</xdr:row>
                    <xdr:rowOff>161925</xdr:rowOff>
                  </to>
                </anchor>
              </controlPr>
            </control>
          </mc:Choice>
        </mc:AlternateContent>
        <mc:AlternateContent xmlns:mc="http://schemas.openxmlformats.org/markup-compatibility/2006">
          <mc:Choice Requires="x14">
            <control shapeId="12500" r:id="rId2482" name="Button 1236">
              <controlPr defaultSize="0" autoFill="0" autoLine="0" autoPict="0" macro="[0]!Sheet1.deleteRow">
                <anchor moveWithCells="1" sizeWithCells="1">
                  <from>
                    <xdr:col>6</xdr:col>
                    <xdr:colOff>0</xdr:colOff>
                    <xdr:row>4258</xdr:row>
                    <xdr:rowOff>0</xdr:rowOff>
                  </from>
                  <to>
                    <xdr:col>7</xdr:col>
                    <xdr:colOff>0</xdr:colOff>
                    <xdr:row>4258</xdr:row>
                    <xdr:rowOff>161925</xdr:rowOff>
                  </to>
                </anchor>
              </controlPr>
            </control>
          </mc:Choice>
        </mc:AlternateContent>
        <mc:AlternateContent xmlns:mc="http://schemas.openxmlformats.org/markup-compatibility/2006">
          <mc:Choice Requires="x14">
            <control shapeId="12499" r:id="rId2483" name="Button 1235">
              <controlPr defaultSize="0" autoFill="0" autoLine="0" autoPict="0" macro="[0]!Sheet1.deleteRow">
                <anchor moveWithCells="1" sizeWithCells="1">
                  <from>
                    <xdr:col>6</xdr:col>
                    <xdr:colOff>0</xdr:colOff>
                    <xdr:row>4259</xdr:row>
                    <xdr:rowOff>0</xdr:rowOff>
                  </from>
                  <to>
                    <xdr:col>7</xdr:col>
                    <xdr:colOff>0</xdr:colOff>
                    <xdr:row>4259</xdr:row>
                    <xdr:rowOff>161925</xdr:rowOff>
                  </to>
                </anchor>
              </controlPr>
            </control>
          </mc:Choice>
        </mc:AlternateContent>
        <mc:AlternateContent xmlns:mc="http://schemas.openxmlformats.org/markup-compatibility/2006">
          <mc:Choice Requires="x14">
            <control shapeId="12498" r:id="rId2484" name="Button 1234">
              <controlPr defaultSize="0" autoFill="0" autoLine="0" autoPict="0" macro="[0]!Sheet1.deleteRow">
                <anchor moveWithCells="1" sizeWithCells="1">
                  <from>
                    <xdr:col>6</xdr:col>
                    <xdr:colOff>0</xdr:colOff>
                    <xdr:row>4260</xdr:row>
                    <xdr:rowOff>0</xdr:rowOff>
                  </from>
                  <to>
                    <xdr:col>7</xdr:col>
                    <xdr:colOff>0</xdr:colOff>
                    <xdr:row>4260</xdr:row>
                    <xdr:rowOff>161925</xdr:rowOff>
                  </to>
                </anchor>
              </controlPr>
            </control>
          </mc:Choice>
        </mc:AlternateContent>
        <mc:AlternateContent xmlns:mc="http://schemas.openxmlformats.org/markup-compatibility/2006">
          <mc:Choice Requires="x14">
            <control shapeId="12497" r:id="rId2485" name="Button 1233">
              <controlPr defaultSize="0" autoFill="0" autoLine="0" autoPict="0" macro="[0]!Sheet1.deleteProcedure">
                <anchor moveWithCells="1" sizeWithCells="1">
                  <from>
                    <xdr:col>6</xdr:col>
                    <xdr:colOff>0</xdr:colOff>
                    <xdr:row>4263</xdr:row>
                    <xdr:rowOff>0</xdr:rowOff>
                  </from>
                  <to>
                    <xdr:col>7</xdr:col>
                    <xdr:colOff>0</xdr:colOff>
                    <xdr:row>4264</xdr:row>
                    <xdr:rowOff>0</xdr:rowOff>
                  </to>
                </anchor>
              </controlPr>
            </control>
          </mc:Choice>
        </mc:AlternateContent>
        <mc:AlternateContent xmlns:mc="http://schemas.openxmlformats.org/markup-compatibility/2006">
          <mc:Choice Requires="x14">
            <control shapeId="12496" r:id="rId2486" name="Button 1232">
              <controlPr defaultSize="0" autoFill="0" autoLine="0" autoPict="0" macro="[0]!Sheet1.InsertNewTableRow">
                <anchor moveWithCells="1" sizeWithCells="1">
                  <from>
                    <xdr:col>6</xdr:col>
                    <xdr:colOff>0</xdr:colOff>
                    <xdr:row>4270</xdr:row>
                    <xdr:rowOff>0</xdr:rowOff>
                  </from>
                  <to>
                    <xdr:col>7</xdr:col>
                    <xdr:colOff>0</xdr:colOff>
                    <xdr:row>4270</xdr:row>
                    <xdr:rowOff>38100</xdr:rowOff>
                  </to>
                </anchor>
              </controlPr>
            </control>
          </mc:Choice>
        </mc:AlternateContent>
        <mc:AlternateContent xmlns:mc="http://schemas.openxmlformats.org/markup-compatibility/2006">
          <mc:Choice Requires="x14">
            <control shapeId="12495" r:id="rId2487" name="Button 1231">
              <controlPr defaultSize="0" autoFill="0" autoLine="0" autoPict="0" macro="[0]!Sheet1.deleteRow">
                <anchor moveWithCells="1" sizeWithCells="1">
                  <from>
                    <xdr:col>6</xdr:col>
                    <xdr:colOff>0</xdr:colOff>
                    <xdr:row>4271</xdr:row>
                    <xdr:rowOff>0</xdr:rowOff>
                  </from>
                  <to>
                    <xdr:col>7</xdr:col>
                    <xdr:colOff>0</xdr:colOff>
                    <xdr:row>4271</xdr:row>
                    <xdr:rowOff>161925</xdr:rowOff>
                  </to>
                </anchor>
              </controlPr>
            </control>
          </mc:Choice>
        </mc:AlternateContent>
        <mc:AlternateContent xmlns:mc="http://schemas.openxmlformats.org/markup-compatibility/2006">
          <mc:Choice Requires="x14">
            <control shapeId="12494" r:id="rId2488" name="Button 1230">
              <controlPr defaultSize="0" autoFill="0" autoLine="0" autoPict="0" macro="[0]!Sheet1.deleteRow">
                <anchor moveWithCells="1" sizeWithCells="1">
                  <from>
                    <xdr:col>6</xdr:col>
                    <xdr:colOff>0</xdr:colOff>
                    <xdr:row>4272</xdr:row>
                    <xdr:rowOff>0</xdr:rowOff>
                  </from>
                  <to>
                    <xdr:col>7</xdr:col>
                    <xdr:colOff>0</xdr:colOff>
                    <xdr:row>4272</xdr:row>
                    <xdr:rowOff>161925</xdr:rowOff>
                  </to>
                </anchor>
              </controlPr>
            </control>
          </mc:Choice>
        </mc:AlternateContent>
        <mc:AlternateContent xmlns:mc="http://schemas.openxmlformats.org/markup-compatibility/2006">
          <mc:Choice Requires="x14">
            <control shapeId="12493" r:id="rId2489" name="Button 1229">
              <controlPr defaultSize="0" autoFill="0" autoLine="0" autoPict="0" macro="[0]!Sheet1.deleteRow">
                <anchor moveWithCells="1" sizeWithCells="1">
                  <from>
                    <xdr:col>6</xdr:col>
                    <xdr:colOff>0</xdr:colOff>
                    <xdr:row>4273</xdr:row>
                    <xdr:rowOff>0</xdr:rowOff>
                  </from>
                  <to>
                    <xdr:col>7</xdr:col>
                    <xdr:colOff>0</xdr:colOff>
                    <xdr:row>4273</xdr:row>
                    <xdr:rowOff>161925</xdr:rowOff>
                  </to>
                </anchor>
              </controlPr>
            </control>
          </mc:Choice>
        </mc:AlternateContent>
        <mc:AlternateContent xmlns:mc="http://schemas.openxmlformats.org/markup-compatibility/2006">
          <mc:Choice Requires="x14">
            <control shapeId="12492" r:id="rId2490" name="Button 1228">
              <controlPr defaultSize="0" autoFill="0" autoLine="0" autoPict="0" macro="[0]!Sheet1.deleteRow">
                <anchor moveWithCells="1" sizeWithCells="1">
                  <from>
                    <xdr:col>6</xdr:col>
                    <xdr:colOff>0</xdr:colOff>
                    <xdr:row>4274</xdr:row>
                    <xdr:rowOff>0</xdr:rowOff>
                  </from>
                  <to>
                    <xdr:col>7</xdr:col>
                    <xdr:colOff>0</xdr:colOff>
                    <xdr:row>4274</xdr:row>
                    <xdr:rowOff>161925</xdr:rowOff>
                  </to>
                </anchor>
              </controlPr>
            </control>
          </mc:Choice>
        </mc:AlternateContent>
        <mc:AlternateContent xmlns:mc="http://schemas.openxmlformats.org/markup-compatibility/2006">
          <mc:Choice Requires="x14">
            <control shapeId="12491" r:id="rId2491" name="Button 1227">
              <controlPr defaultSize="0" autoFill="0" autoLine="0" autoPict="0" macro="[0]!Sheet1.deleteRow">
                <anchor moveWithCells="1" sizeWithCells="1">
                  <from>
                    <xdr:col>6</xdr:col>
                    <xdr:colOff>0</xdr:colOff>
                    <xdr:row>4275</xdr:row>
                    <xdr:rowOff>0</xdr:rowOff>
                  </from>
                  <to>
                    <xdr:col>7</xdr:col>
                    <xdr:colOff>0</xdr:colOff>
                    <xdr:row>4275</xdr:row>
                    <xdr:rowOff>161925</xdr:rowOff>
                  </to>
                </anchor>
              </controlPr>
            </control>
          </mc:Choice>
        </mc:AlternateContent>
        <mc:AlternateContent xmlns:mc="http://schemas.openxmlformats.org/markup-compatibility/2006">
          <mc:Choice Requires="x14">
            <control shapeId="12490" r:id="rId2492" name="Button 1226">
              <controlPr defaultSize="0" autoFill="0" autoLine="0" autoPict="0" macro="[0]!Sheet1.deleteRow">
                <anchor moveWithCells="1" sizeWithCells="1">
                  <from>
                    <xdr:col>6</xdr:col>
                    <xdr:colOff>0</xdr:colOff>
                    <xdr:row>4276</xdr:row>
                    <xdr:rowOff>0</xdr:rowOff>
                  </from>
                  <to>
                    <xdr:col>7</xdr:col>
                    <xdr:colOff>0</xdr:colOff>
                    <xdr:row>4276</xdr:row>
                    <xdr:rowOff>161925</xdr:rowOff>
                  </to>
                </anchor>
              </controlPr>
            </control>
          </mc:Choice>
        </mc:AlternateContent>
        <mc:AlternateContent xmlns:mc="http://schemas.openxmlformats.org/markup-compatibility/2006">
          <mc:Choice Requires="x14">
            <control shapeId="12489" r:id="rId2493" name="Button 1225">
              <controlPr defaultSize="0" autoFill="0" autoLine="0" autoPict="0" macro="[0]!Sheet1.deleteRow">
                <anchor moveWithCells="1" sizeWithCells="1">
                  <from>
                    <xdr:col>6</xdr:col>
                    <xdr:colOff>0</xdr:colOff>
                    <xdr:row>4277</xdr:row>
                    <xdr:rowOff>0</xdr:rowOff>
                  </from>
                  <to>
                    <xdr:col>7</xdr:col>
                    <xdr:colOff>0</xdr:colOff>
                    <xdr:row>4277</xdr:row>
                    <xdr:rowOff>161925</xdr:rowOff>
                  </to>
                </anchor>
              </controlPr>
            </control>
          </mc:Choice>
        </mc:AlternateContent>
        <mc:AlternateContent xmlns:mc="http://schemas.openxmlformats.org/markup-compatibility/2006">
          <mc:Choice Requires="x14">
            <control shapeId="12488" r:id="rId2494" name="Button 1224">
              <controlPr defaultSize="0" autoFill="0" autoLine="0" autoPict="0" macro="[0]!Sheet1.deleteRow">
                <anchor moveWithCells="1" sizeWithCells="1">
                  <from>
                    <xdr:col>6</xdr:col>
                    <xdr:colOff>0</xdr:colOff>
                    <xdr:row>4278</xdr:row>
                    <xdr:rowOff>0</xdr:rowOff>
                  </from>
                  <to>
                    <xdr:col>7</xdr:col>
                    <xdr:colOff>0</xdr:colOff>
                    <xdr:row>4278</xdr:row>
                    <xdr:rowOff>161925</xdr:rowOff>
                  </to>
                </anchor>
              </controlPr>
            </control>
          </mc:Choice>
        </mc:AlternateContent>
        <mc:AlternateContent xmlns:mc="http://schemas.openxmlformats.org/markup-compatibility/2006">
          <mc:Choice Requires="x14">
            <control shapeId="12487" r:id="rId2495" name="Button 1223">
              <controlPr defaultSize="0" autoFill="0" autoLine="0" autoPict="0" macro="[0]!Sheet1.deleteRow">
                <anchor moveWithCells="1" sizeWithCells="1">
                  <from>
                    <xdr:col>6</xdr:col>
                    <xdr:colOff>0</xdr:colOff>
                    <xdr:row>4279</xdr:row>
                    <xdr:rowOff>0</xdr:rowOff>
                  </from>
                  <to>
                    <xdr:col>7</xdr:col>
                    <xdr:colOff>0</xdr:colOff>
                    <xdr:row>4279</xdr:row>
                    <xdr:rowOff>161925</xdr:rowOff>
                  </to>
                </anchor>
              </controlPr>
            </control>
          </mc:Choice>
        </mc:AlternateContent>
        <mc:AlternateContent xmlns:mc="http://schemas.openxmlformats.org/markup-compatibility/2006">
          <mc:Choice Requires="x14">
            <control shapeId="12486" r:id="rId2496" name="Button 1222">
              <controlPr defaultSize="0" autoFill="0" autoLine="0" autoPict="0" macro="[0]!Sheet1.deleteRow">
                <anchor moveWithCells="1" sizeWithCells="1">
                  <from>
                    <xdr:col>6</xdr:col>
                    <xdr:colOff>0</xdr:colOff>
                    <xdr:row>4280</xdr:row>
                    <xdr:rowOff>0</xdr:rowOff>
                  </from>
                  <to>
                    <xdr:col>7</xdr:col>
                    <xdr:colOff>0</xdr:colOff>
                    <xdr:row>4280</xdr:row>
                    <xdr:rowOff>161925</xdr:rowOff>
                  </to>
                </anchor>
              </controlPr>
            </control>
          </mc:Choice>
        </mc:AlternateContent>
        <mc:AlternateContent xmlns:mc="http://schemas.openxmlformats.org/markup-compatibility/2006">
          <mc:Choice Requires="x14">
            <control shapeId="12485" r:id="rId2497" name="Button 1221">
              <controlPr defaultSize="0" autoFill="0" autoLine="0" autoPict="0" macro="[0]!Sheet1.deleteRow">
                <anchor moveWithCells="1" sizeWithCells="1">
                  <from>
                    <xdr:col>6</xdr:col>
                    <xdr:colOff>0</xdr:colOff>
                    <xdr:row>4281</xdr:row>
                    <xdr:rowOff>0</xdr:rowOff>
                  </from>
                  <to>
                    <xdr:col>7</xdr:col>
                    <xdr:colOff>0</xdr:colOff>
                    <xdr:row>4281</xdr:row>
                    <xdr:rowOff>161925</xdr:rowOff>
                  </to>
                </anchor>
              </controlPr>
            </control>
          </mc:Choice>
        </mc:AlternateContent>
        <mc:AlternateContent xmlns:mc="http://schemas.openxmlformats.org/markup-compatibility/2006">
          <mc:Choice Requires="x14">
            <control shapeId="12484" r:id="rId2498" name="Button 1220">
              <controlPr defaultSize="0" autoFill="0" autoLine="0" autoPict="0" macro="[0]!Sheet1.deleteRow">
                <anchor moveWithCells="1" sizeWithCells="1">
                  <from>
                    <xdr:col>6</xdr:col>
                    <xdr:colOff>0</xdr:colOff>
                    <xdr:row>4282</xdr:row>
                    <xdr:rowOff>0</xdr:rowOff>
                  </from>
                  <to>
                    <xdr:col>7</xdr:col>
                    <xdr:colOff>0</xdr:colOff>
                    <xdr:row>4282</xdr:row>
                    <xdr:rowOff>161925</xdr:rowOff>
                  </to>
                </anchor>
              </controlPr>
            </control>
          </mc:Choice>
        </mc:AlternateContent>
        <mc:AlternateContent xmlns:mc="http://schemas.openxmlformats.org/markup-compatibility/2006">
          <mc:Choice Requires="x14">
            <control shapeId="12483" r:id="rId2499" name="Button 1219">
              <controlPr defaultSize="0" autoFill="0" autoLine="0" autoPict="0" macro="[0]!Sheet1.deleteRow">
                <anchor moveWithCells="1" sizeWithCells="1">
                  <from>
                    <xdr:col>6</xdr:col>
                    <xdr:colOff>0</xdr:colOff>
                    <xdr:row>4283</xdr:row>
                    <xdr:rowOff>0</xdr:rowOff>
                  </from>
                  <to>
                    <xdr:col>7</xdr:col>
                    <xdr:colOff>0</xdr:colOff>
                    <xdr:row>4283</xdr:row>
                    <xdr:rowOff>161925</xdr:rowOff>
                  </to>
                </anchor>
              </controlPr>
            </control>
          </mc:Choice>
        </mc:AlternateContent>
        <mc:AlternateContent xmlns:mc="http://schemas.openxmlformats.org/markup-compatibility/2006">
          <mc:Choice Requires="x14">
            <control shapeId="12482" r:id="rId2500" name="Button 1218">
              <controlPr defaultSize="0" autoFill="0" autoLine="0" autoPict="0" macro="[0]!Sheet1.deleteRow">
                <anchor moveWithCells="1" sizeWithCells="1">
                  <from>
                    <xdr:col>6</xdr:col>
                    <xdr:colOff>0</xdr:colOff>
                    <xdr:row>4284</xdr:row>
                    <xdr:rowOff>0</xdr:rowOff>
                  </from>
                  <to>
                    <xdr:col>7</xdr:col>
                    <xdr:colOff>0</xdr:colOff>
                    <xdr:row>4284</xdr:row>
                    <xdr:rowOff>161925</xdr:rowOff>
                  </to>
                </anchor>
              </controlPr>
            </control>
          </mc:Choice>
        </mc:AlternateContent>
        <mc:AlternateContent xmlns:mc="http://schemas.openxmlformats.org/markup-compatibility/2006">
          <mc:Choice Requires="x14">
            <control shapeId="12481" r:id="rId2501" name="Button 1217">
              <controlPr defaultSize="0" autoFill="0" autoLine="0" autoPict="0" macro="[0]!Sheet1.deleteRow">
                <anchor moveWithCells="1" sizeWithCells="1">
                  <from>
                    <xdr:col>6</xdr:col>
                    <xdr:colOff>0</xdr:colOff>
                    <xdr:row>4285</xdr:row>
                    <xdr:rowOff>0</xdr:rowOff>
                  </from>
                  <to>
                    <xdr:col>7</xdr:col>
                    <xdr:colOff>0</xdr:colOff>
                    <xdr:row>4285</xdr:row>
                    <xdr:rowOff>161925</xdr:rowOff>
                  </to>
                </anchor>
              </controlPr>
            </control>
          </mc:Choice>
        </mc:AlternateContent>
        <mc:AlternateContent xmlns:mc="http://schemas.openxmlformats.org/markup-compatibility/2006">
          <mc:Choice Requires="x14">
            <control shapeId="12480" r:id="rId2502" name="Button 1216">
              <controlPr defaultSize="0" autoFill="0" autoLine="0" autoPict="0" macro="[0]!Sheet1.deleteRow">
                <anchor moveWithCells="1" sizeWithCells="1">
                  <from>
                    <xdr:col>6</xdr:col>
                    <xdr:colOff>0</xdr:colOff>
                    <xdr:row>4286</xdr:row>
                    <xdr:rowOff>0</xdr:rowOff>
                  </from>
                  <to>
                    <xdr:col>7</xdr:col>
                    <xdr:colOff>0</xdr:colOff>
                    <xdr:row>4286</xdr:row>
                    <xdr:rowOff>161925</xdr:rowOff>
                  </to>
                </anchor>
              </controlPr>
            </control>
          </mc:Choice>
        </mc:AlternateContent>
        <mc:AlternateContent xmlns:mc="http://schemas.openxmlformats.org/markup-compatibility/2006">
          <mc:Choice Requires="x14">
            <control shapeId="12479" r:id="rId2503" name="Button 1215">
              <controlPr defaultSize="0" autoFill="0" autoLine="0" autoPict="0" macro="[0]!Sheet1.deleteRow">
                <anchor moveWithCells="1" sizeWithCells="1">
                  <from>
                    <xdr:col>6</xdr:col>
                    <xdr:colOff>0</xdr:colOff>
                    <xdr:row>4287</xdr:row>
                    <xdr:rowOff>0</xdr:rowOff>
                  </from>
                  <to>
                    <xdr:col>7</xdr:col>
                    <xdr:colOff>0</xdr:colOff>
                    <xdr:row>4287</xdr:row>
                    <xdr:rowOff>161925</xdr:rowOff>
                  </to>
                </anchor>
              </controlPr>
            </control>
          </mc:Choice>
        </mc:AlternateContent>
        <mc:AlternateContent xmlns:mc="http://schemas.openxmlformats.org/markup-compatibility/2006">
          <mc:Choice Requires="x14">
            <control shapeId="12478" r:id="rId2504" name="Button 1214">
              <controlPr defaultSize="0" autoFill="0" autoLine="0" autoPict="0" macro="[0]!Sheet1.deleteRow">
                <anchor moveWithCells="1" sizeWithCells="1">
                  <from>
                    <xdr:col>6</xdr:col>
                    <xdr:colOff>0</xdr:colOff>
                    <xdr:row>4288</xdr:row>
                    <xdr:rowOff>0</xdr:rowOff>
                  </from>
                  <to>
                    <xdr:col>7</xdr:col>
                    <xdr:colOff>0</xdr:colOff>
                    <xdr:row>4288</xdr:row>
                    <xdr:rowOff>161925</xdr:rowOff>
                  </to>
                </anchor>
              </controlPr>
            </control>
          </mc:Choice>
        </mc:AlternateContent>
        <mc:AlternateContent xmlns:mc="http://schemas.openxmlformats.org/markup-compatibility/2006">
          <mc:Choice Requires="x14">
            <control shapeId="12477" r:id="rId2505" name="Button 1213">
              <controlPr defaultSize="0" autoFill="0" autoLine="0" autoPict="0" macro="[0]!Sheet1.deleteRow">
                <anchor moveWithCells="1" sizeWithCells="1">
                  <from>
                    <xdr:col>6</xdr:col>
                    <xdr:colOff>0</xdr:colOff>
                    <xdr:row>4289</xdr:row>
                    <xdr:rowOff>0</xdr:rowOff>
                  </from>
                  <to>
                    <xdr:col>7</xdr:col>
                    <xdr:colOff>0</xdr:colOff>
                    <xdr:row>4289</xdr:row>
                    <xdr:rowOff>161925</xdr:rowOff>
                  </to>
                </anchor>
              </controlPr>
            </control>
          </mc:Choice>
        </mc:AlternateContent>
        <mc:AlternateContent xmlns:mc="http://schemas.openxmlformats.org/markup-compatibility/2006">
          <mc:Choice Requires="x14">
            <control shapeId="12476" r:id="rId2506" name="Button 1212">
              <controlPr defaultSize="0" autoFill="0" autoLine="0" autoPict="0" macro="[0]!Sheet1.deleteRow">
                <anchor moveWithCells="1" sizeWithCells="1">
                  <from>
                    <xdr:col>6</xdr:col>
                    <xdr:colOff>0</xdr:colOff>
                    <xdr:row>4290</xdr:row>
                    <xdr:rowOff>0</xdr:rowOff>
                  </from>
                  <to>
                    <xdr:col>7</xdr:col>
                    <xdr:colOff>0</xdr:colOff>
                    <xdr:row>4290</xdr:row>
                    <xdr:rowOff>161925</xdr:rowOff>
                  </to>
                </anchor>
              </controlPr>
            </control>
          </mc:Choice>
        </mc:AlternateContent>
        <mc:AlternateContent xmlns:mc="http://schemas.openxmlformats.org/markup-compatibility/2006">
          <mc:Choice Requires="x14">
            <control shapeId="12475" r:id="rId2507" name="Button 1211">
              <controlPr defaultSize="0" autoFill="0" autoLine="0" autoPict="0" macro="[0]!Sheet1.deleteRow">
                <anchor moveWithCells="1" sizeWithCells="1">
                  <from>
                    <xdr:col>6</xdr:col>
                    <xdr:colOff>0</xdr:colOff>
                    <xdr:row>4291</xdr:row>
                    <xdr:rowOff>0</xdr:rowOff>
                  </from>
                  <to>
                    <xdr:col>7</xdr:col>
                    <xdr:colOff>0</xdr:colOff>
                    <xdr:row>4291</xdr:row>
                    <xdr:rowOff>161925</xdr:rowOff>
                  </to>
                </anchor>
              </controlPr>
            </control>
          </mc:Choice>
        </mc:AlternateContent>
        <mc:AlternateContent xmlns:mc="http://schemas.openxmlformats.org/markup-compatibility/2006">
          <mc:Choice Requires="x14">
            <control shapeId="12474" r:id="rId2508" name="Button 1210">
              <controlPr defaultSize="0" autoFill="0" autoLine="0" autoPict="0" macro="[0]!Sheet1.deleteRow">
                <anchor moveWithCells="1" sizeWithCells="1">
                  <from>
                    <xdr:col>6</xdr:col>
                    <xdr:colOff>0</xdr:colOff>
                    <xdr:row>4292</xdr:row>
                    <xdr:rowOff>0</xdr:rowOff>
                  </from>
                  <to>
                    <xdr:col>7</xdr:col>
                    <xdr:colOff>0</xdr:colOff>
                    <xdr:row>4292</xdr:row>
                    <xdr:rowOff>161925</xdr:rowOff>
                  </to>
                </anchor>
              </controlPr>
            </control>
          </mc:Choice>
        </mc:AlternateContent>
        <mc:AlternateContent xmlns:mc="http://schemas.openxmlformats.org/markup-compatibility/2006">
          <mc:Choice Requires="x14">
            <control shapeId="12473" r:id="rId2509" name="Button 1209">
              <controlPr defaultSize="0" autoFill="0" autoLine="0" autoPict="0" macro="[0]!Sheet1.deleteRow">
                <anchor moveWithCells="1" sizeWithCells="1">
                  <from>
                    <xdr:col>6</xdr:col>
                    <xdr:colOff>0</xdr:colOff>
                    <xdr:row>4293</xdr:row>
                    <xdr:rowOff>0</xdr:rowOff>
                  </from>
                  <to>
                    <xdr:col>7</xdr:col>
                    <xdr:colOff>0</xdr:colOff>
                    <xdr:row>4293</xdr:row>
                    <xdr:rowOff>161925</xdr:rowOff>
                  </to>
                </anchor>
              </controlPr>
            </control>
          </mc:Choice>
        </mc:AlternateContent>
        <mc:AlternateContent xmlns:mc="http://schemas.openxmlformats.org/markup-compatibility/2006">
          <mc:Choice Requires="x14">
            <control shapeId="12472" r:id="rId2510" name="Button 1208">
              <controlPr defaultSize="0" autoFill="0" autoLine="0" autoPict="0" macro="[0]!Sheet1.deleteRow">
                <anchor moveWithCells="1" sizeWithCells="1">
                  <from>
                    <xdr:col>6</xdr:col>
                    <xdr:colOff>0</xdr:colOff>
                    <xdr:row>4294</xdr:row>
                    <xdr:rowOff>0</xdr:rowOff>
                  </from>
                  <to>
                    <xdr:col>7</xdr:col>
                    <xdr:colOff>0</xdr:colOff>
                    <xdr:row>4294</xdr:row>
                    <xdr:rowOff>161925</xdr:rowOff>
                  </to>
                </anchor>
              </controlPr>
            </control>
          </mc:Choice>
        </mc:AlternateContent>
        <mc:AlternateContent xmlns:mc="http://schemas.openxmlformats.org/markup-compatibility/2006">
          <mc:Choice Requires="x14">
            <control shapeId="12471" r:id="rId2511" name="Button 1207">
              <controlPr defaultSize="0" autoFill="0" autoLine="0" autoPict="0" macro="[0]!Sheet1.deleteRow">
                <anchor moveWithCells="1" sizeWithCells="1">
                  <from>
                    <xdr:col>6</xdr:col>
                    <xdr:colOff>0</xdr:colOff>
                    <xdr:row>4295</xdr:row>
                    <xdr:rowOff>0</xdr:rowOff>
                  </from>
                  <to>
                    <xdr:col>7</xdr:col>
                    <xdr:colOff>0</xdr:colOff>
                    <xdr:row>4295</xdr:row>
                    <xdr:rowOff>161925</xdr:rowOff>
                  </to>
                </anchor>
              </controlPr>
            </control>
          </mc:Choice>
        </mc:AlternateContent>
        <mc:AlternateContent xmlns:mc="http://schemas.openxmlformats.org/markup-compatibility/2006">
          <mc:Choice Requires="x14">
            <control shapeId="12470" r:id="rId2512" name="Button 1206">
              <controlPr defaultSize="0" autoFill="0" autoLine="0" autoPict="0" macro="[0]!Sheet1.deleteRow">
                <anchor moveWithCells="1" sizeWithCells="1">
                  <from>
                    <xdr:col>6</xdr:col>
                    <xdr:colOff>0</xdr:colOff>
                    <xdr:row>4296</xdr:row>
                    <xdr:rowOff>0</xdr:rowOff>
                  </from>
                  <to>
                    <xdr:col>7</xdr:col>
                    <xdr:colOff>0</xdr:colOff>
                    <xdr:row>4296</xdr:row>
                    <xdr:rowOff>161925</xdr:rowOff>
                  </to>
                </anchor>
              </controlPr>
            </control>
          </mc:Choice>
        </mc:AlternateContent>
        <mc:AlternateContent xmlns:mc="http://schemas.openxmlformats.org/markup-compatibility/2006">
          <mc:Choice Requires="x14">
            <control shapeId="12469" r:id="rId2513" name="Button 1205">
              <controlPr defaultSize="0" autoFill="0" autoLine="0" autoPict="0" macro="[0]!Sheet1.deleteRow">
                <anchor moveWithCells="1" sizeWithCells="1">
                  <from>
                    <xdr:col>6</xdr:col>
                    <xdr:colOff>0</xdr:colOff>
                    <xdr:row>4297</xdr:row>
                    <xdr:rowOff>0</xdr:rowOff>
                  </from>
                  <to>
                    <xdr:col>7</xdr:col>
                    <xdr:colOff>0</xdr:colOff>
                    <xdr:row>4297</xdr:row>
                    <xdr:rowOff>161925</xdr:rowOff>
                  </to>
                </anchor>
              </controlPr>
            </control>
          </mc:Choice>
        </mc:AlternateContent>
        <mc:AlternateContent xmlns:mc="http://schemas.openxmlformats.org/markup-compatibility/2006">
          <mc:Choice Requires="x14">
            <control shapeId="12468" r:id="rId2514" name="Button 1204">
              <controlPr defaultSize="0" autoFill="0" autoLine="0" autoPict="0" macro="[0]!Sheet1.deleteRow">
                <anchor moveWithCells="1" sizeWithCells="1">
                  <from>
                    <xdr:col>6</xdr:col>
                    <xdr:colOff>0</xdr:colOff>
                    <xdr:row>4298</xdr:row>
                    <xdr:rowOff>0</xdr:rowOff>
                  </from>
                  <to>
                    <xdr:col>7</xdr:col>
                    <xdr:colOff>0</xdr:colOff>
                    <xdr:row>4298</xdr:row>
                    <xdr:rowOff>161925</xdr:rowOff>
                  </to>
                </anchor>
              </controlPr>
            </control>
          </mc:Choice>
        </mc:AlternateContent>
        <mc:AlternateContent xmlns:mc="http://schemas.openxmlformats.org/markup-compatibility/2006">
          <mc:Choice Requires="x14">
            <control shapeId="12467" r:id="rId2515" name="Button 1203">
              <controlPr defaultSize="0" autoFill="0" autoLine="0" autoPict="0" macro="[0]!Sheet1.deleteRow">
                <anchor moveWithCells="1" sizeWithCells="1">
                  <from>
                    <xdr:col>6</xdr:col>
                    <xdr:colOff>0</xdr:colOff>
                    <xdr:row>4299</xdr:row>
                    <xdr:rowOff>0</xdr:rowOff>
                  </from>
                  <to>
                    <xdr:col>7</xdr:col>
                    <xdr:colOff>0</xdr:colOff>
                    <xdr:row>4299</xdr:row>
                    <xdr:rowOff>161925</xdr:rowOff>
                  </to>
                </anchor>
              </controlPr>
            </control>
          </mc:Choice>
        </mc:AlternateContent>
        <mc:AlternateContent xmlns:mc="http://schemas.openxmlformats.org/markup-compatibility/2006">
          <mc:Choice Requires="x14">
            <control shapeId="12466" r:id="rId2516" name="Button 1202">
              <controlPr defaultSize="0" autoFill="0" autoLine="0" autoPict="0" macro="[0]!Sheet1.deleteRow">
                <anchor moveWithCells="1" sizeWithCells="1">
                  <from>
                    <xdr:col>6</xdr:col>
                    <xdr:colOff>0</xdr:colOff>
                    <xdr:row>4300</xdr:row>
                    <xdr:rowOff>0</xdr:rowOff>
                  </from>
                  <to>
                    <xdr:col>7</xdr:col>
                    <xdr:colOff>0</xdr:colOff>
                    <xdr:row>4300</xdr:row>
                    <xdr:rowOff>161925</xdr:rowOff>
                  </to>
                </anchor>
              </controlPr>
            </control>
          </mc:Choice>
        </mc:AlternateContent>
        <mc:AlternateContent xmlns:mc="http://schemas.openxmlformats.org/markup-compatibility/2006">
          <mc:Choice Requires="x14">
            <control shapeId="12465" r:id="rId2517" name="Button 1201">
              <controlPr defaultSize="0" autoFill="0" autoLine="0" autoPict="0" macro="[0]!Sheet1.deleteRow">
                <anchor moveWithCells="1" sizeWithCells="1">
                  <from>
                    <xdr:col>6</xdr:col>
                    <xdr:colOff>0</xdr:colOff>
                    <xdr:row>4301</xdr:row>
                    <xdr:rowOff>0</xdr:rowOff>
                  </from>
                  <to>
                    <xdr:col>7</xdr:col>
                    <xdr:colOff>0</xdr:colOff>
                    <xdr:row>4301</xdr:row>
                    <xdr:rowOff>161925</xdr:rowOff>
                  </to>
                </anchor>
              </controlPr>
            </control>
          </mc:Choice>
        </mc:AlternateContent>
        <mc:AlternateContent xmlns:mc="http://schemas.openxmlformats.org/markup-compatibility/2006">
          <mc:Choice Requires="x14">
            <control shapeId="12464" r:id="rId2518" name="Button 1200">
              <controlPr defaultSize="0" autoFill="0" autoLine="0" autoPict="0" macro="[0]!Sheet1.deleteRow">
                <anchor moveWithCells="1" sizeWithCells="1">
                  <from>
                    <xdr:col>6</xdr:col>
                    <xdr:colOff>0</xdr:colOff>
                    <xdr:row>4302</xdr:row>
                    <xdr:rowOff>0</xdr:rowOff>
                  </from>
                  <to>
                    <xdr:col>7</xdr:col>
                    <xdr:colOff>0</xdr:colOff>
                    <xdr:row>4302</xdr:row>
                    <xdr:rowOff>161925</xdr:rowOff>
                  </to>
                </anchor>
              </controlPr>
            </control>
          </mc:Choice>
        </mc:AlternateContent>
        <mc:AlternateContent xmlns:mc="http://schemas.openxmlformats.org/markup-compatibility/2006">
          <mc:Choice Requires="x14">
            <control shapeId="12463" r:id="rId2519" name="Button 1199">
              <controlPr defaultSize="0" autoFill="0" autoLine="0" autoPict="0" macro="[0]!Sheet1.deleteRow">
                <anchor moveWithCells="1" sizeWithCells="1">
                  <from>
                    <xdr:col>6</xdr:col>
                    <xdr:colOff>0</xdr:colOff>
                    <xdr:row>4303</xdr:row>
                    <xdr:rowOff>0</xdr:rowOff>
                  </from>
                  <to>
                    <xdr:col>7</xdr:col>
                    <xdr:colOff>0</xdr:colOff>
                    <xdr:row>4303</xdr:row>
                    <xdr:rowOff>161925</xdr:rowOff>
                  </to>
                </anchor>
              </controlPr>
            </control>
          </mc:Choice>
        </mc:AlternateContent>
        <mc:AlternateContent xmlns:mc="http://schemas.openxmlformats.org/markup-compatibility/2006">
          <mc:Choice Requires="x14">
            <control shapeId="12462" r:id="rId2520" name="Button 1198">
              <controlPr defaultSize="0" autoFill="0" autoLine="0" autoPict="0" macro="[0]!Sheet1.deleteRow">
                <anchor moveWithCells="1" sizeWithCells="1">
                  <from>
                    <xdr:col>6</xdr:col>
                    <xdr:colOff>0</xdr:colOff>
                    <xdr:row>4304</xdr:row>
                    <xdr:rowOff>0</xdr:rowOff>
                  </from>
                  <to>
                    <xdr:col>7</xdr:col>
                    <xdr:colOff>0</xdr:colOff>
                    <xdr:row>4304</xdr:row>
                    <xdr:rowOff>161925</xdr:rowOff>
                  </to>
                </anchor>
              </controlPr>
            </control>
          </mc:Choice>
        </mc:AlternateContent>
        <mc:AlternateContent xmlns:mc="http://schemas.openxmlformats.org/markup-compatibility/2006">
          <mc:Choice Requires="x14">
            <control shapeId="12461" r:id="rId2521" name="Button 1197">
              <controlPr defaultSize="0" autoFill="0" autoLine="0" autoPict="0" macro="[0]!Sheet1.deleteRow">
                <anchor moveWithCells="1" sizeWithCells="1">
                  <from>
                    <xdr:col>6</xdr:col>
                    <xdr:colOff>0</xdr:colOff>
                    <xdr:row>4305</xdr:row>
                    <xdr:rowOff>0</xdr:rowOff>
                  </from>
                  <to>
                    <xdr:col>7</xdr:col>
                    <xdr:colOff>0</xdr:colOff>
                    <xdr:row>4305</xdr:row>
                    <xdr:rowOff>161925</xdr:rowOff>
                  </to>
                </anchor>
              </controlPr>
            </control>
          </mc:Choice>
        </mc:AlternateContent>
        <mc:AlternateContent xmlns:mc="http://schemas.openxmlformats.org/markup-compatibility/2006">
          <mc:Choice Requires="x14">
            <control shapeId="12460" r:id="rId2522" name="Button 1196">
              <controlPr defaultSize="0" autoFill="0" autoLine="0" autoPict="0" macro="[0]!Sheet1.deleteRow">
                <anchor moveWithCells="1" sizeWithCells="1">
                  <from>
                    <xdr:col>6</xdr:col>
                    <xdr:colOff>0</xdr:colOff>
                    <xdr:row>4306</xdr:row>
                    <xdr:rowOff>0</xdr:rowOff>
                  </from>
                  <to>
                    <xdr:col>7</xdr:col>
                    <xdr:colOff>0</xdr:colOff>
                    <xdr:row>4306</xdr:row>
                    <xdr:rowOff>161925</xdr:rowOff>
                  </to>
                </anchor>
              </controlPr>
            </control>
          </mc:Choice>
        </mc:AlternateContent>
        <mc:AlternateContent xmlns:mc="http://schemas.openxmlformats.org/markup-compatibility/2006">
          <mc:Choice Requires="x14">
            <control shapeId="12459" r:id="rId2523" name="Button 1195">
              <controlPr defaultSize="0" autoFill="0" autoLine="0" autoPict="0" macro="[0]!Sheet1.deleteRow">
                <anchor moveWithCells="1" sizeWithCells="1">
                  <from>
                    <xdr:col>6</xdr:col>
                    <xdr:colOff>0</xdr:colOff>
                    <xdr:row>4307</xdr:row>
                    <xdr:rowOff>0</xdr:rowOff>
                  </from>
                  <to>
                    <xdr:col>7</xdr:col>
                    <xdr:colOff>0</xdr:colOff>
                    <xdr:row>4307</xdr:row>
                    <xdr:rowOff>161925</xdr:rowOff>
                  </to>
                </anchor>
              </controlPr>
            </control>
          </mc:Choice>
        </mc:AlternateContent>
        <mc:AlternateContent xmlns:mc="http://schemas.openxmlformats.org/markup-compatibility/2006">
          <mc:Choice Requires="x14">
            <control shapeId="12458" r:id="rId2524" name="Button 1194">
              <controlPr defaultSize="0" autoFill="0" autoLine="0" autoPict="0" macro="[0]!Sheet1.deleteRow">
                <anchor moveWithCells="1" sizeWithCells="1">
                  <from>
                    <xdr:col>6</xdr:col>
                    <xdr:colOff>0</xdr:colOff>
                    <xdr:row>4308</xdr:row>
                    <xdr:rowOff>0</xdr:rowOff>
                  </from>
                  <to>
                    <xdr:col>7</xdr:col>
                    <xdr:colOff>0</xdr:colOff>
                    <xdr:row>4308</xdr:row>
                    <xdr:rowOff>161925</xdr:rowOff>
                  </to>
                </anchor>
              </controlPr>
            </control>
          </mc:Choice>
        </mc:AlternateContent>
        <mc:AlternateContent xmlns:mc="http://schemas.openxmlformats.org/markup-compatibility/2006">
          <mc:Choice Requires="x14">
            <control shapeId="12457" r:id="rId2525" name="Button 1193">
              <controlPr defaultSize="0" autoFill="0" autoLine="0" autoPict="0" macro="[0]!Sheet1.deleteRow">
                <anchor moveWithCells="1" sizeWithCells="1">
                  <from>
                    <xdr:col>6</xdr:col>
                    <xdr:colOff>0</xdr:colOff>
                    <xdr:row>4309</xdr:row>
                    <xdr:rowOff>0</xdr:rowOff>
                  </from>
                  <to>
                    <xdr:col>7</xdr:col>
                    <xdr:colOff>0</xdr:colOff>
                    <xdr:row>4309</xdr:row>
                    <xdr:rowOff>161925</xdr:rowOff>
                  </to>
                </anchor>
              </controlPr>
            </control>
          </mc:Choice>
        </mc:AlternateContent>
        <mc:AlternateContent xmlns:mc="http://schemas.openxmlformats.org/markup-compatibility/2006">
          <mc:Choice Requires="x14">
            <control shapeId="12456" r:id="rId2526" name="Button 1192">
              <controlPr defaultSize="0" autoFill="0" autoLine="0" autoPict="0" macro="[0]!Sheet1.deleteRow">
                <anchor moveWithCells="1" sizeWithCells="1">
                  <from>
                    <xdr:col>6</xdr:col>
                    <xdr:colOff>0</xdr:colOff>
                    <xdr:row>4310</xdr:row>
                    <xdr:rowOff>0</xdr:rowOff>
                  </from>
                  <to>
                    <xdr:col>7</xdr:col>
                    <xdr:colOff>0</xdr:colOff>
                    <xdr:row>4310</xdr:row>
                    <xdr:rowOff>161925</xdr:rowOff>
                  </to>
                </anchor>
              </controlPr>
            </control>
          </mc:Choice>
        </mc:AlternateContent>
        <mc:AlternateContent xmlns:mc="http://schemas.openxmlformats.org/markup-compatibility/2006">
          <mc:Choice Requires="x14">
            <control shapeId="12455" r:id="rId2527" name="Button 1191">
              <controlPr defaultSize="0" autoFill="0" autoLine="0" autoPict="0" macro="[0]!Sheet1.deleteRow">
                <anchor moveWithCells="1" sizeWithCells="1">
                  <from>
                    <xdr:col>6</xdr:col>
                    <xdr:colOff>0</xdr:colOff>
                    <xdr:row>4311</xdr:row>
                    <xdr:rowOff>0</xdr:rowOff>
                  </from>
                  <to>
                    <xdr:col>7</xdr:col>
                    <xdr:colOff>0</xdr:colOff>
                    <xdr:row>4311</xdr:row>
                    <xdr:rowOff>161925</xdr:rowOff>
                  </to>
                </anchor>
              </controlPr>
            </control>
          </mc:Choice>
        </mc:AlternateContent>
        <mc:AlternateContent xmlns:mc="http://schemas.openxmlformats.org/markup-compatibility/2006">
          <mc:Choice Requires="x14">
            <control shapeId="12454" r:id="rId2528" name="Button 1190">
              <controlPr defaultSize="0" autoFill="0" autoLine="0" autoPict="0" macro="[0]!Sheet1.deleteRow">
                <anchor moveWithCells="1" sizeWithCells="1">
                  <from>
                    <xdr:col>6</xdr:col>
                    <xdr:colOff>0</xdr:colOff>
                    <xdr:row>4312</xdr:row>
                    <xdr:rowOff>0</xdr:rowOff>
                  </from>
                  <to>
                    <xdr:col>7</xdr:col>
                    <xdr:colOff>0</xdr:colOff>
                    <xdr:row>4312</xdr:row>
                    <xdr:rowOff>161925</xdr:rowOff>
                  </to>
                </anchor>
              </controlPr>
            </control>
          </mc:Choice>
        </mc:AlternateContent>
        <mc:AlternateContent xmlns:mc="http://schemas.openxmlformats.org/markup-compatibility/2006">
          <mc:Choice Requires="x14">
            <control shapeId="12453" r:id="rId2529" name="Button 1189">
              <controlPr defaultSize="0" autoFill="0" autoLine="0" autoPict="0" macro="[0]!Sheet1.deleteRow">
                <anchor moveWithCells="1" sizeWithCells="1">
                  <from>
                    <xdr:col>6</xdr:col>
                    <xdr:colOff>0</xdr:colOff>
                    <xdr:row>4313</xdr:row>
                    <xdr:rowOff>0</xdr:rowOff>
                  </from>
                  <to>
                    <xdr:col>7</xdr:col>
                    <xdr:colOff>0</xdr:colOff>
                    <xdr:row>4313</xdr:row>
                    <xdr:rowOff>161925</xdr:rowOff>
                  </to>
                </anchor>
              </controlPr>
            </control>
          </mc:Choice>
        </mc:AlternateContent>
        <mc:AlternateContent xmlns:mc="http://schemas.openxmlformats.org/markup-compatibility/2006">
          <mc:Choice Requires="x14">
            <control shapeId="12452" r:id="rId2530" name="Button 1188">
              <controlPr defaultSize="0" autoFill="0" autoLine="0" autoPict="0" macro="[0]!Sheet1.deleteProcedure">
                <anchor moveWithCells="1" sizeWithCells="1">
                  <from>
                    <xdr:col>6</xdr:col>
                    <xdr:colOff>0</xdr:colOff>
                    <xdr:row>4316</xdr:row>
                    <xdr:rowOff>0</xdr:rowOff>
                  </from>
                  <to>
                    <xdr:col>7</xdr:col>
                    <xdr:colOff>0</xdr:colOff>
                    <xdr:row>4317</xdr:row>
                    <xdr:rowOff>0</xdr:rowOff>
                  </to>
                </anchor>
              </controlPr>
            </control>
          </mc:Choice>
        </mc:AlternateContent>
        <mc:AlternateContent xmlns:mc="http://schemas.openxmlformats.org/markup-compatibility/2006">
          <mc:Choice Requires="x14">
            <control shapeId="12451" r:id="rId2531" name="Button 1187">
              <controlPr defaultSize="0" autoFill="0" autoLine="0" autoPict="0" macro="[0]!Sheet1.InsertNewTableRow">
                <anchor moveWithCells="1" sizeWithCells="1">
                  <from>
                    <xdr:col>6</xdr:col>
                    <xdr:colOff>0</xdr:colOff>
                    <xdr:row>4323</xdr:row>
                    <xdr:rowOff>0</xdr:rowOff>
                  </from>
                  <to>
                    <xdr:col>7</xdr:col>
                    <xdr:colOff>0</xdr:colOff>
                    <xdr:row>4323</xdr:row>
                    <xdr:rowOff>38100</xdr:rowOff>
                  </to>
                </anchor>
              </controlPr>
            </control>
          </mc:Choice>
        </mc:AlternateContent>
        <mc:AlternateContent xmlns:mc="http://schemas.openxmlformats.org/markup-compatibility/2006">
          <mc:Choice Requires="x14">
            <control shapeId="12450" r:id="rId2532" name="Button 1186">
              <controlPr defaultSize="0" autoFill="0" autoLine="0" autoPict="0" macro="[0]!Sheet1.deleteRow">
                <anchor moveWithCells="1" sizeWithCells="1">
                  <from>
                    <xdr:col>6</xdr:col>
                    <xdr:colOff>0</xdr:colOff>
                    <xdr:row>4324</xdr:row>
                    <xdr:rowOff>0</xdr:rowOff>
                  </from>
                  <to>
                    <xdr:col>7</xdr:col>
                    <xdr:colOff>0</xdr:colOff>
                    <xdr:row>4324</xdr:row>
                    <xdr:rowOff>161925</xdr:rowOff>
                  </to>
                </anchor>
              </controlPr>
            </control>
          </mc:Choice>
        </mc:AlternateContent>
        <mc:AlternateContent xmlns:mc="http://schemas.openxmlformats.org/markup-compatibility/2006">
          <mc:Choice Requires="x14">
            <control shapeId="12449" r:id="rId2533" name="Button 1185">
              <controlPr defaultSize="0" autoFill="0" autoLine="0" autoPict="0" macro="[0]!Sheet1.deleteRow">
                <anchor moveWithCells="1" sizeWithCells="1">
                  <from>
                    <xdr:col>6</xdr:col>
                    <xdr:colOff>0</xdr:colOff>
                    <xdr:row>4325</xdr:row>
                    <xdr:rowOff>0</xdr:rowOff>
                  </from>
                  <to>
                    <xdr:col>7</xdr:col>
                    <xdr:colOff>0</xdr:colOff>
                    <xdr:row>4325</xdr:row>
                    <xdr:rowOff>161925</xdr:rowOff>
                  </to>
                </anchor>
              </controlPr>
            </control>
          </mc:Choice>
        </mc:AlternateContent>
        <mc:AlternateContent xmlns:mc="http://schemas.openxmlformats.org/markup-compatibility/2006">
          <mc:Choice Requires="x14">
            <control shapeId="12448" r:id="rId2534" name="Button 1184">
              <controlPr defaultSize="0" autoFill="0" autoLine="0" autoPict="0" macro="[0]!Sheet1.deleteRow">
                <anchor moveWithCells="1" sizeWithCells="1">
                  <from>
                    <xdr:col>6</xdr:col>
                    <xdr:colOff>0</xdr:colOff>
                    <xdr:row>4326</xdr:row>
                    <xdr:rowOff>0</xdr:rowOff>
                  </from>
                  <to>
                    <xdr:col>7</xdr:col>
                    <xdr:colOff>0</xdr:colOff>
                    <xdr:row>4326</xdr:row>
                    <xdr:rowOff>161925</xdr:rowOff>
                  </to>
                </anchor>
              </controlPr>
            </control>
          </mc:Choice>
        </mc:AlternateContent>
        <mc:AlternateContent xmlns:mc="http://schemas.openxmlformats.org/markup-compatibility/2006">
          <mc:Choice Requires="x14">
            <control shapeId="12447" r:id="rId2535" name="Button 1183">
              <controlPr defaultSize="0" autoFill="0" autoLine="0" autoPict="0" macro="[0]!Sheet1.deleteRow">
                <anchor moveWithCells="1" sizeWithCells="1">
                  <from>
                    <xdr:col>6</xdr:col>
                    <xdr:colOff>0</xdr:colOff>
                    <xdr:row>4327</xdr:row>
                    <xdr:rowOff>0</xdr:rowOff>
                  </from>
                  <to>
                    <xdr:col>7</xdr:col>
                    <xdr:colOff>0</xdr:colOff>
                    <xdr:row>4327</xdr:row>
                    <xdr:rowOff>161925</xdr:rowOff>
                  </to>
                </anchor>
              </controlPr>
            </control>
          </mc:Choice>
        </mc:AlternateContent>
        <mc:AlternateContent xmlns:mc="http://schemas.openxmlformats.org/markup-compatibility/2006">
          <mc:Choice Requires="x14">
            <control shapeId="12446" r:id="rId2536" name="Button 1182">
              <controlPr defaultSize="0" autoFill="0" autoLine="0" autoPict="0" macro="[0]!Sheet1.deleteRow">
                <anchor moveWithCells="1" sizeWithCells="1">
                  <from>
                    <xdr:col>6</xdr:col>
                    <xdr:colOff>0</xdr:colOff>
                    <xdr:row>4328</xdr:row>
                    <xdr:rowOff>0</xdr:rowOff>
                  </from>
                  <to>
                    <xdr:col>7</xdr:col>
                    <xdr:colOff>0</xdr:colOff>
                    <xdr:row>4328</xdr:row>
                    <xdr:rowOff>161925</xdr:rowOff>
                  </to>
                </anchor>
              </controlPr>
            </control>
          </mc:Choice>
        </mc:AlternateContent>
        <mc:AlternateContent xmlns:mc="http://schemas.openxmlformats.org/markup-compatibility/2006">
          <mc:Choice Requires="x14">
            <control shapeId="12445" r:id="rId2537" name="Button 1181">
              <controlPr defaultSize="0" autoFill="0" autoLine="0" autoPict="0" macro="[0]!Sheet1.deleteRow">
                <anchor moveWithCells="1" sizeWithCells="1">
                  <from>
                    <xdr:col>6</xdr:col>
                    <xdr:colOff>0</xdr:colOff>
                    <xdr:row>4329</xdr:row>
                    <xdr:rowOff>0</xdr:rowOff>
                  </from>
                  <to>
                    <xdr:col>7</xdr:col>
                    <xdr:colOff>0</xdr:colOff>
                    <xdr:row>4329</xdr:row>
                    <xdr:rowOff>161925</xdr:rowOff>
                  </to>
                </anchor>
              </controlPr>
            </control>
          </mc:Choice>
        </mc:AlternateContent>
        <mc:AlternateContent xmlns:mc="http://schemas.openxmlformats.org/markup-compatibility/2006">
          <mc:Choice Requires="x14">
            <control shapeId="12444" r:id="rId2538" name="Button 1180">
              <controlPr defaultSize="0" autoFill="0" autoLine="0" autoPict="0" macro="[0]!Sheet1.deleteRow">
                <anchor moveWithCells="1" sizeWithCells="1">
                  <from>
                    <xdr:col>6</xdr:col>
                    <xdr:colOff>0</xdr:colOff>
                    <xdr:row>4330</xdr:row>
                    <xdr:rowOff>0</xdr:rowOff>
                  </from>
                  <to>
                    <xdr:col>7</xdr:col>
                    <xdr:colOff>0</xdr:colOff>
                    <xdr:row>4330</xdr:row>
                    <xdr:rowOff>161925</xdr:rowOff>
                  </to>
                </anchor>
              </controlPr>
            </control>
          </mc:Choice>
        </mc:AlternateContent>
        <mc:AlternateContent xmlns:mc="http://schemas.openxmlformats.org/markup-compatibility/2006">
          <mc:Choice Requires="x14">
            <control shapeId="12443" r:id="rId2539" name="Button 1179">
              <controlPr defaultSize="0" autoFill="0" autoLine="0" autoPict="0" macro="[0]!Sheet1.deleteRow">
                <anchor moveWithCells="1" sizeWithCells="1">
                  <from>
                    <xdr:col>6</xdr:col>
                    <xdr:colOff>0</xdr:colOff>
                    <xdr:row>4331</xdr:row>
                    <xdr:rowOff>0</xdr:rowOff>
                  </from>
                  <to>
                    <xdr:col>7</xdr:col>
                    <xdr:colOff>0</xdr:colOff>
                    <xdr:row>4331</xdr:row>
                    <xdr:rowOff>161925</xdr:rowOff>
                  </to>
                </anchor>
              </controlPr>
            </control>
          </mc:Choice>
        </mc:AlternateContent>
        <mc:AlternateContent xmlns:mc="http://schemas.openxmlformats.org/markup-compatibility/2006">
          <mc:Choice Requires="x14">
            <control shapeId="12442" r:id="rId2540" name="Button 1178">
              <controlPr defaultSize="0" autoFill="0" autoLine="0" autoPict="0" macro="[0]!Sheet1.deleteRow">
                <anchor moveWithCells="1" sizeWithCells="1">
                  <from>
                    <xdr:col>6</xdr:col>
                    <xdr:colOff>0</xdr:colOff>
                    <xdr:row>4332</xdr:row>
                    <xdr:rowOff>0</xdr:rowOff>
                  </from>
                  <to>
                    <xdr:col>7</xdr:col>
                    <xdr:colOff>0</xdr:colOff>
                    <xdr:row>4332</xdr:row>
                    <xdr:rowOff>161925</xdr:rowOff>
                  </to>
                </anchor>
              </controlPr>
            </control>
          </mc:Choice>
        </mc:AlternateContent>
        <mc:AlternateContent xmlns:mc="http://schemas.openxmlformats.org/markup-compatibility/2006">
          <mc:Choice Requires="x14">
            <control shapeId="12441" r:id="rId2541" name="Button 1177">
              <controlPr defaultSize="0" autoFill="0" autoLine="0" autoPict="0" macro="[0]!Sheet1.deleteRow">
                <anchor moveWithCells="1" sizeWithCells="1">
                  <from>
                    <xdr:col>6</xdr:col>
                    <xdr:colOff>0</xdr:colOff>
                    <xdr:row>4333</xdr:row>
                    <xdr:rowOff>0</xdr:rowOff>
                  </from>
                  <to>
                    <xdr:col>7</xdr:col>
                    <xdr:colOff>0</xdr:colOff>
                    <xdr:row>4333</xdr:row>
                    <xdr:rowOff>161925</xdr:rowOff>
                  </to>
                </anchor>
              </controlPr>
            </control>
          </mc:Choice>
        </mc:AlternateContent>
        <mc:AlternateContent xmlns:mc="http://schemas.openxmlformats.org/markup-compatibility/2006">
          <mc:Choice Requires="x14">
            <control shapeId="12440" r:id="rId2542" name="Button 1176">
              <controlPr defaultSize="0" autoFill="0" autoLine="0" autoPict="0" macro="[0]!Sheet1.deleteRow">
                <anchor moveWithCells="1" sizeWithCells="1">
                  <from>
                    <xdr:col>6</xdr:col>
                    <xdr:colOff>0</xdr:colOff>
                    <xdr:row>4334</xdr:row>
                    <xdr:rowOff>0</xdr:rowOff>
                  </from>
                  <to>
                    <xdr:col>7</xdr:col>
                    <xdr:colOff>0</xdr:colOff>
                    <xdr:row>4334</xdr:row>
                    <xdr:rowOff>161925</xdr:rowOff>
                  </to>
                </anchor>
              </controlPr>
            </control>
          </mc:Choice>
        </mc:AlternateContent>
        <mc:AlternateContent xmlns:mc="http://schemas.openxmlformats.org/markup-compatibility/2006">
          <mc:Choice Requires="x14">
            <control shapeId="12439" r:id="rId2543" name="Button 1175">
              <controlPr defaultSize="0" autoFill="0" autoLine="0" autoPict="0" macro="[0]!Sheet1.deleteRow">
                <anchor moveWithCells="1" sizeWithCells="1">
                  <from>
                    <xdr:col>6</xdr:col>
                    <xdr:colOff>0</xdr:colOff>
                    <xdr:row>4335</xdr:row>
                    <xdr:rowOff>0</xdr:rowOff>
                  </from>
                  <to>
                    <xdr:col>7</xdr:col>
                    <xdr:colOff>0</xdr:colOff>
                    <xdr:row>4335</xdr:row>
                    <xdr:rowOff>161925</xdr:rowOff>
                  </to>
                </anchor>
              </controlPr>
            </control>
          </mc:Choice>
        </mc:AlternateContent>
        <mc:AlternateContent xmlns:mc="http://schemas.openxmlformats.org/markup-compatibility/2006">
          <mc:Choice Requires="x14">
            <control shapeId="12438" r:id="rId2544" name="Button 1174">
              <controlPr defaultSize="0" autoFill="0" autoLine="0" autoPict="0" macro="[0]!Sheet1.deleteRow">
                <anchor moveWithCells="1" sizeWithCells="1">
                  <from>
                    <xdr:col>6</xdr:col>
                    <xdr:colOff>0</xdr:colOff>
                    <xdr:row>4336</xdr:row>
                    <xdr:rowOff>0</xdr:rowOff>
                  </from>
                  <to>
                    <xdr:col>7</xdr:col>
                    <xdr:colOff>0</xdr:colOff>
                    <xdr:row>4336</xdr:row>
                    <xdr:rowOff>161925</xdr:rowOff>
                  </to>
                </anchor>
              </controlPr>
            </control>
          </mc:Choice>
        </mc:AlternateContent>
        <mc:AlternateContent xmlns:mc="http://schemas.openxmlformats.org/markup-compatibility/2006">
          <mc:Choice Requires="x14">
            <control shapeId="12437" r:id="rId2545" name="Button 1173">
              <controlPr defaultSize="0" autoFill="0" autoLine="0" autoPict="0" macro="[0]!Sheet1.deleteRow">
                <anchor moveWithCells="1" sizeWithCells="1">
                  <from>
                    <xdr:col>6</xdr:col>
                    <xdr:colOff>0</xdr:colOff>
                    <xdr:row>4337</xdr:row>
                    <xdr:rowOff>0</xdr:rowOff>
                  </from>
                  <to>
                    <xdr:col>7</xdr:col>
                    <xdr:colOff>0</xdr:colOff>
                    <xdr:row>4337</xdr:row>
                    <xdr:rowOff>161925</xdr:rowOff>
                  </to>
                </anchor>
              </controlPr>
            </control>
          </mc:Choice>
        </mc:AlternateContent>
        <mc:AlternateContent xmlns:mc="http://schemas.openxmlformats.org/markup-compatibility/2006">
          <mc:Choice Requires="x14">
            <control shapeId="12436" r:id="rId2546" name="Button 1172">
              <controlPr defaultSize="0" autoFill="0" autoLine="0" autoPict="0" macro="[0]!Sheet1.deleteRow">
                <anchor moveWithCells="1" sizeWithCells="1">
                  <from>
                    <xdr:col>6</xdr:col>
                    <xdr:colOff>0</xdr:colOff>
                    <xdr:row>4338</xdr:row>
                    <xdr:rowOff>0</xdr:rowOff>
                  </from>
                  <to>
                    <xdr:col>7</xdr:col>
                    <xdr:colOff>0</xdr:colOff>
                    <xdr:row>4338</xdr:row>
                    <xdr:rowOff>161925</xdr:rowOff>
                  </to>
                </anchor>
              </controlPr>
            </control>
          </mc:Choice>
        </mc:AlternateContent>
        <mc:AlternateContent xmlns:mc="http://schemas.openxmlformats.org/markup-compatibility/2006">
          <mc:Choice Requires="x14">
            <control shapeId="12435" r:id="rId2547" name="Button 1171">
              <controlPr defaultSize="0" autoFill="0" autoLine="0" autoPict="0" macro="[0]!Sheet1.deleteRow">
                <anchor moveWithCells="1" sizeWithCells="1">
                  <from>
                    <xdr:col>6</xdr:col>
                    <xdr:colOff>0</xdr:colOff>
                    <xdr:row>4339</xdr:row>
                    <xdr:rowOff>0</xdr:rowOff>
                  </from>
                  <to>
                    <xdr:col>7</xdr:col>
                    <xdr:colOff>0</xdr:colOff>
                    <xdr:row>4339</xdr:row>
                    <xdr:rowOff>161925</xdr:rowOff>
                  </to>
                </anchor>
              </controlPr>
            </control>
          </mc:Choice>
        </mc:AlternateContent>
        <mc:AlternateContent xmlns:mc="http://schemas.openxmlformats.org/markup-compatibility/2006">
          <mc:Choice Requires="x14">
            <control shapeId="12434" r:id="rId2548" name="Button 1170">
              <controlPr defaultSize="0" autoFill="0" autoLine="0" autoPict="0" macro="[0]!Sheet1.deleteRow">
                <anchor moveWithCells="1" sizeWithCells="1">
                  <from>
                    <xdr:col>6</xdr:col>
                    <xdr:colOff>0</xdr:colOff>
                    <xdr:row>4340</xdr:row>
                    <xdr:rowOff>0</xdr:rowOff>
                  </from>
                  <to>
                    <xdr:col>7</xdr:col>
                    <xdr:colOff>0</xdr:colOff>
                    <xdr:row>4340</xdr:row>
                    <xdr:rowOff>161925</xdr:rowOff>
                  </to>
                </anchor>
              </controlPr>
            </control>
          </mc:Choice>
        </mc:AlternateContent>
        <mc:AlternateContent xmlns:mc="http://schemas.openxmlformats.org/markup-compatibility/2006">
          <mc:Choice Requires="x14">
            <control shapeId="12433" r:id="rId2549" name="Button 1169">
              <controlPr defaultSize="0" autoFill="0" autoLine="0" autoPict="0" macro="[0]!Sheet1.deleteRow">
                <anchor moveWithCells="1" sizeWithCells="1">
                  <from>
                    <xdr:col>6</xdr:col>
                    <xdr:colOff>0</xdr:colOff>
                    <xdr:row>4341</xdr:row>
                    <xdr:rowOff>0</xdr:rowOff>
                  </from>
                  <to>
                    <xdr:col>7</xdr:col>
                    <xdr:colOff>0</xdr:colOff>
                    <xdr:row>4341</xdr:row>
                    <xdr:rowOff>161925</xdr:rowOff>
                  </to>
                </anchor>
              </controlPr>
            </control>
          </mc:Choice>
        </mc:AlternateContent>
        <mc:AlternateContent xmlns:mc="http://schemas.openxmlformats.org/markup-compatibility/2006">
          <mc:Choice Requires="x14">
            <control shapeId="12432" r:id="rId2550" name="Button 1168">
              <controlPr defaultSize="0" autoFill="0" autoLine="0" autoPict="0" macro="[0]!Sheet1.deleteRow">
                <anchor moveWithCells="1" sizeWithCells="1">
                  <from>
                    <xdr:col>6</xdr:col>
                    <xdr:colOff>0</xdr:colOff>
                    <xdr:row>4342</xdr:row>
                    <xdr:rowOff>0</xdr:rowOff>
                  </from>
                  <to>
                    <xdr:col>7</xdr:col>
                    <xdr:colOff>0</xdr:colOff>
                    <xdr:row>4342</xdr:row>
                    <xdr:rowOff>161925</xdr:rowOff>
                  </to>
                </anchor>
              </controlPr>
            </control>
          </mc:Choice>
        </mc:AlternateContent>
        <mc:AlternateContent xmlns:mc="http://schemas.openxmlformats.org/markup-compatibility/2006">
          <mc:Choice Requires="x14">
            <control shapeId="12431" r:id="rId2551" name="Button 1167">
              <controlPr defaultSize="0" autoFill="0" autoLine="0" autoPict="0" macro="[0]!Sheet1.deleteRow">
                <anchor moveWithCells="1" sizeWithCells="1">
                  <from>
                    <xdr:col>6</xdr:col>
                    <xdr:colOff>0</xdr:colOff>
                    <xdr:row>4343</xdr:row>
                    <xdr:rowOff>0</xdr:rowOff>
                  </from>
                  <to>
                    <xdr:col>7</xdr:col>
                    <xdr:colOff>0</xdr:colOff>
                    <xdr:row>4343</xdr:row>
                    <xdr:rowOff>161925</xdr:rowOff>
                  </to>
                </anchor>
              </controlPr>
            </control>
          </mc:Choice>
        </mc:AlternateContent>
        <mc:AlternateContent xmlns:mc="http://schemas.openxmlformats.org/markup-compatibility/2006">
          <mc:Choice Requires="x14">
            <control shapeId="12430" r:id="rId2552" name="Button 1166">
              <controlPr defaultSize="0" autoFill="0" autoLine="0" autoPict="0" macro="[0]!Sheet1.deleteRow">
                <anchor moveWithCells="1" sizeWithCells="1">
                  <from>
                    <xdr:col>6</xdr:col>
                    <xdr:colOff>0</xdr:colOff>
                    <xdr:row>4344</xdr:row>
                    <xdr:rowOff>0</xdr:rowOff>
                  </from>
                  <to>
                    <xdr:col>7</xdr:col>
                    <xdr:colOff>0</xdr:colOff>
                    <xdr:row>4344</xdr:row>
                    <xdr:rowOff>161925</xdr:rowOff>
                  </to>
                </anchor>
              </controlPr>
            </control>
          </mc:Choice>
        </mc:AlternateContent>
        <mc:AlternateContent xmlns:mc="http://schemas.openxmlformats.org/markup-compatibility/2006">
          <mc:Choice Requires="x14">
            <control shapeId="12429" r:id="rId2553" name="Button 1165">
              <controlPr defaultSize="0" autoFill="0" autoLine="0" autoPict="0" macro="[0]!Sheet1.deleteRow">
                <anchor moveWithCells="1" sizeWithCells="1">
                  <from>
                    <xdr:col>6</xdr:col>
                    <xdr:colOff>0</xdr:colOff>
                    <xdr:row>4345</xdr:row>
                    <xdr:rowOff>0</xdr:rowOff>
                  </from>
                  <to>
                    <xdr:col>7</xdr:col>
                    <xdr:colOff>0</xdr:colOff>
                    <xdr:row>4345</xdr:row>
                    <xdr:rowOff>161925</xdr:rowOff>
                  </to>
                </anchor>
              </controlPr>
            </control>
          </mc:Choice>
        </mc:AlternateContent>
        <mc:AlternateContent xmlns:mc="http://schemas.openxmlformats.org/markup-compatibility/2006">
          <mc:Choice Requires="x14">
            <control shapeId="12428" r:id="rId2554" name="Button 1164">
              <controlPr defaultSize="0" autoFill="0" autoLine="0" autoPict="0" macro="[0]!Sheet1.deleteRow">
                <anchor moveWithCells="1" sizeWithCells="1">
                  <from>
                    <xdr:col>6</xdr:col>
                    <xdr:colOff>0</xdr:colOff>
                    <xdr:row>4346</xdr:row>
                    <xdr:rowOff>0</xdr:rowOff>
                  </from>
                  <to>
                    <xdr:col>7</xdr:col>
                    <xdr:colOff>0</xdr:colOff>
                    <xdr:row>4346</xdr:row>
                    <xdr:rowOff>161925</xdr:rowOff>
                  </to>
                </anchor>
              </controlPr>
            </control>
          </mc:Choice>
        </mc:AlternateContent>
        <mc:AlternateContent xmlns:mc="http://schemas.openxmlformats.org/markup-compatibility/2006">
          <mc:Choice Requires="x14">
            <control shapeId="12427" r:id="rId2555" name="Button 1163">
              <controlPr defaultSize="0" autoFill="0" autoLine="0" autoPict="0" macro="[0]!Sheet1.deleteRow">
                <anchor moveWithCells="1" sizeWithCells="1">
                  <from>
                    <xdr:col>6</xdr:col>
                    <xdr:colOff>0</xdr:colOff>
                    <xdr:row>4347</xdr:row>
                    <xdr:rowOff>0</xdr:rowOff>
                  </from>
                  <to>
                    <xdr:col>7</xdr:col>
                    <xdr:colOff>0</xdr:colOff>
                    <xdr:row>4347</xdr:row>
                    <xdr:rowOff>161925</xdr:rowOff>
                  </to>
                </anchor>
              </controlPr>
            </control>
          </mc:Choice>
        </mc:AlternateContent>
        <mc:AlternateContent xmlns:mc="http://schemas.openxmlformats.org/markup-compatibility/2006">
          <mc:Choice Requires="x14">
            <control shapeId="12426" r:id="rId2556" name="Button 1162">
              <controlPr defaultSize="0" autoFill="0" autoLine="0" autoPict="0" macro="[0]!Sheet1.deleteRow">
                <anchor moveWithCells="1" sizeWithCells="1">
                  <from>
                    <xdr:col>6</xdr:col>
                    <xdr:colOff>0</xdr:colOff>
                    <xdr:row>4348</xdr:row>
                    <xdr:rowOff>0</xdr:rowOff>
                  </from>
                  <to>
                    <xdr:col>7</xdr:col>
                    <xdr:colOff>0</xdr:colOff>
                    <xdr:row>4348</xdr:row>
                    <xdr:rowOff>161925</xdr:rowOff>
                  </to>
                </anchor>
              </controlPr>
            </control>
          </mc:Choice>
        </mc:AlternateContent>
        <mc:AlternateContent xmlns:mc="http://schemas.openxmlformats.org/markup-compatibility/2006">
          <mc:Choice Requires="x14">
            <control shapeId="12425" r:id="rId2557" name="Button 1161">
              <controlPr defaultSize="0" autoFill="0" autoLine="0" autoPict="0" macro="[0]!Sheet1.deleteRow">
                <anchor moveWithCells="1" sizeWithCells="1">
                  <from>
                    <xdr:col>6</xdr:col>
                    <xdr:colOff>0</xdr:colOff>
                    <xdr:row>4349</xdr:row>
                    <xdr:rowOff>0</xdr:rowOff>
                  </from>
                  <to>
                    <xdr:col>7</xdr:col>
                    <xdr:colOff>0</xdr:colOff>
                    <xdr:row>4349</xdr:row>
                    <xdr:rowOff>161925</xdr:rowOff>
                  </to>
                </anchor>
              </controlPr>
            </control>
          </mc:Choice>
        </mc:AlternateContent>
        <mc:AlternateContent xmlns:mc="http://schemas.openxmlformats.org/markup-compatibility/2006">
          <mc:Choice Requires="x14">
            <control shapeId="12424" r:id="rId2558" name="Button 1160">
              <controlPr defaultSize="0" autoFill="0" autoLine="0" autoPict="0" macro="[0]!Sheet1.deleteRow">
                <anchor moveWithCells="1" sizeWithCells="1">
                  <from>
                    <xdr:col>6</xdr:col>
                    <xdr:colOff>0</xdr:colOff>
                    <xdr:row>4350</xdr:row>
                    <xdr:rowOff>0</xdr:rowOff>
                  </from>
                  <to>
                    <xdr:col>7</xdr:col>
                    <xdr:colOff>0</xdr:colOff>
                    <xdr:row>4350</xdr:row>
                    <xdr:rowOff>161925</xdr:rowOff>
                  </to>
                </anchor>
              </controlPr>
            </control>
          </mc:Choice>
        </mc:AlternateContent>
        <mc:AlternateContent xmlns:mc="http://schemas.openxmlformats.org/markup-compatibility/2006">
          <mc:Choice Requires="x14">
            <control shapeId="12423" r:id="rId2559" name="Button 1159">
              <controlPr defaultSize="0" autoFill="0" autoLine="0" autoPict="0" macro="[0]!Sheet1.deleteRow">
                <anchor moveWithCells="1" sizeWithCells="1">
                  <from>
                    <xdr:col>6</xdr:col>
                    <xdr:colOff>0</xdr:colOff>
                    <xdr:row>4351</xdr:row>
                    <xdr:rowOff>0</xdr:rowOff>
                  </from>
                  <to>
                    <xdr:col>7</xdr:col>
                    <xdr:colOff>0</xdr:colOff>
                    <xdr:row>4351</xdr:row>
                    <xdr:rowOff>161925</xdr:rowOff>
                  </to>
                </anchor>
              </controlPr>
            </control>
          </mc:Choice>
        </mc:AlternateContent>
        <mc:AlternateContent xmlns:mc="http://schemas.openxmlformats.org/markup-compatibility/2006">
          <mc:Choice Requires="x14">
            <control shapeId="12422" r:id="rId2560" name="Button 1158">
              <controlPr defaultSize="0" autoFill="0" autoLine="0" autoPict="0" macro="[0]!Sheet1.deleteRow">
                <anchor moveWithCells="1" sizeWithCells="1">
                  <from>
                    <xdr:col>6</xdr:col>
                    <xdr:colOff>0</xdr:colOff>
                    <xdr:row>4352</xdr:row>
                    <xdr:rowOff>0</xdr:rowOff>
                  </from>
                  <to>
                    <xdr:col>7</xdr:col>
                    <xdr:colOff>0</xdr:colOff>
                    <xdr:row>4352</xdr:row>
                    <xdr:rowOff>161925</xdr:rowOff>
                  </to>
                </anchor>
              </controlPr>
            </control>
          </mc:Choice>
        </mc:AlternateContent>
        <mc:AlternateContent xmlns:mc="http://schemas.openxmlformats.org/markup-compatibility/2006">
          <mc:Choice Requires="x14">
            <control shapeId="12421" r:id="rId2561" name="Button 1157">
              <controlPr defaultSize="0" autoFill="0" autoLine="0" autoPict="0" macro="[0]!Sheet1.deleteRow">
                <anchor moveWithCells="1" sizeWithCells="1">
                  <from>
                    <xdr:col>6</xdr:col>
                    <xdr:colOff>0</xdr:colOff>
                    <xdr:row>4353</xdr:row>
                    <xdr:rowOff>0</xdr:rowOff>
                  </from>
                  <to>
                    <xdr:col>7</xdr:col>
                    <xdr:colOff>0</xdr:colOff>
                    <xdr:row>4353</xdr:row>
                    <xdr:rowOff>161925</xdr:rowOff>
                  </to>
                </anchor>
              </controlPr>
            </control>
          </mc:Choice>
        </mc:AlternateContent>
        <mc:AlternateContent xmlns:mc="http://schemas.openxmlformats.org/markup-compatibility/2006">
          <mc:Choice Requires="x14">
            <control shapeId="12420" r:id="rId2562" name="Button 1156">
              <controlPr defaultSize="0" autoFill="0" autoLine="0" autoPict="0" macro="[0]!Sheet1.deleteRow">
                <anchor moveWithCells="1" sizeWithCells="1">
                  <from>
                    <xdr:col>6</xdr:col>
                    <xdr:colOff>0</xdr:colOff>
                    <xdr:row>4354</xdr:row>
                    <xdr:rowOff>0</xdr:rowOff>
                  </from>
                  <to>
                    <xdr:col>7</xdr:col>
                    <xdr:colOff>0</xdr:colOff>
                    <xdr:row>4354</xdr:row>
                    <xdr:rowOff>161925</xdr:rowOff>
                  </to>
                </anchor>
              </controlPr>
            </control>
          </mc:Choice>
        </mc:AlternateContent>
        <mc:AlternateContent xmlns:mc="http://schemas.openxmlformats.org/markup-compatibility/2006">
          <mc:Choice Requires="x14">
            <control shapeId="12419" r:id="rId2563" name="Button 1155">
              <controlPr defaultSize="0" autoFill="0" autoLine="0" autoPict="0" macro="[0]!Sheet1.deleteRow">
                <anchor moveWithCells="1" sizeWithCells="1">
                  <from>
                    <xdr:col>6</xdr:col>
                    <xdr:colOff>0</xdr:colOff>
                    <xdr:row>4355</xdr:row>
                    <xdr:rowOff>0</xdr:rowOff>
                  </from>
                  <to>
                    <xdr:col>7</xdr:col>
                    <xdr:colOff>0</xdr:colOff>
                    <xdr:row>4355</xdr:row>
                    <xdr:rowOff>161925</xdr:rowOff>
                  </to>
                </anchor>
              </controlPr>
            </control>
          </mc:Choice>
        </mc:AlternateContent>
        <mc:AlternateContent xmlns:mc="http://schemas.openxmlformats.org/markup-compatibility/2006">
          <mc:Choice Requires="x14">
            <control shapeId="12418" r:id="rId2564" name="Button 1154">
              <controlPr defaultSize="0" autoFill="0" autoLine="0" autoPict="0" macro="[0]!Sheet1.deleteRow">
                <anchor moveWithCells="1" sizeWithCells="1">
                  <from>
                    <xdr:col>6</xdr:col>
                    <xdr:colOff>0</xdr:colOff>
                    <xdr:row>4356</xdr:row>
                    <xdr:rowOff>0</xdr:rowOff>
                  </from>
                  <to>
                    <xdr:col>7</xdr:col>
                    <xdr:colOff>0</xdr:colOff>
                    <xdr:row>4356</xdr:row>
                    <xdr:rowOff>161925</xdr:rowOff>
                  </to>
                </anchor>
              </controlPr>
            </control>
          </mc:Choice>
        </mc:AlternateContent>
        <mc:AlternateContent xmlns:mc="http://schemas.openxmlformats.org/markup-compatibility/2006">
          <mc:Choice Requires="x14">
            <control shapeId="12417" r:id="rId2565" name="Button 1153">
              <controlPr defaultSize="0" autoFill="0" autoLine="0" autoPict="0" macro="[0]!Sheet1.deleteRow">
                <anchor moveWithCells="1" sizeWithCells="1">
                  <from>
                    <xdr:col>6</xdr:col>
                    <xdr:colOff>0</xdr:colOff>
                    <xdr:row>4357</xdr:row>
                    <xdr:rowOff>0</xdr:rowOff>
                  </from>
                  <to>
                    <xdr:col>7</xdr:col>
                    <xdr:colOff>0</xdr:colOff>
                    <xdr:row>4357</xdr:row>
                    <xdr:rowOff>161925</xdr:rowOff>
                  </to>
                </anchor>
              </controlPr>
            </control>
          </mc:Choice>
        </mc:AlternateContent>
        <mc:AlternateContent xmlns:mc="http://schemas.openxmlformats.org/markup-compatibility/2006">
          <mc:Choice Requires="x14">
            <control shapeId="12416" r:id="rId2566" name="Button 1152">
              <controlPr defaultSize="0" autoFill="0" autoLine="0" autoPict="0" macro="[0]!Sheet1.deleteRow">
                <anchor moveWithCells="1" sizeWithCells="1">
                  <from>
                    <xdr:col>6</xdr:col>
                    <xdr:colOff>0</xdr:colOff>
                    <xdr:row>4358</xdr:row>
                    <xdr:rowOff>0</xdr:rowOff>
                  </from>
                  <to>
                    <xdr:col>7</xdr:col>
                    <xdr:colOff>0</xdr:colOff>
                    <xdr:row>4358</xdr:row>
                    <xdr:rowOff>161925</xdr:rowOff>
                  </to>
                </anchor>
              </controlPr>
            </control>
          </mc:Choice>
        </mc:AlternateContent>
        <mc:AlternateContent xmlns:mc="http://schemas.openxmlformats.org/markup-compatibility/2006">
          <mc:Choice Requires="x14">
            <control shapeId="12415" r:id="rId2567" name="Button 1151">
              <controlPr defaultSize="0" autoFill="0" autoLine="0" autoPict="0" macro="[0]!Sheet1.deleteRow">
                <anchor moveWithCells="1" sizeWithCells="1">
                  <from>
                    <xdr:col>6</xdr:col>
                    <xdr:colOff>0</xdr:colOff>
                    <xdr:row>4359</xdr:row>
                    <xdr:rowOff>0</xdr:rowOff>
                  </from>
                  <to>
                    <xdr:col>7</xdr:col>
                    <xdr:colOff>0</xdr:colOff>
                    <xdr:row>4359</xdr:row>
                    <xdr:rowOff>161925</xdr:rowOff>
                  </to>
                </anchor>
              </controlPr>
            </control>
          </mc:Choice>
        </mc:AlternateContent>
        <mc:AlternateContent xmlns:mc="http://schemas.openxmlformats.org/markup-compatibility/2006">
          <mc:Choice Requires="x14">
            <control shapeId="12414" r:id="rId2568" name="Button 1150">
              <controlPr defaultSize="0" autoFill="0" autoLine="0" autoPict="0" macro="[0]!Sheet1.deleteRow">
                <anchor moveWithCells="1" sizeWithCells="1">
                  <from>
                    <xdr:col>6</xdr:col>
                    <xdr:colOff>0</xdr:colOff>
                    <xdr:row>4360</xdr:row>
                    <xdr:rowOff>0</xdr:rowOff>
                  </from>
                  <to>
                    <xdr:col>7</xdr:col>
                    <xdr:colOff>0</xdr:colOff>
                    <xdr:row>4360</xdr:row>
                    <xdr:rowOff>161925</xdr:rowOff>
                  </to>
                </anchor>
              </controlPr>
            </control>
          </mc:Choice>
        </mc:AlternateContent>
        <mc:AlternateContent xmlns:mc="http://schemas.openxmlformats.org/markup-compatibility/2006">
          <mc:Choice Requires="x14">
            <control shapeId="12413" r:id="rId2569" name="Button 1149">
              <controlPr defaultSize="0" autoFill="0" autoLine="0" autoPict="0" macro="[0]!Sheet1.deleteRow">
                <anchor moveWithCells="1" sizeWithCells="1">
                  <from>
                    <xdr:col>6</xdr:col>
                    <xdr:colOff>0</xdr:colOff>
                    <xdr:row>4361</xdr:row>
                    <xdr:rowOff>0</xdr:rowOff>
                  </from>
                  <to>
                    <xdr:col>7</xdr:col>
                    <xdr:colOff>0</xdr:colOff>
                    <xdr:row>4361</xdr:row>
                    <xdr:rowOff>161925</xdr:rowOff>
                  </to>
                </anchor>
              </controlPr>
            </control>
          </mc:Choice>
        </mc:AlternateContent>
        <mc:AlternateContent xmlns:mc="http://schemas.openxmlformats.org/markup-compatibility/2006">
          <mc:Choice Requires="x14">
            <control shapeId="12412" r:id="rId2570" name="Button 1148">
              <controlPr defaultSize="0" autoFill="0" autoLine="0" autoPict="0" macro="[0]!Sheet1.deleteRow">
                <anchor moveWithCells="1" sizeWithCells="1">
                  <from>
                    <xdr:col>6</xdr:col>
                    <xdr:colOff>0</xdr:colOff>
                    <xdr:row>4362</xdr:row>
                    <xdr:rowOff>0</xdr:rowOff>
                  </from>
                  <to>
                    <xdr:col>7</xdr:col>
                    <xdr:colOff>0</xdr:colOff>
                    <xdr:row>4362</xdr:row>
                    <xdr:rowOff>161925</xdr:rowOff>
                  </to>
                </anchor>
              </controlPr>
            </control>
          </mc:Choice>
        </mc:AlternateContent>
        <mc:AlternateContent xmlns:mc="http://schemas.openxmlformats.org/markup-compatibility/2006">
          <mc:Choice Requires="x14">
            <control shapeId="12411" r:id="rId2571" name="Button 1147">
              <controlPr defaultSize="0" autoFill="0" autoLine="0" autoPict="0" macro="[0]!Sheet1.deleteRow">
                <anchor moveWithCells="1" sizeWithCells="1">
                  <from>
                    <xdr:col>6</xdr:col>
                    <xdr:colOff>0</xdr:colOff>
                    <xdr:row>4363</xdr:row>
                    <xdr:rowOff>0</xdr:rowOff>
                  </from>
                  <to>
                    <xdr:col>7</xdr:col>
                    <xdr:colOff>0</xdr:colOff>
                    <xdr:row>4363</xdr:row>
                    <xdr:rowOff>161925</xdr:rowOff>
                  </to>
                </anchor>
              </controlPr>
            </control>
          </mc:Choice>
        </mc:AlternateContent>
        <mc:AlternateContent xmlns:mc="http://schemas.openxmlformats.org/markup-compatibility/2006">
          <mc:Choice Requires="x14">
            <control shapeId="12410" r:id="rId2572" name="Button 1146">
              <controlPr defaultSize="0" autoFill="0" autoLine="0" autoPict="0" macro="[0]!Sheet1.deleteRow">
                <anchor moveWithCells="1" sizeWithCells="1">
                  <from>
                    <xdr:col>6</xdr:col>
                    <xdr:colOff>0</xdr:colOff>
                    <xdr:row>4364</xdr:row>
                    <xdr:rowOff>0</xdr:rowOff>
                  </from>
                  <to>
                    <xdr:col>7</xdr:col>
                    <xdr:colOff>0</xdr:colOff>
                    <xdr:row>4364</xdr:row>
                    <xdr:rowOff>161925</xdr:rowOff>
                  </to>
                </anchor>
              </controlPr>
            </control>
          </mc:Choice>
        </mc:AlternateContent>
        <mc:AlternateContent xmlns:mc="http://schemas.openxmlformats.org/markup-compatibility/2006">
          <mc:Choice Requires="x14">
            <control shapeId="12409" r:id="rId2573" name="Button 1145">
              <controlPr defaultSize="0" autoFill="0" autoLine="0" autoPict="0" macro="[0]!Sheet1.deleteRow">
                <anchor moveWithCells="1" sizeWithCells="1">
                  <from>
                    <xdr:col>6</xdr:col>
                    <xdr:colOff>0</xdr:colOff>
                    <xdr:row>4365</xdr:row>
                    <xdr:rowOff>0</xdr:rowOff>
                  </from>
                  <to>
                    <xdr:col>7</xdr:col>
                    <xdr:colOff>0</xdr:colOff>
                    <xdr:row>4365</xdr:row>
                    <xdr:rowOff>161925</xdr:rowOff>
                  </to>
                </anchor>
              </controlPr>
            </control>
          </mc:Choice>
        </mc:AlternateContent>
        <mc:AlternateContent xmlns:mc="http://schemas.openxmlformats.org/markup-compatibility/2006">
          <mc:Choice Requires="x14">
            <control shapeId="12408" r:id="rId2574" name="Button 1144">
              <controlPr defaultSize="0" autoFill="0" autoLine="0" autoPict="0" macro="[0]!Sheet1.deleteRow">
                <anchor moveWithCells="1" sizeWithCells="1">
                  <from>
                    <xdr:col>6</xdr:col>
                    <xdr:colOff>0</xdr:colOff>
                    <xdr:row>4366</xdr:row>
                    <xdr:rowOff>0</xdr:rowOff>
                  </from>
                  <to>
                    <xdr:col>7</xdr:col>
                    <xdr:colOff>0</xdr:colOff>
                    <xdr:row>4366</xdr:row>
                    <xdr:rowOff>161925</xdr:rowOff>
                  </to>
                </anchor>
              </controlPr>
            </control>
          </mc:Choice>
        </mc:AlternateContent>
        <mc:AlternateContent xmlns:mc="http://schemas.openxmlformats.org/markup-compatibility/2006">
          <mc:Choice Requires="x14">
            <control shapeId="12407" r:id="rId2575" name="Button 1143">
              <controlPr defaultSize="0" autoFill="0" autoLine="0" autoPict="0" macro="[0]!Sheet1.deleteRow">
                <anchor moveWithCells="1" sizeWithCells="1">
                  <from>
                    <xdr:col>6</xdr:col>
                    <xdr:colOff>0</xdr:colOff>
                    <xdr:row>4367</xdr:row>
                    <xdr:rowOff>0</xdr:rowOff>
                  </from>
                  <to>
                    <xdr:col>7</xdr:col>
                    <xdr:colOff>0</xdr:colOff>
                    <xdr:row>4367</xdr:row>
                    <xdr:rowOff>161925</xdr:rowOff>
                  </to>
                </anchor>
              </controlPr>
            </control>
          </mc:Choice>
        </mc:AlternateContent>
        <mc:AlternateContent xmlns:mc="http://schemas.openxmlformats.org/markup-compatibility/2006">
          <mc:Choice Requires="x14">
            <control shapeId="12406" r:id="rId2576" name="Button 1142">
              <controlPr defaultSize="0" autoFill="0" autoLine="0" autoPict="0" macro="[0]!Sheet1.deleteProcedure">
                <anchor moveWithCells="1" sizeWithCells="1">
                  <from>
                    <xdr:col>6</xdr:col>
                    <xdr:colOff>0</xdr:colOff>
                    <xdr:row>4370</xdr:row>
                    <xdr:rowOff>0</xdr:rowOff>
                  </from>
                  <to>
                    <xdr:col>7</xdr:col>
                    <xdr:colOff>0</xdr:colOff>
                    <xdr:row>4371</xdr:row>
                    <xdr:rowOff>0</xdr:rowOff>
                  </to>
                </anchor>
              </controlPr>
            </control>
          </mc:Choice>
        </mc:AlternateContent>
        <mc:AlternateContent xmlns:mc="http://schemas.openxmlformats.org/markup-compatibility/2006">
          <mc:Choice Requires="x14">
            <control shapeId="12405" r:id="rId2577" name="Button 1141">
              <controlPr defaultSize="0" autoFill="0" autoLine="0" autoPict="0" macro="[0]!Sheet1.InsertNewTableRow">
                <anchor moveWithCells="1" sizeWithCells="1">
                  <from>
                    <xdr:col>6</xdr:col>
                    <xdr:colOff>0</xdr:colOff>
                    <xdr:row>4377</xdr:row>
                    <xdr:rowOff>0</xdr:rowOff>
                  </from>
                  <to>
                    <xdr:col>7</xdr:col>
                    <xdr:colOff>0</xdr:colOff>
                    <xdr:row>4377</xdr:row>
                    <xdr:rowOff>38100</xdr:rowOff>
                  </to>
                </anchor>
              </controlPr>
            </control>
          </mc:Choice>
        </mc:AlternateContent>
        <mc:AlternateContent xmlns:mc="http://schemas.openxmlformats.org/markup-compatibility/2006">
          <mc:Choice Requires="x14">
            <control shapeId="12404" r:id="rId2578" name="Button 1140">
              <controlPr defaultSize="0" autoFill="0" autoLine="0" autoPict="0" macro="[0]!Sheet1.deleteRow">
                <anchor moveWithCells="1" sizeWithCells="1">
                  <from>
                    <xdr:col>6</xdr:col>
                    <xdr:colOff>0</xdr:colOff>
                    <xdr:row>4378</xdr:row>
                    <xdr:rowOff>0</xdr:rowOff>
                  </from>
                  <to>
                    <xdr:col>7</xdr:col>
                    <xdr:colOff>0</xdr:colOff>
                    <xdr:row>4378</xdr:row>
                    <xdr:rowOff>161925</xdr:rowOff>
                  </to>
                </anchor>
              </controlPr>
            </control>
          </mc:Choice>
        </mc:AlternateContent>
        <mc:AlternateContent xmlns:mc="http://schemas.openxmlformats.org/markup-compatibility/2006">
          <mc:Choice Requires="x14">
            <control shapeId="12403" r:id="rId2579" name="Button 1139">
              <controlPr defaultSize="0" autoFill="0" autoLine="0" autoPict="0" macro="[0]!Sheet1.deleteRow">
                <anchor moveWithCells="1" sizeWithCells="1">
                  <from>
                    <xdr:col>6</xdr:col>
                    <xdr:colOff>0</xdr:colOff>
                    <xdr:row>4379</xdr:row>
                    <xdr:rowOff>0</xdr:rowOff>
                  </from>
                  <to>
                    <xdr:col>7</xdr:col>
                    <xdr:colOff>0</xdr:colOff>
                    <xdr:row>4379</xdr:row>
                    <xdr:rowOff>161925</xdr:rowOff>
                  </to>
                </anchor>
              </controlPr>
            </control>
          </mc:Choice>
        </mc:AlternateContent>
        <mc:AlternateContent xmlns:mc="http://schemas.openxmlformats.org/markup-compatibility/2006">
          <mc:Choice Requires="x14">
            <control shapeId="12402" r:id="rId2580" name="Button 1138">
              <controlPr defaultSize="0" autoFill="0" autoLine="0" autoPict="0" macro="[0]!Sheet1.deleteRow">
                <anchor moveWithCells="1" sizeWithCells="1">
                  <from>
                    <xdr:col>6</xdr:col>
                    <xdr:colOff>0</xdr:colOff>
                    <xdr:row>4380</xdr:row>
                    <xdr:rowOff>0</xdr:rowOff>
                  </from>
                  <to>
                    <xdr:col>7</xdr:col>
                    <xdr:colOff>0</xdr:colOff>
                    <xdr:row>4380</xdr:row>
                    <xdr:rowOff>161925</xdr:rowOff>
                  </to>
                </anchor>
              </controlPr>
            </control>
          </mc:Choice>
        </mc:AlternateContent>
        <mc:AlternateContent xmlns:mc="http://schemas.openxmlformats.org/markup-compatibility/2006">
          <mc:Choice Requires="x14">
            <control shapeId="12401" r:id="rId2581" name="Button 1137">
              <controlPr defaultSize="0" autoFill="0" autoLine="0" autoPict="0" macro="[0]!Sheet1.deleteRow">
                <anchor moveWithCells="1" sizeWithCells="1">
                  <from>
                    <xdr:col>6</xdr:col>
                    <xdr:colOff>0</xdr:colOff>
                    <xdr:row>4381</xdr:row>
                    <xdr:rowOff>0</xdr:rowOff>
                  </from>
                  <to>
                    <xdr:col>7</xdr:col>
                    <xdr:colOff>0</xdr:colOff>
                    <xdr:row>4381</xdr:row>
                    <xdr:rowOff>161925</xdr:rowOff>
                  </to>
                </anchor>
              </controlPr>
            </control>
          </mc:Choice>
        </mc:AlternateContent>
        <mc:AlternateContent xmlns:mc="http://schemas.openxmlformats.org/markup-compatibility/2006">
          <mc:Choice Requires="x14">
            <control shapeId="12400" r:id="rId2582" name="Button 1136">
              <controlPr defaultSize="0" autoFill="0" autoLine="0" autoPict="0" macro="[0]!Sheet1.deleteProcedure">
                <anchor moveWithCells="1" sizeWithCells="1">
                  <from>
                    <xdr:col>6</xdr:col>
                    <xdr:colOff>0</xdr:colOff>
                    <xdr:row>4384</xdr:row>
                    <xdr:rowOff>0</xdr:rowOff>
                  </from>
                  <to>
                    <xdr:col>7</xdr:col>
                    <xdr:colOff>0</xdr:colOff>
                    <xdr:row>4385</xdr:row>
                    <xdr:rowOff>0</xdr:rowOff>
                  </to>
                </anchor>
              </controlPr>
            </control>
          </mc:Choice>
        </mc:AlternateContent>
        <mc:AlternateContent xmlns:mc="http://schemas.openxmlformats.org/markup-compatibility/2006">
          <mc:Choice Requires="x14">
            <control shapeId="12399" r:id="rId2583" name="Button 1135">
              <controlPr defaultSize="0" autoFill="0" autoLine="0" autoPict="0" macro="[0]!Sheet1.InsertNewTableRow">
                <anchor moveWithCells="1" sizeWithCells="1">
                  <from>
                    <xdr:col>6</xdr:col>
                    <xdr:colOff>0</xdr:colOff>
                    <xdr:row>4391</xdr:row>
                    <xdr:rowOff>0</xdr:rowOff>
                  </from>
                  <to>
                    <xdr:col>7</xdr:col>
                    <xdr:colOff>0</xdr:colOff>
                    <xdr:row>4391</xdr:row>
                    <xdr:rowOff>38100</xdr:rowOff>
                  </to>
                </anchor>
              </controlPr>
            </control>
          </mc:Choice>
        </mc:AlternateContent>
        <mc:AlternateContent xmlns:mc="http://schemas.openxmlformats.org/markup-compatibility/2006">
          <mc:Choice Requires="x14">
            <control shapeId="12398" r:id="rId2584" name="Button 1134">
              <controlPr defaultSize="0" autoFill="0" autoLine="0" autoPict="0" macro="[0]!Sheet1.deleteRow">
                <anchor moveWithCells="1" sizeWithCells="1">
                  <from>
                    <xdr:col>6</xdr:col>
                    <xdr:colOff>0</xdr:colOff>
                    <xdr:row>4392</xdr:row>
                    <xdr:rowOff>0</xdr:rowOff>
                  </from>
                  <to>
                    <xdr:col>7</xdr:col>
                    <xdr:colOff>0</xdr:colOff>
                    <xdr:row>4392</xdr:row>
                    <xdr:rowOff>161925</xdr:rowOff>
                  </to>
                </anchor>
              </controlPr>
            </control>
          </mc:Choice>
        </mc:AlternateContent>
        <mc:AlternateContent xmlns:mc="http://schemas.openxmlformats.org/markup-compatibility/2006">
          <mc:Choice Requires="x14">
            <control shapeId="12397" r:id="rId2585" name="Button 1133">
              <controlPr defaultSize="0" autoFill="0" autoLine="0" autoPict="0" macro="[0]!Sheet1.deleteRow">
                <anchor moveWithCells="1" sizeWithCells="1">
                  <from>
                    <xdr:col>6</xdr:col>
                    <xdr:colOff>0</xdr:colOff>
                    <xdr:row>4393</xdr:row>
                    <xdr:rowOff>0</xdr:rowOff>
                  </from>
                  <to>
                    <xdr:col>7</xdr:col>
                    <xdr:colOff>0</xdr:colOff>
                    <xdr:row>4393</xdr:row>
                    <xdr:rowOff>161925</xdr:rowOff>
                  </to>
                </anchor>
              </controlPr>
            </control>
          </mc:Choice>
        </mc:AlternateContent>
        <mc:AlternateContent xmlns:mc="http://schemas.openxmlformats.org/markup-compatibility/2006">
          <mc:Choice Requires="x14">
            <control shapeId="12396" r:id="rId2586" name="Button 1132">
              <controlPr defaultSize="0" autoFill="0" autoLine="0" autoPict="0" macro="[0]!Sheet1.deleteRow">
                <anchor moveWithCells="1" sizeWithCells="1">
                  <from>
                    <xdr:col>6</xdr:col>
                    <xdr:colOff>0</xdr:colOff>
                    <xdr:row>4394</xdr:row>
                    <xdr:rowOff>0</xdr:rowOff>
                  </from>
                  <to>
                    <xdr:col>7</xdr:col>
                    <xdr:colOff>0</xdr:colOff>
                    <xdr:row>4394</xdr:row>
                    <xdr:rowOff>161925</xdr:rowOff>
                  </to>
                </anchor>
              </controlPr>
            </control>
          </mc:Choice>
        </mc:AlternateContent>
        <mc:AlternateContent xmlns:mc="http://schemas.openxmlformats.org/markup-compatibility/2006">
          <mc:Choice Requires="x14">
            <control shapeId="12395" r:id="rId2587" name="Button 1131">
              <controlPr defaultSize="0" autoFill="0" autoLine="0" autoPict="0" macro="[0]!Sheet1.deleteRow">
                <anchor moveWithCells="1" sizeWithCells="1">
                  <from>
                    <xdr:col>6</xdr:col>
                    <xdr:colOff>0</xdr:colOff>
                    <xdr:row>4395</xdr:row>
                    <xdr:rowOff>0</xdr:rowOff>
                  </from>
                  <to>
                    <xdr:col>7</xdr:col>
                    <xdr:colOff>0</xdr:colOff>
                    <xdr:row>4395</xdr:row>
                    <xdr:rowOff>161925</xdr:rowOff>
                  </to>
                </anchor>
              </controlPr>
            </control>
          </mc:Choice>
        </mc:AlternateContent>
        <mc:AlternateContent xmlns:mc="http://schemas.openxmlformats.org/markup-compatibility/2006">
          <mc:Choice Requires="x14">
            <control shapeId="12394" r:id="rId2588" name="Button 1130">
              <controlPr defaultSize="0" autoFill="0" autoLine="0" autoPict="0" macro="[0]!Sheet1.deleteRow">
                <anchor moveWithCells="1" sizeWithCells="1">
                  <from>
                    <xdr:col>6</xdr:col>
                    <xdr:colOff>0</xdr:colOff>
                    <xdr:row>4396</xdr:row>
                    <xdr:rowOff>0</xdr:rowOff>
                  </from>
                  <to>
                    <xdr:col>7</xdr:col>
                    <xdr:colOff>0</xdr:colOff>
                    <xdr:row>4396</xdr:row>
                    <xdr:rowOff>161925</xdr:rowOff>
                  </to>
                </anchor>
              </controlPr>
            </control>
          </mc:Choice>
        </mc:AlternateContent>
        <mc:AlternateContent xmlns:mc="http://schemas.openxmlformats.org/markup-compatibility/2006">
          <mc:Choice Requires="x14">
            <control shapeId="12393" r:id="rId2589" name="Button 1129">
              <controlPr defaultSize="0" autoFill="0" autoLine="0" autoPict="0" macro="[0]!Sheet1.deleteRow">
                <anchor moveWithCells="1" sizeWithCells="1">
                  <from>
                    <xdr:col>6</xdr:col>
                    <xdr:colOff>0</xdr:colOff>
                    <xdr:row>4397</xdr:row>
                    <xdr:rowOff>0</xdr:rowOff>
                  </from>
                  <to>
                    <xdr:col>7</xdr:col>
                    <xdr:colOff>0</xdr:colOff>
                    <xdr:row>4397</xdr:row>
                    <xdr:rowOff>161925</xdr:rowOff>
                  </to>
                </anchor>
              </controlPr>
            </control>
          </mc:Choice>
        </mc:AlternateContent>
        <mc:AlternateContent xmlns:mc="http://schemas.openxmlformats.org/markup-compatibility/2006">
          <mc:Choice Requires="x14">
            <control shapeId="12392" r:id="rId2590" name="Button 1128">
              <controlPr defaultSize="0" autoFill="0" autoLine="0" autoPict="0" macro="[0]!Sheet1.deleteRow">
                <anchor moveWithCells="1" sizeWithCells="1">
                  <from>
                    <xdr:col>6</xdr:col>
                    <xdr:colOff>0</xdr:colOff>
                    <xdr:row>4398</xdr:row>
                    <xdr:rowOff>0</xdr:rowOff>
                  </from>
                  <to>
                    <xdr:col>7</xdr:col>
                    <xdr:colOff>0</xdr:colOff>
                    <xdr:row>4398</xdr:row>
                    <xdr:rowOff>161925</xdr:rowOff>
                  </to>
                </anchor>
              </controlPr>
            </control>
          </mc:Choice>
        </mc:AlternateContent>
        <mc:AlternateContent xmlns:mc="http://schemas.openxmlformats.org/markup-compatibility/2006">
          <mc:Choice Requires="x14">
            <control shapeId="12391" r:id="rId2591" name="Button 1127">
              <controlPr defaultSize="0" autoFill="0" autoLine="0" autoPict="0" macro="[0]!Sheet1.deleteRow">
                <anchor moveWithCells="1" sizeWithCells="1">
                  <from>
                    <xdr:col>6</xdr:col>
                    <xdr:colOff>0</xdr:colOff>
                    <xdr:row>4399</xdr:row>
                    <xdr:rowOff>0</xdr:rowOff>
                  </from>
                  <to>
                    <xdr:col>7</xdr:col>
                    <xdr:colOff>0</xdr:colOff>
                    <xdr:row>4399</xdr:row>
                    <xdr:rowOff>161925</xdr:rowOff>
                  </to>
                </anchor>
              </controlPr>
            </control>
          </mc:Choice>
        </mc:AlternateContent>
        <mc:AlternateContent xmlns:mc="http://schemas.openxmlformats.org/markup-compatibility/2006">
          <mc:Choice Requires="x14">
            <control shapeId="12390" r:id="rId2592" name="Button 1126">
              <controlPr defaultSize="0" autoFill="0" autoLine="0" autoPict="0" macro="[0]!Sheet1.deleteRow">
                <anchor moveWithCells="1" sizeWithCells="1">
                  <from>
                    <xdr:col>6</xdr:col>
                    <xdr:colOff>0</xdr:colOff>
                    <xdr:row>4400</xdr:row>
                    <xdr:rowOff>0</xdr:rowOff>
                  </from>
                  <to>
                    <xdr:col>7</xdr:col>
                    <xdr:colOff>0</xdr:colOff>
                    <xdr:row>4400</xdr:row>
                    <xdr:rowOff>161925</xdr:rowOff>
                  </to>
                </anchor>
              </controlPr>
            </control>
          </mc:Choice>
        </mc:AlternateContent>
        <mc:AlternateContent xmlns:mc="http://schemas.openxmlformats.org/markup-compatibility/2006">
          <mc:Choice Requires="x14">
            <control shapeId="12389" r:id="rId2593" name="Button 1125">
              <controlPr defaultSize="0" autoFill="0" autoLine="0" autoPict="0" macro="[0]!Sheet1.deleteRow">
                <anchor moveWithCells="1" sizeWithCells="1">
                  <from>
                    <xdr:col>6</xdr:col>
                    <xdr:colOff>0</xdr:colOff>
                    <xdr:row>4401</xdr:row>
                    <xdr:rowOff>0</xdr:rowOff>
                  </from>
                  <to>
                    <xdr:col>7</xdr:col>
                    <xdr:colOff>0</xdr:colOff>
                    <xdr:row>4401</xdr:row>
                    <xdr:rowOff>161925</xdr:rowOff>
                  </to>
                </anchor>
              </controlPr>
            </control>
          </mc:Choice>
        </mc:AlternateContent>
        <mc:AlternateContent xmlns:mc="http://schemas.openxmlformats.org/markup-compatibility/2006">
          <mc:Choice Requires="x14">
            <control shapeId="12388" r:id="rId2594" name="Button 1124">
              <controlPr defaultSize="0" autoFill="0" autoLine="0" autoPict="0" macro="[0]!Sheet1.deleteRow">
                <anchor moveWithCells="1" sizeWithCells="1">
                  <from>
                    <xdr:col>6</xdr:col>
                    <xdr:colOff>0</xdr:colOff>
                    <xdr:row>4402</xdr:row>
                    <xdr:rowOff>0</xdr:rowOff>
                  </from>
                  <to>
                    <xdr:col>7</xdr:col>
                    <xdr:colOff>0</xdr:colOff>
                    <xdr:row>4402</xdr:row>
                    <xdr:rowOff>161925</xdr:rowOff>
                  </to>
                </anchor>
              </controlPr>
            </control>
          </mc:Choice>
        </mc:AlternateContent>
        <mc:AlternateContent xmlns:mc="http://schemas.openxmlformats.org/markup-compatibility/2006">
          <mc:Choice Requires="x14">
            <control shapeId="12387" r:id="rId2595" name="Button 1123">
              <controlPr defaultSize="0" autoFill="0" autoLine="0" autoPict="0" macro="[0]!Sheet1.deleteRow">
                <anchor moveWithCells="1" sizeWithCells="1">
                  <from>
                    <xdr:col>6</xdr:col>
                    <xdr:colOff>0</xdr:colOff>
                    <xdr:row>4403</xdr:row>
                    <xdr:rowOff>0</xdr:rowOff>
                  </from>
                  <to>
                    <xdr:col>7</xdr:col>
                    <xdr:colOff>0</xdr:colOff>
                    <xdr:row>4403</xdr:row>
                    <xdr:rowOff>161925</xdr:rowOff>
                  </to>
                </anchor>
              </controlPr>
            </control>
          </mc:Choice>
        </mc:AlternateContent>
        <mc:AlternateContent xmlns:mc="http://schemas.openxmlformats.org/markup-compatibility/2006">
          <mc:Choice Requires="x14">
            <control shapeId="12386" r:id="rId2596" name="Button 1122">
              <controlPr defaultSize="0" autoFill="0" autoLine="0" autoPict="0" macro="[0]!Sheet1.deleteRow">
                <anchor moveWithCells="1" sizeWithCells="1">
                  <from>
                    <xdr:col>6</xdr:col>
                    <xdr:colOff>0</xdr:colOff>
                    <xdr:row>4404</xdr:row>
                    <xdr:rowOff>0</xdr:rowOff>
                  </from>
                  <to>
                    <xdr:col>7</xdr:col>
                    <xdr:colOff>0</xdr:colOff>
                    <xdr:row>4404</xdr:row>
                    <xdr:rowOff>161925</xdr:rowOff>
                  </to>
                </anchor>
              </controlPr>
            </control>
          </mc:Choice>
        </mc:AlternateContent>
        <mc:AlternateContent xmlns:mc="http://schemas.openxmlformats.org/markup-compatibility/2006">
          <mc:Choice Requires="x14">
            <control shapeId="12385" r:id="rId2597" name="Button 1121">
              <controlPr defaultSize="0" autoFill="0" autoLine="0" autoPict="0" macro="[0]!Sheet1.deleteRow">
                <anchor moveWithCells="1" sizeWithCells="1">
                  <from>
                    <xdr:col>6</xdr:col>
                    <xdr:colOff>0</xdr:colOff>
                    <xdr:row>4405</xdr:row>
                    <xdr:rowOff>0</xdr:rowOff>
                  </from>
                  <to>
                    <xdr:col>7</xdr:col>
                    <xdr:colOff>0</xdr:colOff>
                    <xdr:row>4405</xdr:row>
                    <xdr:rowOff>161925</xdr:rowOff>
                  </to>
                </anchor>
              </controlPr>
            </control>
          </mc:Choice>
        </mc:AlternateContent>
        <mc:AlternateContent xmlns:mc="http://schemas.openxmlformats.org/markup-compatibility/2006">
          <mc:Choice Requires="x14">
            <control shapeId="12384" r:id="rId2598" name="Button 1120">
              <controlPr defaultSize="0" autoFill="0" autoLine="0" autoPict="0" macro="[0]!Sheet1.deleteRow">
                <anchor moveWithCells="1" sizeWithCells="1">
                  <from>
                    <xdr:col>6</xdr:col>
                    <xdr:colOff>0</xdr:colOff>
                    <xdr:row>4406</xdr:row>
                    <xdr:rowOff>0</xdr:rowOff>
                  </from>
                  <to>
                    <xdr:col>7</xdr:col>
                    <xdr:colOff>0</xdr:colOff>
                    <xdr:row>4406</xdr:row>
                    <xdr:rowOff>161925</xdr:rowOff>
                  </to>
                </anchor>
              </controlPr>
            </control>
          </mc:Choice>
        </mc:AlternateContent>
        <mc:AlternateContent xmlns:mc="http://schemas.openxmlformats.org/markup-compatibility/2006">
          <mc:Choice Requires="x14">
            <control shapeId="12383" r:id="rId2599" name="Button 1119">
              <controlPr defaultSize="0" autoFill="0" autoLine="0" autoPict="0" macro="[0]!Sheet1.deleteRow">
                <anchor moveWithCells="1" sizeWithCells="1">
                  <from>
                    <xdr:col>6</xdr:col>
                    <xdr:colOff>0</xdr:colOff>
                    <xdr:row>4407</xdr:row>
                    <xdr:rowOff>0</xdr:rowOff>
                  </from>
                  <to>
                    <xdr:col>7</xdr:col>
                    <xdr:colOff>0</xdr:colOff>
                    <xdr:row>4407</xdr:row>
                    <xdr:rowOff>161925</xdr:rowOff>
                  </to>
                </anchor>
              </controlPr>
            </control>
          </mc:Choice>
        </mc:AlternateContent>
        <mc:AlternateContent xmlns:mc="http://schemas.openxmlformats.org/markup-compatibility/2006">
          <mc:Choice Requires="x14">
            <control shapeId="12382" r:id="rId2600" name="Button 1118">
              <controlPr defaultSize="0" autoFill="0" autoLine="0" autoPict="0" macro="[0]!Sheet1.deleteRow">
                <anchor moveWithCells="1" sizeWithCells="1">
                  <from>
                    <xdr:col>6</xdr:col>
                    <xdr:colOff>0</xdr:colOff>
                    <xdr:row>4408</xdr:row>
                    <xdr:rowOff>0</xdr:rowOff>
                  </from>
                  <to>
                    <xdr:col>7</xdr:col>
                    <xdr:colOff>0</xdr:colOff>
                    <xdr:row>4408</xdr:row>
                    <xdr:rowOff>161925</xdr:rowOff>
                  </to>
                </anchor>
              </controlPr>
            </control>
          </mc:Choice>
        </mc:AlternateContent>
        <mc:AlternateContent xmlns:mc="http://schemas.openxmlformats.org/markup-compatibility/2006">
          <mc:Choice Requires="x14">
            <control shapeId="12381" r:id="rId2601" name="Button 1117">
              <controlPr defaultSize="0" autoFill="0" autoLine="0" autoPict="0" macro="[0]!Sheet1.deleteRow">
                <anchor moveWithCells="1" sizeWithCells="1">
                  <from>
                    <xdr:col>6</xdr:col>
                    <xdr:colOff>0</xdr:colOff>
                    <xdr:row>4409</xdr:row>
                    <xdr:rowOff>0</xdr:rowOff>
                  </from>
                  <to>
                    <xdr:col>7</xdr:col>
                    <xdr:colOff>0</xdr:colOff>
                    <xdr:row>4409</xdr:row>
                    <xdr:rowOff>161925</xdr:rowOff>
                  </to>
                </anchor>
              </controlPr>
            </control>
          </mc:Choice>
        </mc:AlternateContent>
        <mc:AlternateContent xmlns:mc="http://schemas.openxmlformats.org/markup-compatibility/2006">
          <mc:Choice Requires="x14">
            <control shapeId="12380" r:id="rId2602" name="Button 1116">
              <controlPr defaultSize="0" autoFill="0" autoLine="0" autoPict="0" macro="[0]!Sheet1.deleteRow">
                <anchor moveWithCells="1" sizeWithCells="1">
                  <from>
                    <xdr:col>6</xdr:col>
                    <xdr:colOff>0</xdr:colOff>
                    <xdr:row>4410</xdr:row>
                    <xdr:rowOff>0</xdr:rowOff>
                  </from>
                  <to>
                    <xdr:col>7</xdr:col>
                    <xdr:colOff>0</xdr:colOff>
                    <xdr:row>4410</xdr:row>
                    <xdr:rowOff>161925</xdr:rowOff>
                  </to>
                </anchor>
              </controlPr>
            </control>
          </mc:Choice>
        </mc:AlternateContent>
        <mc:AlternateContent xmlns:mc="http://schemas.openxmlformats.org/markup-compatibility/2006">
          <mc:Choice Requires="x14">
            <control shapeId="12379" r:id="rId2603" name="Button 1115">
              <controlPr defaultSize="0" autoFill="0" autoLine="0" autoPict="0" macro="[0]!Sheet1.deleteRow">
                <anchor moveWithCells="1" sizeWithCells="1">
                  <from>
                    <xdr:col>6</xdr:col>
                    <xdr:colOff>0</xdr:colOff>
                    <xdr:row>4411</xdr:row>
                    <xdr:rowOff>0</xdr:rowOff>
                  </from>
                  <to>
                    <xdr:col>7</xdr:col>
                    <xdr:colOff>0</xdr:colOff>
                    <xdr:row>4411</xdr:row>
                    <xdr:rowOff>161925</xdr:rowOff>
                  </to>
                </anchor>
              </controlPr>
            </control>
          </mc:Choice>
        </mc:AlternateContent>
        <mc:AlternateContent xmlns:mc="http://schemas.openxmlformats.org/markup-compatibility/2006">
          <mc:Choice Requires="x14">
            <control shapeId="12378" r:id="rId2604" name="Button 1114">
              <controlPr defaultSize="0" autoFill="0" autoLine="0" autoPict="0" macro="[0]!Sheet1.deleteRow">
                <anchor moveWithCells="1" sizeWithCells="1">
                  <from>
                    <xdr:col>6</xdr:col>
                    <xdr:colOff>0</xdr:colOff>
                    <xdr:row>4412</xdr:row>
                    <xdr:rowOff>0</xdr:rowOff>
                  </from>
                  <to>
                    <xdr:col>7</xdr:col>
                    <xdr:colOff>0</xdr:colOff>
                    <xdr:row>4412</xdr:row>
                    <xdr:rowOff>161925</xdr:rowOff>
                  </to>
                </anchor>
              </controlPr>
            </control>
          </mc:Choice>
        </mc:AlternateContent>
        <mc:AlternateContent xmlns:mc="http://schemas.openxmlformats.org/markup-compatibility/2006">
          <mc:Choice Requires="x14">
            <control shapeId="12377" r:id="rId2605" name="Button 1113">
              <controlPr defaultSize="0" autoFill="0" autoLine="0" autoPict="0" macro="[0]!Sheet1.deleteRow">
                <anchor moveWithCells="1" sizeWithCells="1">
                  <from>
                    <xdr:col>6</xdr:col>
                    <xdr:colOff>0</xdr:colOff>
                    <xdr:row>4413</xdr:row>
                    <xdr:rowOff>0</xdr:rowOff>
                  </from>
                  <to>
                    <xdr:col>7</xdr:col>
                    <xdr:colOff>0</xdr:colOff>
                    <xdr:row>4413</xdr:row>
                    <xdr:rowOff>161925</xdr:rowOff>
                  </to>
                </anchor>
              </controlPr>
            </control>
          </mc:Choice>
        </mc:AlternateContent>
        <mc:AlternateContent xmlns:mc="http://schemas.openxmlformats.org/markup-compatibility/2006">
          <mc:Choice Requires="x14">
            <control shapeId="12376" r:id="rId2606" name="Button 1112">
              <controlPr defaultSize="0" autoFill="0" autoLine="0" autoPict="0" macro="[0]!Sheet1.deleteRow">
                <anchor moveWithCells="1" sizeWithCells="1">
                  <from>
                    <xdr:col>6</xdr:col>
                    <xdr:colOff>0</xdr:colOff>
                    <xdr:row>4414</xdr:row>
                    <xdr:rowOff>0</xdr:rowOff>
                  </from>
                  <to>
                    <xdr:col>7</xdr:col>
                    <xdr:colOff>0</xdr:colOff>
                    <xdr:row>4414</xdr:row>
                    <xdr:rowOff>161925</xdr:rowOff>
                  </to>
                </anchor>
              </controlPr>
            </control>
          </mc:Choice>
        </mc:AlternateContent>
        <mc:AlternateContent xmlns:mc="http://schemas.openxmlformats.org/markup-compatibility/2006">
          <mc:Choice Requires="x14">
            <control shapeId="12375" r:id="rId2607" name="Button 1111">
              <controlPr defaultSize="0" autoFill="0" autoLine="0" autoPict="0" macro="[0]!Sheet1.deleteRow">
                <anchor moveWithCells="1" sizeWithCells="1">
                  <from>
                    <xdr:col>6</xdr:col>
                    <xdr:colOff>0</xdr:colOff>
                    <xdr:row>4415</xdr:row>
                    <xdr:rowOff>0</xdr:rowOff>
                  </from>
                  <to>
                    <xdr:col>7</xdr:col>
                    <xdr:colOff>0</xdr:colOff>
                    <xdr:row>4415</xdr:row>
                    <xdr:rowOff>161925</xdr:rowOff>
                  </to>
                </anchor>
              </controlPr>
            </control>
          </mc:Choice>
        </mc:AlternateContent>
        <mc:AlternateContent xmlns:mc="http://schemas.openxmlformats.org/markup-compatibility/2006">
          <mc:Choice Requires="x14">
            <control shapeId="12374" r:id="rId2608" name="Button 1110">
              <controlPr defaultSize="0" autoFill="0" autoLine="0" autoPict="0" macro="[0]!Sheet1.deleteRow">
                <anchor moveWithCells="1" sizeWithCells="1">
                  <from>
                    <xdr:col>6</xdr:col>
                    <xdr:colOff>0</xdr:colOff>
                    <xdr:row>4416</xdr:row>
                    <xdr:rowOff>0</xdr:rowOff>
                  </from>
                  <to>
                    <xdr:col>7</xdr:col>
                    <xdr:colOff>0</xdr:colOff>
                    <xdr:row>4416</xdr:row>
                    <xdr:rowOff>161925</xdr:rowOff>
                  </to>
                </anchor>
              </controlPr>
            </control>
          </mc:Choice>
        </mc:AlternateContent>
        <mc:AlternateContent xmlns:mc="http://schemas.openxmlformats.org/markup-compatibility/2006">
          <mc:Choice Requires="x14">
            <control shapeId="12373" r:id="rId2609" name="Button 1109">
              <controlPr defaultSize="0" autoFill="0" autoLine="0" autoPict="0" macro="[0]!Sheet1.deleteRow">
                <anchor moveWithCells="1" sizeWithCells="1">
                  <from>
                    <xdr:col>6</xdr:col>
                    <xdr:colOff>0</xdr:colOff>
                    <xdr:row>4417</xdr:row>
                    <xdr:rowOff>0</xdr:rowOff>
                  </from>
                  <to>
                    <xdr:col>7</xdr:col>
                    <xdr:colOff>0</xdr:colOff>
                    <xdr:row>4417</xdr:row>
                    <xdr:rowOff>161925</xdr:rowOff>
                  </to>
                </anchor>
              </controlPr>
            </control>
          </mc:Choice>
        </mc:AlternateContent>
        <mc:AlternateContent xmlns:mc="http://schemas.openxmlformats.org/markup-compatibility/2006">
          <mc:Choice Requires="x14">
            <control shapeId="12372" r:id="rId2610" name="Button 1108">
              <controlPr defaultSize="0" autoFill="0" autoLine="0" autoPict="0" macro="[0]!Sheet1.deleteRow">
                <anchor moveWithCells="1" sizeWithCells="1">
                  <from>
                    <xdr:col>6</xdr:col>
                    <xdr:colOff>0</xdr:colOff>
                    <xdr:row>4418</xdr:row>
                    <xdr:rowOff>0</xdr:rowOff>
                  </from>
                  <to>
                    <xdr:col>7</xdr:col>
                    <xdr:colOff>0</xdr:colOff>
                    <xdr:row>4418</xdr:row>
                    <xdr:rowOff>161925</xdr:rowOff>
                  </to>
                </anchor>
              </controlPr>
            </control>
          </mc:Choice>
        </mc:AlternateContent>
        <mc:AlternateContent xmlns:mc="http://schemas.openxmlformats.org/markup-compatibility/2006">
          <mc:Choice Requires="x14">
            <control shapeId="12371" r:id="rId2611" name="Button 1107">
              <controlPr defaultSize="0" autoFill="0" autoLine="0" autoPict="0" macro="[0]!Sheet1.deleteRow">
                <anchor moveWithCells="1" sizeWithCells="1">
                  <from>
                    <xdr:col>6</xdr:col>
                    <xdr:colOff>0</xdr:colOff>
                    <xdr:row>4419</xdr:row>
                    <xdr:rowOff>0</xdr:rowOff>
                  </from>
                  <to>
                    <xdr:col>7</xdr:col>
                    <xdr:colOff>0</xdr:colOff>
                    <xdr:row>4419</xdr:row>
                    <xdr:rowOff>161925</xdr:rowOff>
                  </to>
                </anchor>
              </controlPr>
            </control>
          </mc:Choice>
        </mc:AlternateContent>
        <mc:AlternateContent xmlns:mc="http://schemas.openxmlformats.org/markup-compatibility/2006">
          <mc:Choice Requires="x14">
            <control shapeId="12370" r:id="rId2612" name="Button 1106">
              <controlPr defaultSize="0" autoFill="0" autoLine="0" autoPict="0" macro="[0]!Sheet1.deleteRow">
                <anchor moveWithCells="1" sizeWithCells="1">
                  <from>
                    <xdr:col>6</xdr:col>
                    <xdr:colOff>0</xdr:colOff>
                    <xdr:row>4420</xdr:row>
                    <xdr:rowOff>0</xdr:rowOff>
                  </from>
                  <to>
                    <xdr:col>7</xdr:col>
                    <xdr:colOff>0</xdr:colOff>
                    <xdr:row>4420</xdr:row>
                    <xdr:rowOff>161925</xdr:rowOff>
                  </to>
                </anchor>
              </controlPr>
            </control>
          </mc:Choice>
        </mc:AlternateContent>
        <mc:AlternateContent xmlns:mc="http://schemas.openxmlformats.org/markup-compatibility/2006">
          <mc:Choice Requires="x14">
            <control shapeId="12369" r:id="rId2613" name="Button 1105">
              <controlPr defaultSize="0" autoFill="0" autoLine="0" autoPict="0" macro="[0]!Sheet1.deleteRow">
                <anchor moveWithCells="1" sizeWithCells="1">
                  <from>
                    <xdr:col>6</xdr:col>
                    <xdr:colOff>0</xdr:colOff>
                    <xdr:row>4421</xdr:row>
                    <xdr:rowOff>0</xdr:rowOff>
                  </from>
                  <to>
                    <xdr:col>7</xdr:col>
                    <xdr:colOff>0</xdr:colOff>
                    <xdr:row>4421</xdr:row>
                    <xdr:rowOff>161925</xdr:rowOff>
                  </to>
                </anchor>
              </controlPr>
            </control>
          </mc:Choice>
        </mc:AlternateContent>
        <mc:AlternateContent xmlns:mc="http://schemas.openxmlformats.org/markup-compatibility/2006">
          <mc:Choice Requires="x14">
            <control shapeId="12368" r:id="rId2614" name="Button 1104">
              <controlPr defaultSize="0" autoFill="0" autoLine="0" autoPict="0" macro="[0]!Sheet1.deleteRow">
                <anchor moveWithCells="1" sizeWithCells="1">
                  <from>
                    <xdr:col>6</xdr:col>
                    <xdr:colOff>0</xdr:colOff>
                    <xdr:row>4422</xdr:row>
                    <xdr:rowOff>0</xdr:rowOff>
                  </from>
                  <to>
                    <xdr:col>7</xdr:col>
                    <xdr:colOff>0</xdr:colOff>
                    <xdr:row>4422</xdr:row>
                    <xdr:rowOff>161925</xdr:rowOff>
                  </to>
                </anchor>
              </controlPr>
            </control>
          </mc:Choice>
        </mc:AlternateContent>
        <mc:AlternateContent xmlns:mc="http://schemas.openxmlformats.org/markup-compatibility/2006">
          <mc:Choice Requires="x14">
            <control shapeId="12367" r:id="rId2615" name="Button 1103">
              <controlPr defaultSize="0" autoFill="0" autoLine="0" autoPict="0" macro="[0]!Sheet1.deleteRow">
                <anchor moveWithCells="1" sizeWithCells="1">
                  <from>
                    <xdr:col>6</xdr:col>
                    <xdr:colOff>0</xdr:colOff>
                    <xdr:row>4423</xdr:row>
                    <xdr:rowOff>0</xdr:rowOff>
                  </from>
                  <to>
                    <xdr:col>7</xdr:col>
                    <xdr:colOff>0</xdr:colOff>
                    <xdr:row>4423</xdr:row>
                    <xdr:rowOff>161925</xdr:rowOff>
                  </to>
                </anchor>
              </controlPr>
            </control>
          </mc:Choice>
        </mc:AlternateContent>
        <mc:AlternateContent xmlns:mc="http://schemas.openxmlformats.org/markup-compatibility/2006">
          <mc:Choice Requires="x14">
            <control shapeId="12366" r:id="rId2616" name="Button 1102">
              <controlPr defaultSize="0" autoFill="0" autoLine="0" autoPict="0" macro="[0]!Sheet1.deleteRow">
                <anchor moveWithCells="1" sizeWithCells="1">
                  <from>
                    <xdr:col>6</xdr:col>
                    <xdr:colOff>0</xdr:colOff>
                    <xdr:row>4424</xdr:row>
                    <xdr:rowOff>0</xdr:rowOff>
                  </from>
                  <to>
                    <xdr:col>7</xdr:col>
                    <xdr:colOff>0</xdr:colOff>
                    <xdr:row>4424</xdr:row>
                    <xdr:rowOff>161925</xdr:rowOff>
                  </to>
                </anchor>
              </controlPr>
            </control>
          </mc:Choice>
        </mc:AlternateContent>
        <mc:AlternateContent xmlns:mc="http://schemas.openxmlformats.org/markup-compatibility/2006">
          <mc:Choice Requires="x14">
            <control shapeId="12365" r:id="rId2617" name="Button 1101">
              <controlPr defaultSize="0" autoFill="0" autoLine="0" autoPict="0" macro="[0]!Sheet1.deleteRow">
                <anchor moveWithCells="1" sizeWithCells="1">
                  <from>
                    <xdr:col>6</xdr:col>
                    <xdr:colOff>0</xdr:colOff>
                    <xdr:row>4425</xdr:row>
                    <xdr:rowOff>0</xdr:rowOff>
                  </from>
                  <to>
                    <xdr:col>7</xdr:col>
                    <xdr:colOff>0</xdr:colOff>
                    <xdr:row>4425</xdr:row>
                    <xdr:rowOff>161925</xdr:rowOff>
                  </to>
                </anchor>
              </controlPr>
            </control>
          </mc:Choice>
        </mc:AlternateContent>
        <mc:AlternateContent xmlns:mc="http://schemas.openxmlformats.org/markup-compatibility/2006">
          <mc:Choice Requires="x14">
            <control shapeId="12364" r:id="rId2618" name="Button 1100">
              <controlPr defaultSize="0" autoFill="0" autoLine="0" autoPict="0" macro="[0]!Sheet1.deleteRow">
                <anchor moveWithCells="1" sizeWithCells="1">
                  <from>
                    <xdr:col>6</xdr:col>
                    <xdr:colOff>0</xdr:colOff>
                    <xdr:row>4426</xdr:row>
                    <xdr:rowOff>0</xdr:rowOff>
                  </from>
                  <to>
                    <xdr:col>7</xdr:col>
                    <xdr:colOff>0</xdr:colOff>
                    <xdr:row>4426</xdr:row>
                    <xdr:rowOff>161925</xdr:rowOff>
                  </to>
                </anchor>
              </controlPr>
            </control>
          </mc:Choice>
        </mc:AlternateContent>
        <mc:AlternateContent xmlns:mc="http://schemas.openxmlformats.org/markup-compatibility/2006">
          <mc:Choice Requires="x14">
            <control shapeId="12363" r:id="rId2619" name="Button 1099">
              <controlPr defaultSize="0" autoFill="0" autoLine="0" autoPict="0" macro="[0]!Sheet1.deleteRow">
                <anchor moveWithCells="1" sizeWithCells="1">
                  <from>
                    <xdr:col>6</xdr:col>
                    <xdr:colOff>0</xdr:colOff>
                    <xdr:row>4427</xdr:row>
                    <xdr:rowOff>0</xdr:rowOff>
                  </from>
                  <to>
                    <xdr:col>7</xdr:col>
                    <xdr:colOff>0</xdr:colOff>
                    <xdr:row>4427</xdr:row>
                    <xdr:rowOff>161925</xdr:rowOff>
                  </to>
                </anchor>
              </controlPr>
            </control>
          </mc:Choice>
        </mc:AlternateContent>
        <mc:AlternateContent xmlns:mc="http://schemas.openxmlformats.org/markup-compatibility/2006">
          <mc:Choice Requires="x14">
            <control shapeId="12362" r:id="rId2620" name="Button 1098">
              <controlPr defaultSize="0" autoFill="0" autoLine="0" autoPict="0" macro="[0]!Sheet1.deleteRow">
                <anchor moveWithCells="1" sizeWithCells="1">
                  <from>
                    <xdr:col>6</xdr:col>
                    <xdr:colOff>0</xdr:colOff>
                    <xdr:row>4428</xdr:row>
                    <xdr:rowOff>0</xdr:rowOff>
                  </from>
                  <to>
                    <xdr:col>7</xdr:col>
                    <xdr:colOff>0</xdr:colOff>
                    <xdr:row>4428</xdr:row>
                    <xdr:rowOff>161925</xdr:rowOff>
                  </to>
                </anchor>
              </controlPr>
            </control>
          </mc:Choice>
        </mc:AlternateContent>
        <mc:AlternateContent xmlns:mc="http://schemas.openxmlformats.org/markup-compatibility/2006">
          <mc:Choice Requires="x14">
            <control shapeId="12361" r:id="rId2621" name="Button 1097">
              <controlPr defaultSize="0" autoFill="0" autoLine="0" autoPict="0" macro="[0]!Sheet1.deleteRow">
                <anchor moveWithCells="1" sizeWithCells="1">
                  <from>
                    <xdr:col>6</xdr:col>
                    <xdr:colOff>0</xdr:colOff>
                    <xdr:row>4429</xdr:row>
                    <xdr:rowOff>0</xdr:rowOff>
                  </from>
                  <to>
                    <xdr:col>7</xdr:col>
                    <xdr:colOff>0</xdr:colOff>
                    <xdr:row>4429</xdr:row>
                    <xdr:rowOff>161925</xdr:rowOff>
                  </to>
                </anchor>
              </controlPr>
            </control>
          </mc:Choice>
        </mc:AlternateContent>
        <mc:AlternateContent xmlns:mc="http://schemas.openxmlformats.org/markup-compatibility/2006">
          <mc:Choice Requires="x14">
            <control shapeId="12360" r:id="rId2622" name="Button 1096">
              <controlPr defaultSize="0" autoFill="0" autoLine="0" autoPict="0" macro="[0]!Sheet1.deleteRow">
                <anchor moveWithCells="1" sizeWithCells="1">
                  <from>
                    <xdr:col>6</xdr:col>
                    <xdr:colOff>0</xdr:colOff>
                    <xdr:row>4430</xdr:row>
                    <xdr:rowOff>0</xdr:rowOff>
                  </from>
                  <to>
                    <xdr:col>7</xdr:col>
                    <xdr:colOff>0</xdr:colOff>
                    <xdr:row>4430</xdr:row>
                    <xdr:rowOff>161925</xdr:rowOff>
                  </to>
                </anchor>
              </controlPr>
            </control>
          </mc:Choice>
        </mc:AlternateContent>
        <mc:AlternateContent xmlns:mc="http://schemas.openxmlformats.org/markup-compatibility/2006">
          <mc:Choice Requires="x14">
            <control shapeId="12359" r:id="rId2623" name="Button 1095">
              <controlPr defaultSize="0" autoFill="0" autoLine="0" autoPict="0" macro="[0]!Sheet1.deleteRow">
                <anchor moveWithCells="1" sizeWithCells="1">
                  <from>
                    <xdr:col>6</xdr:col>
                    <xdr:colOff>0</xdr:colOff>
                    <xdr:row>4431</xdr:row>
                    <xdr:rowOff>0</xdr:rowOff>
                  </from>
                  <to>
                    <xdr:col>7</xdr:col>
                    <xdr:colOff>0</xdr:colOff>
                    <xdr:row>4431</xdr:row>
                    <xdr:rowOff>161925</xdr:rowOff>
                  </to>
                </anchor>
              </controlPr>
            </control>
          </mc:Choice>
        </mc:AlternateContent>
        <mc:AlternateContent xmlns:mc="http://schemas.openxmlformats.org/markup-compatibility/2006">
          <mc:Choice Requires="x14">
            <control shapeId="12358" r:id="rId2624" name="Button 1094">
              <controlPr defaultSize="0" autoFill="0" autoLine="0" autoPict="0" macro="[0]!Sheet1.deleteRow">
                <anchor moveWithCells="1" sizeWithCells="1">
                  <from>
                    <xdr:col>6</xdr:col>
                    <xdr:colOff>0</xdr:colOff>
                    <xdr:row>4432</xdr:row>
                    <xdr:rowOff>0</xdr:rowOff>
                  </from>
                  <to>
                    <xdr:col>7</xdr:col>
                    <xdr:colOff>0</xdr:colOff>
                    <xdr:row>4432</xdr:row>
                    <xdr:rowOff>161925</xdr:rowOff>
                  </to>
                </anchor>
              </controlPr>
            </control>
          </mc:Choice>
        </mc:AlternateContent>
        <mc:AlternateContent xmlns:mc="http://schemas.openxmlformats.org/markup-compatibility/2006">
          <mc:Choice Requires="x14">
            <control shapeId="12357" r:id="rId2625" name="Button 1093">
              <controlPr defaultSize="0" autoFill="0" autoLine="0" autoPict="0" macro="[0]!Sheet1.deleteRow">
                <anchor moveWithCells="1" sizeWithCells="1">
                  <from>
                    <xdr:col>6</xdr:col>
                    <xdr:colOff>0</xdr:colOff>
                    <xdr:row>4433</xdr:row>
                    <xdr:rowOff>0</xdr:rowOff>
                  </from>
                  <to>
                    <xdr:col>7</xdr:col>
                    <xdr:colOff>0</xdr:colOff>
                    <xdr:row>4433</xdr:row>
                    <xdr:rowOff>161925</xdr:rowOff>
                  </to>
                </anchor>
              </controlPr>
            </control>
          </mc:Choice>
        </mc:AlternateContent>
        <mc:AlternateContent xmlns:mc="http://schemas.openxmlformats.org/markup-compatibility/2006">
          <mc:Choice Requires="x14">
            <control shapeId="12356" r:id="rId2626" name="Button 1092">
              <controlPr defaultSize="0" autoFill="0" autoLine="0" autoPict="0" macro="[0]!Sheet1.deleteRow">
                <anchor moveWithCells="1" sizeWithCells="1">
                  <from>
                    <xdr:col>6</xdr:col>
                    <xdr:colOff>0</xdr:colOff>
                    <xdr:row>4434</xdr:row>
                    <xdr:rowOff>0</xdr:rowOff>
                  </from>
                  <to>
                    <xdr:col>7</xdr:col>
                    <xdr:colOff>0</xdr:colOff>
                    <xdr:row>4434</xdr:row>
                    <xdr:rowOff>161925</xdr:rowOff>
                  </to>
                </anchor>
              </controlPr>
            </control>
          </mc:Choice>
        </mc:AlternateContent>
        <mc:AlternateContent xmlns:mc="http://schemas.openxmlformats.org/markup-compatibility/2006">
          <mc:Choice Requires="x14">
            <control shapeId="12355" r:id="rId2627" name="Button 1091">
              <controlPr defaultSize="0" autoFill="0" autoLine="0" autoPict="0" macro="[0]!Sheet1.deleteRow">
                <anchor moveWithCells="1" sizeWithCells="1">
                  <from>
                    <xdr:col>6</xdr:col>
                    <xdr:colOff>0</xdr:colOff>
                    <xdr:row>4435</xdr:row>
                    <xdr:rowOff>0</xdr:rowOff>
                  </from>
                  <to>
                    <xdr:col>7</xdr:col>
                    <xdr:colOff>0</xdr:colOff>
                    <xdr:row>4435</xdr:row>
                    <xdr:rowOff>161925</xdr:rowOff>
                  </to>
                </anchor>
              </controlPr>
            </control>
          </mc:Choice>
        </mc:AlternateContent>
        <mc:AlternateContent xmlns:mc="http://schemas.openxmlformats.org/markup-compatibility/2006">
          <mc:Choice Requires="x14">
            <control shapeId="12354" r:id="rId2628" name="Button 1090">
              <controlPr defaultSize="0" autoFill="0" autoLine="0" autoPict="0" macro="[0]!Sheet1.deleteRow">
                <anchor moveWithCells="1" sizeWithCells="1">
                  <from>
                    <xdr:col>6</xdr:col>
                    <xdr:colOff>0</xdr:colOff>
                    <xdr:row>4436</xdr:row>
                    <xdr:rowOff>0</xdr:rowOff>
                  </from>
                  <to>
                    <xdr:col>7</xdr:col>
                    <xdr:colOff>0</xdr:colOff>
                    <xdr:row>4436</xdr:row>
                    <xdr:rowOff>161925</xdr:rowOff>
                  </to>
                </anchor>
              </controlPr>
            </control>
          </mc:Choice>
        </mc:AlternateContent>
        <mc:AlternateContent xmlns:mc="http://schemas.openxmlformats.org/markup-compatibility/2006">
          <mc:Choice Requires="x14">
            <control shapeId="12353" r:id="rId2629" name="Button 1089">
              <controlPr defaultSize="0" autoFill="0" autoLine="0" autoPict="0" macro="[0]!Sheet1.deleteRow">
                <anchor moveWithCells="1" sizeWithCells="1">
                  <from>
                    <xdr:col>6</xdr:col>
                    <xdr:colOff>0</xdr:colOff>
                    <xdr:row>4437</xdr:row>
                    <xdr:rowOff>0</xdr:rowOff>
                  </from>
                  <to>
                    <xdr:col>7</xdr:col>
                    <xdr:colOff>0</xdr:colOff>
                    <xdr:row>4437</xdr:row>
                    <xdr:rowOff>161925</xdr:rowOff>
                  </to>
                </anchor>
              </controlPr>
            </control>
          </mc:Choice>
        </mc:AlternateContent>
        <mc:AlternateContent xmlns:mc="http://schemas.openxmlformats.org/markup-compatibility/2006">
          <mc:Choice Requires="x14">
            <control shapeId="12352" r:id="rId2630" name="Button 1088">
              <controlPr defaultSize="0" autoFill="0" autoLine="0" autoPict="0" macro="[0]!Sheet1.deleteRow">
                <anchor moveWithCells="1" sizeWithCells="1">
                  <from>
                    <xdr:col>6</xdr:col>
                    <xdr:colOff>0</xdr:colOff>
                    <xdr:row>4438</xdr:row>
                    <xdr:rowOff>0</xdr:rowOff>
                  </from>
                  <to>
                    <xdr:col>7</xdr:col>
                    <xdr:colOff>0</xdr:colOff>
                    <xdr:row>4438</xdr:row>
                    <xdr:rowOff>161925</xdr:rowOff>
                  </to>
                </anchor>
              </controlPr>
            </control>
          </mc:Choice>
        </mc:AlternateContent>
        <mc:AlternateContent xmlns:mc="http://schemas.openxmlformats.org/markup-compatibility/2006">
          <mc:Choice Requires="x14">
            <control shapeId="12351" r:id="rId2631" name="Button 1087">
              <controlPr defaultSize="0" autoFill="0" autoLine="0" autoPict="0" macro="[0]!Sheet1.deleteRow">
                <anchor moveWithCells="1" sizeWithCells="1">
                  <from>
                    <xdr:col>6</xdr:col>
                    <xdr:colOff>0</xdr:colOff>
                    <xdr:row>4439</xdr:row>
                    <xdr:rowOff>0</xdr:rowOff>
                  </from>
                  <to>
                    <xdr:col>7</xdr:col>
                    <xdr:colOff>0</xdr:colOff>
                    <xdr:row>4439</xdr:row>
                    <xdr:rowOff>161925</xdr:rowOff>
                  </to>
                </anchor>
              </controlPr>
            </control>
          </mc:Choice>
        </mc:AlternateContent>
        <mc:AlternateContent xmlns:mc="http://schemas.openxmlformats.org/markup-compatibility/2006">
          <mc:Choice Requires="x14">
            <control shapeId="12350" r:id="rId2632" name="Button 1086">
              <controlPr defaultSize="0" autoFill="0" autoLine="0" autoPict="0" macro="[0]!Sheet1.deleteRow">
                <anchor moveWithCells="1" sizeWithCells="1">
                  <from>
                    <xdr:col>6</xdr:col>
                    <xdr:colOff>0</xdr:colOff>
                    <xdr:row>4440</xdr:row>
                    <xdr:rowOff>0</xdr:rowOff>
                  </from>
                  <to>
                    <xdr:col>7</xdr:col>
                    <xdr:colOff>0</xdr:colOff>
                    <xdr:row>4440</xdr:row>
                    <xdr:rowOff>161925</xdr:rowOff>
                  </to>
                </anchor>
              </controlPr>
            </control>
          </mc:Choice>
        </mc:AlternateContent>
        <mc:AlternateContent xmlns:mc="http://schemas.openxmlformats.org/markup-compatibility/2006">
          <mc:Choice Requires="x14">
            <control shapeId="12349" r:id="rId2633" name="Button 1085">
              <controlPr defaultSize="0" autoFill="0" autoLine="0" autoPict="0" macro="[0]!Sheet1.deleteRow">
                <anchor moveWithCells="1" sizeWithCells="1">
                  <from>
                    <xdr:col>6</xdr:col>
                    <xdr:colOff>0</xdr:colOff>
                    <xdr:row>4441</xdr:row>
                    <xdr:rowOff>0</xdr:rowOff>
                  </from>
                  <to>
                    <xdr:col>7</xdr:col>
                    <xdr:colOff>0</xdr:colOff>
                    <xdr:row>4441</xdr:row>
                    <xdr:rowOff>161925</xdr:rowOff>
                  </to>
                </anchor>
              </controlPr>
            </control>
          </mc:Choice>
        </mc:AlternateContent>
        <mc:AlternateContent xmlns:mc="http://schemas.openxmlformats.org/markup-compatibility/2006">
          <mc:Choice Requires="x14">
            <control shapeId="12348" r:id="rId2634" name="Button 1084">
              <controlPr defaultSize="0" autoFill="0" autoLine="0" autoPict="0" macro="[0]!Sheet1.deleteRow">
                <anchor moveWithCells="1" sizeWithCells="1">
                  <from>
                    <xdr:col>6</xdr:col>
                    <xdr:colOff>0</xdr:colOff>
                    <xdr:row>4442</xdr:row>
                    <xdr:rowOff>0</xdr:rowOff>
                  </from>
                  <to>
                    <xdr:col>7</xdr:col>
                    <xdr:colOff>0</xdr:colOff>
                    <xdr:row>4442</xdr:row>
                    <xdr:rowOff>161925</xdr:rowOff>
                  </to>
                </anchor>
              </controlPr>
            </control>
          </mc:Choice>
        </mc:AlternateContent>
        <mc:AlternateContent xmlns:mc="http://schemas.openxmlformats.org/markup-compatibility/2006">
          <mc:Choice Requires="x14">
            <control shapeId="12347" r:id="rId2635" name="Button 1083">
              <controlPr defaultSize="0" autoFill="0" autoLine="0" autoPict="0" macro="[0]!Sheet1.deleteRow">
                <anchor moveWithCells="1" sizeWithCells="1">
                  <from>
                    <xdr:col>6</xdr:col>
                    <xdr:colOff>0</xdr:colOff>
                    <xdr:row>4443</xdr:row>
                    <xdr:rowOff>0</xdr:rowOff>
                  </from>
                  <to>
                    <xdr:col>7</xdr:col>
                    <xdr:colOff>0</xdr:colOff>
                    <xdr:row>4443</xdr:row>
                    <xdr:rowOff>161925</xdr:rowOff>
                  </to>
                </anchor>
              </controlPr>
            </control>
          </mc:Choice>
        </mc:AlternateContent>
        <mc:AlternateContent xmlns:mc="http://schemas.openxmlformats.org/markup-compatibility/2006">
          <mc:Choice Requires="x14">
            <control shapeId="12346" r:id="rId2636" name="Button 1082">
              <controlPr defaultSize="0" autoFill="0" autoLine="0" autoPict="0" macro="[0]!Sheet1.deleteRow">
                <anchor moveWithCells="1" sizeWithCells="1">
                  <from>
                    <xdr:col>6</xdr:col>
                    <xdr:colOff>0</xdr:colOff>
                    <xdr:row>4444</xdr:row>
                    <xdr:rowOff>0</xdr:rowOff>
                  </from>
                  <to>
                    <xdr:col>7</xdr:col>
                    <xdr:colOff>0</xdr:colOff>
                    <xdr:row>4444</xdr:row>
                    <xdr:rowOff>161925</xdr:rowOff>
                  </to>
                </anchor>
              </controlPr>
            </control>
          </mc:Choice>
        </mc:AlternateContent>
        <mc:AlternateContent xmlns:mc="http://schemas.openxmlformats.org/markup-compatibility/2006">
          <mc:Choice Requires="x14">
            <control shapeId="12345" r:id="rId2637" name="Button 1081">
              <controlPr defaultSize="0" autoFill="0" autoLine="0" autoPict="0" macro="[0]!Sheet1.deleteRow">
                <anchor moveWithCells="1" sizeWithCells="1">
                  <from>
                    <xdr:col>6</xdr:col>
                    <xdr:colOff>0</xdr:colOff>
                    <xdr:row>4445</xdr:row>
                    <xdr:rowOff>0</xdr:rowOff>
                  </from>
                  <to>
                    <xdr:col>7</xdr:col>
                    <xdr:colOff>0</xdr:colOff>
                    <xdr:row>4445</xdr:row>
                    <xdr:rowOff>161925</xdr:rowOff>
                  </to>
                </anchor>
              </controlPr>
            </control>
          </mc:Choice>
        </mc:AlternateContent>
        <mc:AlternateContent xmlns:mc="http://schemas.openxmlformats.org/markup-compatibility/2006">
          <mc:Choice Requires="x14">
            <control shapeId="12344" r:id="rId2638" name="Button 1080">
              <controlPr defaultSize="0" autoFill="0" autoLine="0" autoPict="0" macro="[0]!Sheet1.deleteRow">
                <anchor moveWithCells="1" sizeWithCells="1">
                  <from>
                    <xdr:col>6</xdr:col>
                    <xdr:colOff>0</xdr:colOff>
                    <xdr:row>4446</xdr:row>
                    <xdr:rowOff>0</xdr:rowOff>
                  </from>
                  <to>
                    <xdr:col>7</xdr:col>
                    <xdr:colOff>0</xdr:colOff>
                    <xdr:row>4446</xdr:row>
                    <xdr:rowOff>161925</xdr:rowOff>
                  </to>
                </anchor>
              </controlPr>
            </control>
          </mc:Choice>
        </mc:AlternateContent>
        <mc:AlternateContent xmlns:mc="http://schemas.openxmlformats.org/markup-compatibility/2006">
          <mc:Choice Requires="x14">
            <control shapeId="12343" r:id="rId2639" name="Button 1079">
              <controlPr defaultSize="0" autoFill="0" autoLine="0" autoPict="0" macro="[0]!Sheet1.deleteRow">
                <anchor moveWithCells="1" sizeWithCells="1">
                  <from>
                    <xdr:col>6</xdr:col>
                    <xdr:colOff>0</xdr:colOff>
                    <xdr:row>4447</xdr:row>
                    <xdr:rowOff>0</xdr:rowOff>
                  </from>
                  <to>
                    <xdr:col>7</xdr:col>
                    <xdr:colOff>0</xdr:colOff>
                    <xdr:row>4447</xdr:row>
                    <xdr:rowOff>161925</xdr:rowOff>
                  </to>
                </anchor>
              </controlPr>
            </control>
          </mc:Choice>
        </mc:AlternateContent>
        <mc:AlternateContent xmlns:mc="http://schemas.openxmlformats.org/markup-compatibility/2006">
          <mc:Choice Requires="x14">
            <control shapeId="12342" r:id="rId2640" name="Button 1078">
              <controlPr defaultSize="0" autoFill="0" autoLine="0" autoPict="0" macro="[0]!Sheet1.deleteRow">
                <anchor moveWithCells="1" sizeWithCells="1">
                  <from>
                    <xdr:col>6</xdr:col>
                    <xdr:colOff>0</xdr:colOff>
                    <xdr:row>4448</xdr:row>
                    <xdr:rowOff>0</xdr:rowOff>
                  </from>
                  <to>
                    <xdr:col>7</xdr:col>
                    <xdr:colOff>0</xdr:colOff>
                    <xdr:row>4448</xdr:row>
                    <xdr:rowOff>161925</xdr:rowOff>
                  </to>
                </anchor>
              </controlPr>
            </control>
          </mc:Choice>
        </mc:AlternateContent>
        <mc:AlternateContent xmlns:mc="http://schemas.openxmlformats.org/markup-compatibility/2006">
          <mc:Choice Requires="x14">
            <control shapeId="12341" r:id="rId2641" name="Button 1077">
              <controlPr defaultSize="0" autoFill="0" autoLine="0" autoPict="0" macro="[0]!Sheet1.deleteProcedure">
                <anchor moveWithCells="1" sizeWithCells="1">
                  <from>
                    <xdr:col>6</xdr:col>
                    <xdr:colOff>0</xdr:colOff>
                    <xdr:row>4451</xdr:row>
                    <xdr:rowOff>0</xdr:rowOff>
                  </from>
                  <to>
                    <xdr:col>7</xdr:col>
                    <xdr:colOff>0</xdr:colOff>
                    <xdr:row>4452</xdr:row>
                    <xdr:rowOff>0</xdr:rowOff>
                  </to>
                </anchor>
              </controlPr>
            </control>
          </mc:Choice>
        </mc:AlternateContent>
        <mc:AlternateContent xmlns:mc="http://schemas.openxmlformats.org/markup-compatibility/2006">
          <mc:Choice Requires="x14">
            <control shapeId="12340" r:id="rId2642" name="Button 1076">
              <controlPr defaultSize="0" autoFill="0" autoLine="0" autoPict="0" macro="[0]!Sheet1.InsertNewTableRow">
                <anchor moveWithCells="1" sizeWithCells="1">
                  <from>
                    <xdr:col>6</xdr:col>
                    <xdr:colOff>0</xdr:colOff>
                    <xdr:row>4458</xdr:row>
                    <xdr:rowOff>0</xdr:rowOff>
                  </from>
                  <to>
                    <xdr:col>7</xdr:col>
                    <xdr:colOff>0</xdr:colOff>
                    <xdr:row>4458</xdr:row>
                    <xdr:rowOff>38100</xdr:rowOff>
                  </to>
                </anchor>
              </controlPr>
            </control>
          </mc:Choice>
        </mc:AlternateContent>
        <mc:AlternateContent xmlns:mc="http://schemas.openxmlformats.org/markup-compatibility/2006">
          <mc:Choice Requires="x14">
            <control shapeId="12339" r:id="rId2643" name="Button 1075">
              <controlPr defaultSize="0" autoFill="0" autoLine="0" autoPict="0" macro="[0]!Sheet1.deleteRow">
                <anchor moveWithCells="1" sizeWithCells="1">
                  <from>
                    <xdr:col>6</xdr:col>
                    <xdr:colOff>0</xdr:colOff>
                    <xdr:row>4459</xdr:row>
                    <xdr:rowOff>0</xdr:rowOff>
                  </from>
                  <to>
                    <xdr:col>7</xdr:col>
                    <xdr:colOff>0</xdr:colOff>
                    <xdr:row>4459</xdr:row>
                    <xdr:rowOff>161925</xdr:rowOff>
                  </to>
                </anchor>
              </controlPr>
            </control>
          </mc:Choice>
        </mc:AlternateContent>
        <mc:AlternateContent xmlns:mc="http://schemas.openxmlformats.org/markup-compatibility/2006">
          <mc:Choice Requires="x14">
            <control shapeId="12338" r:id="rId2644" name="Button 1074">
              <controlPr defaultSize="0" autoFill="0" autoLine="0" autoPict="0" macro="[0]!Sheet1.deleteRow">
                <anchor moveWithCells="1" sizeWithCells="1">
                  <from>
                    <xdr:col>6</xdr:col>
                    <xdr:colOff>0</xdr:colOff>
                    <xdr:row>4460</xdr:row>
                    <xdr:rowOff>0</xdr:rowOff>
                  </from>
                  <to>
                    <xdr:col>7</xdr:col>
                    <xdr:colOff>0</xdr:colOff>
                    <xdr:row>4460</xdr:row>
                    <xdr:rowOff>161925</xdr:rowOff>
                  </to>
                </anchor>
              </controlPr>
            </control>
          </mc:Choice>
        </mc:AlternateContent>
        <mc:AlternateContent xmlns:mc="http://schemas.openxmlformats.org/markup-compatibility/2006">
          <mc:Choice Requires="x14">
            <control shapeId="12337" r:id="rId2645" name="Button 1073">
              <controlPr defaultSize="0" autoFill="0" autoLine="0" autoPict="0" macro="[0]!Sheet1.deleteRow">
                <anchor moveWithCells="1" sizeWithCells="1">
                  <from>
                    <xdr:col>6</xdr:col>
                    <xdr:colOff>0</xdr:colOff>
                    <xdr:row>4461</xdr:row>
                    <xdr:rowOff>0</xdr:rowOff>
                  </from>
                  <to>
                    <xdr:col>7</xdr:col>
                    <xdr:colOff>0</xdr:colOff>
                    <xdr:row>4461</xdr:row>
                    <xdr:rowOff>161925</xdr:rowOff>
                  </to>
                </anchor>
              </controlPr>
            </control>
          </mc:Choice>
        </mc:AlternateContent>
        <mc:AlternateContent xmlns:mc="http://schemas.openxmlformats.org/markup-compatibility/2006">
          <mc:Choice Requires="x14">
            <control shapeId="12336" r:id="rId2646" name="Button 1072">
              <controlPr defaultSize="0" autoFill="0" autoLine="0" autoPict="0" macro="[0]!Sheet1.deleteRow">
                <anchor moveWithCells="1" sizeWithCells="1">
                  <from>
                    <xdr:col>6</xdr:col>
                    <xdr:colOff>0</xdr:colOff>
                    <xdr:row>4462</xdr:row>
                    <xdr:rowOff>0</xdr:rowOff>
                  </from>
                  <to>
                    <xdr:col>7</xdr:col>
                    <xdr:colOff>0</xdr:colOff>
                    <xdr:row>4462</xdr:row>
                    <xdr:rowOff>161925</xdr:rowOff>
                  </to>
                </anchor>
              </controlPr>
            </control>
          </mc:Choice>
        </mc:AlternateContent>
        <mc:AlternateContent xmlns:mc="http://schemas.openxmlformats.org/markup-compatibility/2006">
          <mc:Choice Requires="x14">
            <control shapeId="12335" r:id="rId2647" name="Button 1071">
              <controlPr defaultSize="0" autoFill="0" autoLine="0" autoPict="0" macro="[0]!Sheet1.deleteRow">
                <anchor moveWithCells="1" sizeWithCells="1">
                  <from>
                    <xdr:col>6</xdr:col>
                    <xdr:colOff>0</xdr:colOff>
                    <xdr:row>4463</xdr:row>
                    <xdr:rowOff>0</xdr:rowOff>
                  </from>
                  <to>
                    <xdr:col>7</xdr:col>
                    <xdr:colOff>0</xdr:colOff>
                    <xdr:row>4463</xdr:row>
                    <xdr:rowOff>161925</xdr:rowOff>
                  </to>
                </anchor>
              </controlPr>
            </control>
          </mc:Choice>
        </mc:AlternateContent>
        <mc:AlternateContent xmlns:mc="http://schemas.openxmlformats.org/markup-compatibility/2006">
          <mc:Choice Requires="x14">
            <control shapeId="12334" r:id="rId2648" name="Button 1070">
              <controlPr defaultSize="0" autoFill="0" autoLine="0" autoPict="0" macro="[0]!Sheet1.deleteRow">
                <anchor moveWithCells="1" sizeWithCells="1">
                  <from>
                    <xdr:col>6</xdr:col>
                    <xdr:colOff>0</xdr:colOff>
                    <xdr:row>4464</xdr:row>
                    <xdr:rowOff>0</xdr:rowOff>
                  </from>
                  <to>
                    <xdr:col>7</xdr:col>
                    <xdr:colOff>0</xdr:colOff>
                    <xdr:row>4464</xdr:row>
                    <xdr:rowOff>161925</xdr:rowOff>
                  </to>
                </anchor>
              </controlPr>
            </control>
          </mc:Choice>
        </mc:AlternateContent>
        <mc:AlternateContent xmlns:mc="http://schemas.openxmlformats.org/markup-compatibility/2006">
          <mc:Choice Requires="x14">
            <control shapeId="12333" r:id="rId2649" name="Button 1069">
              <controlPr defaultSize="0" autoFill="0" autoLine="0" autoPict="0" macro="[0]!Sheet1.deleteProcedure">
                <anchor moveWithCells="1" sizeWithCells="1">
                  <from>
                    <xdr:col>6</xdr:col>
                    <xdr:colOff>0</xdr:colOff>
                    <xdr:row>4467</xdr:row>
                    <xdr:rowOff>0</xdr:rowOff>
                  </from>
                  <to>
                    <xdr:col>7</xdr:col>
                    <xdr:colOff>0</xdr:colOff>
                    <xdr:row>4468</xdr:row>
                    <xdr:rowOff>0</xdr:rowOff>
                  </to>
                </anchor>
              </controlPr>
            </control>
          </mc:Choice>
        </mc:AlternateContent>
        <mc:AlternateContent xmlns:mc="http://schemas.openxmlformats.org/markup-compatibility/2006">
          <mc:Choice Requires="x14">
            <control shapeId="12332" r:id="rId2650" name="Button 1068">
              <controlPr defaultSize="0" autoFill="0" autoLine="0" autoPict="0" macro="[0]!Sheet1.InsertNewTableRow">
                <anchor moveWithCells="1" sizeWithCells="1">
                  <from>
                    <xdr:col>6</xdr:col>
                    <xdr:colOff>0</xdr:colOff>
                    <xdr:row>4474</xdr:row>
                    <xdr:rowOff>0</xdr:rowOff>
                  </from>
                  <to>
                    <xdr:col>7</xdr:col>
                    <xdr:colOff>0</xdr:colOff>
                    <xdr:row>4474</xdr:row>
                    <xdr:rowOff>38100</xdr:rowOff>
                  </to>
                </anchor>
              </controlPr>
            </control>
          </mc:Choice>
        </mc:AlternateContent>
        <mc:AlternateContent xmlns:mc="http://schemas.openxmlformats.org/markup-compatibility/2006">
          <mc:Choice Requires="x14">
            <control shapeId="12331" r:id="rId2651" name="Button 1067">
              <controlPr defaultSize="0" autoFill="0" autoLine="0" autoPict="0" macro="[0]!Sheet1.deleteRow">
                <anchor moveWithCells="1" sizeWithCells="1">
                  <from>
                    <xdr:col>6</xdr:col>
                    <xdr:colOff>0</xdr:colOff>
                    <xdr:row>4475</xdr:row>
                    <xdr:rowOff>0</xdr:rowOff>
                  </from>
                  <to>
                    <xdr:col>7</xdr:col>
                    <xdr:colOff>0</xdr:colOff>
                    <xdr:row>4475</xdr:row>
                    <xdr:rowOff>161925</xdr:rowOff>
                  </to>
                </anchor>
              </controlPr>
            </control>
          </mc:Choice>
        </mc:AlternateContent>
        <mc:AlternateContent xmlns:mc="http://schemas.openxmlformats.org/markup-compatibility/2006">
          <mc:Choice Requires="x14">
            <control shapeId="12330" r:id="rId2652" name="Button 1066">
              <controlPr defaultSize="0" autoFill="0" autoLine="0" autoPict="0" macro="[0]!Sheet1.deleteRow">
                <anchor moveWithCells="1" sizeWithCells="1">
                  <from>
                    <xdr:col>6</xdr:col>
                    <xdr:colOff>0</xdr:colOff>
                    <xdr:row>4476</xdr:row>
                    <xdr:rowOff>0</xdr:rowOff>
                  </from>
                  <to>
                    <xdr:col>7</xdr:col>
                    <xdr:colOff>0</xdr:colOff>
                    <xdr:row>4476</xdr:row>
                    <xdr:rowOff>161925</xdr:rowOff>
                  </to>
                </anchor>
              </controlPr>
            </control>
          </mc:Choice>
        </mc:AlternateContent>
        <mc:AlternateContent xmlns:mc="http://schemas.openxmlformats.org/markup-compatibility/2006">
          <mc:Choice Requires="x14">
            <control shapeId="12329" r:id="rId2653" name="Button 1065">
              <controlPr defaultSize="0" autoFill="0" autoLine="0" autoPict="0" macro="[0]!Sheet1.deleteRow">
                <anchor moveWithCells="1" sizeWithCells="1">
                  <from>
                    <xdr:col>6</xdr:col>
                    <xdr:colOff>0</xdr:colOff>
                    <xdr:row>4477</xdr:row>
                    <xdr:rowOff>0</xdr:rowOff>
                  </from>
                  <to>
                    <xdr:col>7</xdr:col>
                    <xdr:colOff>0</xdr:colOff>
                    <xdr:row>4477</xdr:row>
                    <xdr:rowOff>161925</xdr:rowOff>
                  </to>
                </anchor>
              </controlPr>
            </control>
          </mc:Choice>
        </mc:AlternateContent>
        <mc:AlternateContent xmlns:mc="http://schemas.openxmlformats.org/markup-compatibility/2006">
          <mc:Choice Requires="x14">
            <control shapeId="12328" r:id="rId2654" name="Button 1064">
              <controlPr defaultSize="0" autoFill="0" autoLine="0" autoPict="0" macro="[0]!Sheet1.deleteRow">
                <anchor moveWithCells="1" sizeWithCells="1">
                  <from>
                    <xdr:col>6</xdr:col>
                    <xdr:colOff>0</xdr:colOff>
                    <xdr:row>4478</xdr:row>
                    <xdr:rowOff>0</xdr:rowOff>
                  </from>
                  <to>
                    <xdr:col>7</xdr:col>
                    <xdr:colOff>0</xdr:colOff>
                    <xdr:row>4478</xdr:row>
                    <xdr:rowOff>161925</xdr:rowOff>
                  </to>
                </anchor>
              </controlPr>
            </control>
          </mc:Choice>
        </mc:AlternateContent>
        <mc:AlternateContent xmlns:mc="http://schemas.openxmlformats.org/markup-compatibility/2006">
          <mc:Choice Requires="x14">
            <control shapeId="12327" r:id="rId2655" name="Button 1063">
              <controlPr defaultSize="0" autoFill="0" autoLine="0" autoPict="0" macro="[0]!Sheet1.deleteRow">
                <anchor moveWithCells="1" sizeWithCells="1">
                  <from>
                    <xdr:col>6</xdr:col>
                    <xdr:colOff>0</xdr:colOff>
                    <xdr:row>4479</xdr:row>
                    <xdr:rowOff>0</xdr:rowOff>
                  </from>
                  <to>
                    <xdr:col>7</xdr:col>
                    <xdr:colOff>0</xdr:colOff>
                    <xdr:row>4479</xdr:row>
                    <xdr:rowOff>161925</xdr:rowOff>
                  </to>
                </anchor>
              </controlPr>
            </control>
          </mc:Choice>
        </mc:AlternateContent>
        <mc:AlternateContent xmlns:mc="http://schemas.openxmlformats.org/markup-compatibility/2006">
          <mc:Choice Requires="x14">
            <control shapeId="12326" r:id="rId2656" name="Button 1062">
              <controlPr defaultSize="0" autoFill="0" autoLine="0" autoPict="0" macro="[0]!Sheet1.deleteRow">
                <anchor moveWithCells="1" sizeWithCells="1">
                  <from>
                    <xdr:col>6</xdr:col>
                    <xdr:colOff>0</xdr:colOff>
                    <xdr:row>4480</xdr:row>
                    <xdr:rowOff>0</xdr:rowOff>
                  </from>
                  <to>
                    <xdr:col>7</xdr:col>
                    <xdr:colOff>0</xdr:colOff>
                    <xdr:row>4480</xdr:row>
                    <xdr:rowOff>161925</xdr:rowOff>
                  </to>
                </anchor>
              </controlPr>
            </control>
          </mc:Choice>
        </mc:AlternateContent>
        <mc:AlternateContent xmlns:mc="http://schemas.openxmlformats.org/markup-compatibility/2006">
          <mc:Choice Requires="x14">
            <control shapeId="12325" r:id="rId2657" name="Button 1061">
              <controlPr defaultSize="0" autoFill="0" autoLine="0" autoPict="0" macro="[0]!Sheet1.deleteRow">
                <anchor moveWithCells="1" sizeWithCells="1">
                  <from>
                    <xdr:col>6</xdr:col>
                    <xdr:colOff>0</xdr:colOff>
                    <xdr:row>4481</xdr:row>
                    <xdr:rowOff>0</xdr:rowOff>
                  </from>
                  <to>
                    <xdr:col>7</xdr:col>
                    <xdr:colOff>0</xdr:colOff>
                    <xdr:row>4481</xdr:row>
                    <xdr:rowOff>161925</xdr:rowOff>
                  </to>
                </anchor>
              </controlPr>
            </control>
          </mc:Choice>
        </mc:AlternateContent>
        <mc:AlternateContent xmlns:mc="http://schemas.openxmlformats.org/markup-compatibility/2006">
          <mc:Choice Requires="x14">
            <control shapeId="12324" r:id="rId2658" name="Button 1060">
              <controlPr defaultSize="0" autoFill="0" autoLine="0" autoPict="0" macro="[0]!Sheet1.deleteRow">
                <anchor moveWithCells="1" sizeWithCells="1">
                  <from>
                    <xdr:col>6</xdr:col>
                    <xdr:colOff>0</xdr:colOff>
                    <xdr:row>4482</xdr:row>
                    <xdr:rowOff>0</xdr:rowOff>
                  </from>
                  <to>
                    <xdr:col>7</xdr:col>
                    <xdr:colOff>0</xdr:colOff>
                    <xdr:row>4482</xdr:row>
                    <xdr:rowOff>161925</xdr:rowOff>
                  </to>
                </anchor>
              </controlPr>
            </control>
          </mc:Choice>
        </mc:AlternateContent>
        <mc:AlternateContent xmlns:mc="http://schemas.openxmlformats.org/markup-compatibility/2006">
          <mc:Choice Requires="x14">
            <control shapeId="12323" r:id="rId2659" name="Button 1059">
              <controlPr defaultSize="0" autoFill="0" autoLine="0" autoPict="0" macro="[0]!Sheet1.deleteRow">
                <anchor moveWithCells="1" sizeWithCells="1">
                  <from>
                    <xdr:col>6</xdr:col>
                    <xdr:colOff>0</xdr:colOff>
                    <xdr:row>4483</xdr:row>
                    <xdr:rowOff>0</xdr:rowOff>
                  </from>
                  <to>
                    <xdr:col>7</xdr:col>
                    <xdr:colOff>0</xdr:colOff>
                    <xdr:row>4483</xdr:row>
                    <xdr:rowOff>161925</xdr:rowOff>
                  </to>
                </anchor>
              </controlPr>
            </control>
          </mc:Choice>
        </mc:AlternateContent>
        <mc:AlternateContent xmlns:mc="http://schemas.openxmlformats.org/markup-compatibility/2006">
          <mc:Choice Requires="x14">
            <control shapeId="12322" r:id="rId2660" name="Button 1058">
              <controlPr defaultSize="0" autoFill="0" autoLine="0" autoPict="0" macro="[0]!Sheet1.deleteRow">
                <anchor moveWithCells="1" sizeWithCells="1">
                  <from>
                    <xdr:col>6</xdr:col>
                    <xdr:colOff>0</xdr:colOff>
                    <xdr:row>4484</xdr:row>
                    <xdr:rowOff>0</xdr:rowOff>
                  </from>
                  <to>
                    <xdr:col>7</xdr:col>
                    <xdr:colOff>0</xdr:colOff>
                    <xdr:row>4484</xdr:row>
                    <xdr:rowOff>161925</xdr:rowOff>
                  </to>
                </anchor>
              </controlPr>
            </control>
          </mc:Choice>
        </mc:AlternateContent>
        <mc:AlternateContent xmlns:mc="http://schemas.openxmlformats.org/markup-compatibility/2006">
          <mc:Choice Requires="x14">
            <control shapeId="12321" r:id="rId2661" name="Button 1057">
              <controlPr defaultSize="0" autoFill="0" autoLine="0" autoPict="0" macro="[0]!Sheet1.deleteRow">
                <anchor moveWithCells="1" sizeWithCells="1">
                  <from>
                    <xdr:col>6</xdr:col>
                    <xdr:colOff>0</xdr:colOff>
                    <xdr:row>4485</xdr:row>
                    <xdr:rowOff>0</xdr:rowOff>
                  </from>
                  <to>
                    <xdr:col>7</xdr:col>
                    <xdr:colOff>0</xdr:colOff>
                    <xdr:row>4485</xdr:row>
                    <xdr:rowOff>161925</xdr:rowOff>
                  </to>
                </anchor>
              </controlPr>
            </control>
          </mc:Choice>
        </mc:AlternateContent>
        <mc:AlternateContent xmlns:mc="http://schemas.openxmlformats.org/markup-compatibility/2006">
          <mc:Choice Requires="x14">
            <control shapeId="12320" r:id="rId2662" name="Button 1056">
              <controlPr defaultSize="0" autoFill="0" autoLine="0" autoPict="0" macro="[0]!Sheet1.deleteRow">
                <anchor moveWithCells="1" sizeWithCells="1">
                  <from>
                    <xdr:col>6</xdr:col>
                    <xdr:colOff>0</xdr:colOff>
                    <xdr:row>4486</xdr:row>
                    <xdr:rowOff>0</xdr:rowOff>
                  </from>
                  <to>
                    <xdr:col>7</xdr:col>
                    <xdr:colOff>0</xdr:colOff>
                    <xdr:row>4486</xdr:row>
                    <xdr:rowOff>161925</xdr:rowOff>
                  </to>
                </anchor>
              </controlPr>
            </control>
          </mc:Choice>
        </mc:AlternateContent>
        <mc:AlternateContent xmlns:mc="http://schemas.openxmlformats.org/markup-compatibility/2006">
          <mc:Choice Requires="x14">
            <control shapeId="12319" r:id="rId2663" name="Button 1055">
              <controlPr defaultSize="0" autoFill="0" autoLine="0" autoPict="0" macro="[0]!Sheet1.deleteRow">
                <anchor moveWithCells="1" sizeWithCells="1">
                  <from>
                    <xdr:col>6</xdr:col>
                    <xdr:colOff>0</xdr:colOff>
                    <xdr:row>4487</xdr:row>
                    <xdr:rowOff>0</xdr:rowOff>
                  </from>
                  <to>
                    <xdr:col>7</xdr:col>
                    <xdr:colOff>0</xdr:colOff>
                    <xdr:row>4487</xdr:row>
                    <xdr:rowOff>161925</xdr:rowOff>
                  </to>
                </anchor>
              </controlPr>
            </control>
          </mc:Choice>
        </mc:AlternateContent>
        <mc:AlternateContent xmlns:mc="http://schemas.openxmlformats.org/markup-compatibility/2006">
          <mc:Choice Requires="x14">
            <control shapeId="12318" r:id="rId2664" name="Button 1054">
              <controlPr defaultSize="0" autoFill="0" autoLine="0" autoPict="0" macro="[0]!Sheet1.deleteRow">
                <anchor moveWithCells="1" sizeWithCells="1">
                  <from>
                    <xdr:col>6</xdr:col>
                    <xdr:colOff>0</xdr:colOff>
                    <xdr:row>4488</xdr:row>
                    <xdr:rowOff>0</xdr:rowOff>
                  </from>
                  <to>
                    <xdr:col>7</xdr:col>
                    <xdr:colOff>0</xdr:colOff>
                    <xdr:row>4488</xdr:row>
                    <xdr:rowOff>161925</xdr:rowOff>
                  </to>
                </anchor>
              </controlPr>
            </control>
          </mc:Choice>
        </mc:AlternateContent>
        <mc:AlternateContent xmlns:mc="http://schemas.openxmlformats.org/markup-compatibility/2006">
          <mc:Choice Requires="x14">
            <control shapeId="12317" r:id="rId2665" name="Button 1053">
              <controlPr defaultSize="0" autoFill="0" autoLine="0" autoPict="0" macro="[0]!Sheet1.deleteRow">
                <anchor moveWithCells="1" sizeWithCells="1">
                  <from>
                    <xdr:col>6</xdr:col>
                    <xdr:colOff>0</xdr:colOff>
                    <xdr:row>4489</xdr:row>
                    <xdr:rowOff>0</xdr:rowOff>
                  </from>
                  <to>
                    <xdr:col>7</xdr:col>
                    <xdr:colOff>0</xdr:colOff>
                    <xdr:row>4489</xdr:row>
                    <xdr:rowOff>161925</xdr:rowOff>
                  </to>
                </anchor>
              </controlPr>
            </control>
          </mc:Choice>
        </mc:AlternateContent>
        <mc:AlternateContent xmlns:mc="http://schemas.openxmlformats.org/markup-compatibility/2006">
          <mc:Choice Requires="x14">
            <control shapeId="12316" r:id="rId2666" name="Button 1052">
              <controlPr defaultSize="0" autoFill="0" autoLine="0" autoPict="0" macro="[0]!Sheet1.deleteRow">
                <anchor moveWithCells="1" sizeWithCells="1">
                  <from>
                    <xdr:col>6</xdr:col>
                    <xdr:colOff>0</xdr:colOff>
                    <xdr:row>4490</xdr:row>
                    <xdr:rowOff>0</xdr:rowOff>
                  </from>
                  <to>
                    <xdr:col>7</xdr:col>
                    <xdr:colOff>0</xdr:colOff>
                    <xdr:row>4490</xdr:row>
                    <xdr:rowOff>161925</xdr:rowOff>
                  </to>
                </anchor>
              </controlPr>
            </control>
          </mc:Choice>
        </mc:AlternateContent>
        <mc:AlternateContent xmlns:mc="http://schemas.openxmlformats.org/markup-compatibility/2006">
          <mc:Choice Requires="x14">
            <control shapeId="12315" r:id="rId2667" name="Button 1051">
              <controlPr defaultSize="0" autoFill="0" autoLine="0" autoPict="0" macro="[0]!Sheet1.deleteRow">
                <anchor moveWithCells="1" sizeWithCells="1">
                  <from>
                    <xdr:col>6</xdr:col>
                    <xdr:colOff>0</xdr:colOff>
                    <xdr:row>4491</xdr:row>
                    <xdr:rowOff>0</xdr:rowOff>
                  </from>
                  <to>
                    <xdr:col>7</xdr:col>
                    <xdr:colOff>0</xdr:colOff>
                    <xdr:row>4491</xdr:row>
                    <xdr:rowOff>161925</xdr:rowOff>
                  </to>
                </anchor>
              </controlPr>
            </control>
          </mc:Choice>
        </mc:AlternateContent>
        <mc:AlternateContent xmlns:mc="http://schemas.openxmlformats.org/markup-compatibility/2006">
          <mc:Choice Requires="x14">
            <control shapeId="12314" r:id="rId2668" name="Button 1050">
              <controlPr defaultSize="0" autoFill="0" autoLine="0" autoPict="0" macro="[0]!Sheet1.deleteRow">
                <anchor moveWithCells="1" sizeWithCells="1">
                  <from>
                    <xdr:col>6</xdr:col>
                    <xdr:colOff>0</xdr:colOff>
                    <xdr:row>4492</xdr:row>
                    <xdr:rowOff>0</xdr:rowOff>
                  </from>
                  <to>
                    <xdr:col>7</xdr:col>
                    <xdr:colOff>0</xdr:colOff>
                    <xdr:row>4492</xdr:row>
                    <xdr:rowOff>161925</xdr:rowOff>
                  </to>
                </anchor>
              </controlPr>
            </control>
          </mc:Choice>
        </mc:AlternateContent>
        <mc:AlternateContent xmlns:mc="http://schemas.openxmlformats.org/markup-compatibility/2006">
          <mc:Choice Requires="x14">
            <control shapeId="12313" r:id="rId2669" name="Button 1049">
              <controlPr defaultSize="0" autoFill="0" autoLine="0" autoPict="0" macro="[0]!Sheet1.deleteRow">
                <anchor moveWithCells="1" sizeWithCells="1">
                  <from>
                    <xdr:col>6</xdr:col>
                    <xdr:colOff>0</xdr:colOff>
                    <xdr:row>4493</xdr:row>
                    <xdr:rowOff>0</xdr:rowOff>
                  </from>
                  <to>
                    <xdr:col>7</xdr:col>
                    <xdr:colOff>0</xdr:colOff>
                    <xdr:row>4493</xdr:row>
                    <xdr:rowOff>161925</xdr:rowOff>
                  </to>
                </anchor>
              </controlPr>
            </control>
          </mc:Choice>
        </mc:AlternateContent>
        <mc:AlternateContent xmlns:mc="http://schemas.openxmlformats.org/markup-compatibility/2006">
          <mc:Choice Requires="x14">
            <control shapeId="12312" r:id="rId2670" name="Button 1048">
              <controlPr defaultSize="0" autoFill="0" autoLine="0" autoPict="0" macro="[0]!Sheet1.deleteRow">
                <anchor moveWithCells="1" sizeWithCells="1">
                  <from>
                    <xdr:col>6</xdr:col>
                    <xdr:colOff>0</xdr:colOff>
                    <xdr:row>4494</xdr:row>
                    <xdr:rowOff>0</xdr:rowOff>
                  </from>
                  <to>
                    <xdr:col>7</xdr:col>
                    <xdr:colOff>0</xdr:colOff>
                    <xdr:row>4494</xdr:row>
                    <xdr:rowOff>161925</xdr:rowOff>
                  </to>
                </anchor>
              </controlPr>
            </control>
          </mc:Choice>
        </mc:AlternateContent>
        <mc:AlternateContent xmlns:mc="http://schemas.openxmlformats.org/markup-compatibility/2006">
          <mc:Choice Requires="x14">
            <control shapeId="12311" r:id="rId2671" name="Button 1047">
              <controlPr defaultSize="0" autoFill="0" autoLine="0" autoPict="0" macro="[0]!Sheet1.deleteRow">
                <anchor moveWithCells="1" sizeWithCells="1">
                  <from>
                    <xdr:col>6</xdr:col>
                    <xdr:colOff>0</xdr:colOff>
                    <xdr:row>4495</xdr:row>
                    <xdr:rowOff>0</xdr:rowOff>
                  </from>
                  <to>
                    <xdr:col>7</xdr:col>
                    <xdr:colOff>0</xdr:colOff>
                    <xdr:row>4495</xdr:row>
                    <xdr:rowOff>161925</xdr:rowOff>
                  </to>
                </anchor>
              </controlPr>
            </control>
          </mc:Choice>
        </mc:AlternateContent>
        <mc:AlternateContent xmlns:mc="http://schemas.openxmlformats.org/markup-compatibility/2006">
          <mc:Choice Requires="x14">
            <control shapeId="12310" r:id="rId2672" name="Button 1046">
              <controlPr defaultSize="0" autoFill="0" autoLine="0" autoPict="0" macro="[0]!Sheet1.deleteRow">
                <anchor moveWithCells="1" sizeWithCells="1">
                  <from>
                    <xdr:col>6</xdr:col>
                    <xdr:colOff>0</xdr:colOff>
                    <xdr:row>4496</xdr:row>
                    <xdr:rowOff>0</xdr:rowOff>
                  </from>
                  <to>
                    <xdr:col>7</xdr:col>
                    <xdr:colOff>0</xdr:colOff>
                    <xdr:row>4496</xdr:row>
                    <xdr:rowOff>161925</xdr:rowOff>
                  </to>
                </anchor>
              </controlPr>
            </control>
          </mc:Choice>
        </mc:AlternateContent>
        <mc:AlternateContent xmlns:mc="http://schemas.openxmlformats.org/markup-compatibility/2006">
          <mc:Choice Requires="x14">
            <control shapeId="12309" r:id="rId2673" name="Button 1045">
              <controlPr defaultSize="0" autoFill="0" autoLine="0" autoPict="0" macro="[0]!Sheet1.deleteRow">
                <anchor moveWithCells="1" sizeWithCells="1">
                  <from>
                    <xdr:col>6</xdr:col>
                    <xdr:colOff>0</xdr:colOff>
                    <xdr:row>4497</xdr:row>
                    <xdr:rowOff>0</xdr:rowOff>
                  </from>
                  <to>
                    <xdr:col>7</xdr:col>
                    <xdr:colOff>0</xdr:colOff>
                    <xdr:row>4497</xdr:row>
                    <xdr:rowOff>161925</xdr:rowOff>
                  </to>
                </anchor>
              </controlPr>
            </control>
          </mc:Choice>
        </mc:AlternateContent>
        <mc:AlternateContent xmlns:mc="http://schemas.openxmlformats.org/markup-compatibility/2006">
          <mc:Choice Requires="x14">
            <control shapeId="12308" r:id="rId2674" name="Button 1044">
              <controlPr defaultSize="0" autoFill="0" autoLine="0" autoPict="0" macro="[0]!Sheet1.deleteRow">
                <anchor moveWithCells="1" sizeWithCells="1">
                  <from>
                    <xdr:col>6</xdr:col>
                    <xdr:colOff>0</xdr:colOff>
                    <xdr:row>4498</xdr:row>
                    <xdr:rowOff>0</xdr:rowOff>
                  </from>
                  <to>
                    <xdr:col>7</xdr:col>
                    <xdr:colOff>0</xdr:colOff>
                    <xdr:row>4498</xdr:row>
                    <xdr:rowOff>161925</xdr:rowOff>
                  </to>
                </anchor>
              </controlPr>
            </control>
          </mc:Choice>
        </mc:AlternateContent>
        <mc:AlternateContent xmlns:mc="http://schemas.openxmlformats.org/markup-compatibility/2006">
          <mc:Choice Requires="x14">
            <control shapeId="12307" r:id="rId2675" name="Button 1043">
              <controlPr defaultSize="0" autoFill="0" autoLine="0" autoPict="0" macro="[0]!Sheet1.deleteRow">
                <anchor moveWithCells="1" sizeWithCells="1">
                  <from>
                    <xdr:col>6</xdr:col>
                    <xdr:colOff>0</xdr:colOff>
                    <xdr:row>4499</xdr:row>
                    <xdr:rowOff>0</xdr:rowOff>
                  </from>
                  <to>
                    <xdr:col>7</xdr:col>
                    <xdr:colOff>0</xdr:colOff>
                    <xdr:row>4499</xdr:row>
                    <xdr:rowOff>161925</xdr:rowOff>
                  </to>
                </anchor>
              </controlPr>
            </control>
          </mc:Choice>
        </mc:AlternateContent>
        <mc:AlternateContent xmlns:mc="http://schemas.openxmlformats.org/markup-compatibility/2006">
          <mc:Choice Requires="x14">
            <control shapeId="12306" r:id="rId2676" name="Button 1042">
              <controlPr defaultSize="0" autoFill="0" autoLine="0" autoPict="0" macro="[0]!Sheet1.deleteRow">
                <anchor moveWithCells="1" sizeWithCells="1">
                  <from>
                    <xdr:col>6</xdr:col>
                    <xdr:colOff>0</xdr:colOff>
                    <xdr:row>4500</xdr:row>
                    <xdr:rowOff>0</xdr:rowOff>
                  </from>
                  <to>
                    <xdr:col>7</xdr:col>
                    <xdr:colOff>0</xdr:colOff>
                    <xdr:row>4500</xdr:row>
                    <xdr:rowOff>161925</xdr:rowOff>
                  </to>
                </anchor>
              </controlPr>
            </control>
          </mc:Choice>
        </mc:AlternateContent>
        <mc:AlternateContent xmlns:mc="http://schemas.openxmlformats.org/markup-compatibility/2006">
          <mc:Choice Requires="x14">
            <control shapeId="12305" r:id="rId2677" name="Button 1041">
              <controlPr defaultSize="0" autoFill="0" autoLine="0" autoPict="0" macro="[0]!Sheet1.deleteRow">
                <anchor moveWithCells="1" sizeWithCells="1">
                  <from>
                    <xdr:col>6</xdr:col>
                    <xdr:colOff>0</xdr:colOff>
                    <xdr:row>4501</xdr:row>
                    <xdr:rowOff>0</xdr:rowOff>
                  </from>
                  <to>
                    <xdr:col>7</xdr:col>
                    <xdr:colOff>0</xdr:colOff>
                    <xdr:row>4501</xdr:row>
                    <xdr:rowOff>161925</xdr:rowOff>
                  </to>
                </anchor>
              </controlPr>
            </control>
          </mc:Choice>
        </mc:AlternateContent>
        <mc:AlternateContent xmlns:mc="http://schemas.openxmlformats.org/markup-compatibility/2006">
          <mc:Choice Requires="x14">
            <control shapeId="12304" r:id="rId2678" name="Button 1040">
              <controlPr defaultSize="0" autoFill="0" autoLine="0" autoPict="0" macro="[0]!Sheet1.deleteRow">
                <anchor moveWithCells="1" sizeWithCells="1">
                  <from>
                    <xdr:col>6</xdr:col>
                    <xdr:colOff>0</xdr:colOff>
                    <xdr:row>4502</xdr:row>
                    <xdr:rowOff>0</xdr:rowOff>
                  </from>
                  <to>
                    <xdr:col>7</xdr:col>
                    <xdr:colOff>0</xdr:colOff>
                    <xdr:row>4502</xdr:row>
                    <xdr:rowOff>161925</xdr:rowOff>
                  </to>
                </anchor>
              </controlPr>
            </control>
          </mc:Choice>
        </mc:AlternateContent>
        <mc:AlternateContent xmlns:mc="http://schemas.openxmlformats.org/markup-compatibility/2006">
          <mc:Choice Requires="x14">
            <control shapeId="12303" r:id="rId2679" name="Button 1039">
              <controlPr defaultSize="0" autoFill="0" autoLine="0" autoPict="0" macro="[0]!Sheet1.deleteRow">
                <anchor moveWithCells="1" sizeWithCells="1">
                  <from>
                    <xdr:col>6</xdr:col>
                    <xdr:colOff>0</xdr:colOff>
                    <xdr:row>4503</xdr:row>
                    <xdr:rowOff>0</xdr:rowOff>
                  </from>
                  <to>
                    <xdr:col>7</xdr:col>
                    <xdr:colOff>0</xdr:colOff>
                    <xdr:row>4503</xdr:row>
                    <xdr:rowOff>161925</xdr:rowOff>
                  </to>
                </anchor>
              </controlPr>
            </control>
          </mc:Choice>
        </mc:AlternateContent>
        <mc:AlternateContent xmlns:mc="http://schemas.openxmlformats.org/markup-compatibility/2006">
          <mc:Choice Requires="x14">
            <control shapeId="12302" r:id="rId2680" name="Button 1038">
              <controlPr defaultSize="0" autoFill="0" autoLine="0" autoPict="0" macro="[0]!Sheet1.deleteRow">
                <anchor moveWithCells="1" sizeWithCells="1">
                  <from>
                    <xdr:col>6</xdr:col>
                    <xdr:colOff>0</xdr:colOff>
                    <xdr:row>4504</xdr:row>
                    <xdr:rowOff>0</xdr:rowOff>
                  </from>
                  <to>
                    <xdr:col>7</xdr:col>
                    <xdr:colOff>0</xdr:colOff>
                    <xdr:row>4504</xdr:row>
                    <xdr:rowOff>161925</xdr:rowOff>
                  </to>
                </anchor>
              </controlPr>
            </control>
          </mc:Choice>
        </mc:AlternateContent>
        <mc:AlternateContent xmlns:mc="http://schemas.openxmlformats.org/markup-compatibility/2006">
          <mc:Choice Requires="x14">
            <control shapeId="12301" r:id="rId2681" name="Button 1037">
              <controlPr defaultSize="0" autoFill="0" autoLine="0" autoPict="0" macro="[0]!Sheet1.deleteRow">
                <anchor moveWithCells="1" sizeWithCells="1">
                  <from>
                    <xdr:col>6</xdr:col>
                    <xdr:colOff>0</xdr:colOff>
                    <xdr:row>4505</xdr:row>
                    <xdr:rowOff>0</xdr:rowOff>
                  </from>
                  <to>
                    <xdr:col>7</xdr:col>
                    <xdr:colOff>0</xdr:colOff>
                    <xdr:row>4505</xdr:row>
                    <xdr:rowOff>161925</xdr:rowOff>
                  </to>
                </anchor>
              </controlPr>
            </control>
          </mc:Choice>
        </mc:AlternateContent>
        <mc:AlternateContent xmlns:mc="http://schemas.openxmlformats.org/markup-compatibility/2006">
          <mc:Choice Requires="x14">
            <control shapeId="12300" r:id="rId2682" name="Button 1036">
              <controlPr defaultSize="0" autoFill="0" autoLine="0" autoPict="0" macro="[0]!Sheet1.deleteRow">
                <anchor moveWithCells="1" sizeWithCells="1">
                  <from>
                    <xdr:col>6</xdr:col>
                    <xdr:colOff>0</xdr:colOff>
                    <xdr:row>4506</xdr:row>
                    <xdr:rowOff>0</xdr:rowOff>
                  </from>
                  <to>
                    <xdr:col>7</xdr:col>
                    <xdr:colOff>0</xdr:colOff>
                    <xdr:row>4506</xdr:row>
                    <xdr:rowOff>161925</xdr:rowOff>
                  </to>
                </anchor>
              </controlPr>
            </control>
          </mc:Choice>
        </mc:AlternateContent>
        <mc:AlternateContent xmlns:mc="http://schemas.openxmlformats.org/markup-compatibility/2006">
          <mc:Choice Requires="x14">
            <control shapeId="12299" r:id="rId2683" name="Button 1035">
              <controlPr defaultSize="0" autoFill="0" autoLine="0" autoPict="0" macro="[0]!Sheet1.deleteRow">
                <anchor moveWithCells="1" sizeWithCells="1">
                  <from>
                    <xdr:col>6</xdr:col>
                    <xdr:colOff>0</xdr:colOff>
                    <xdr:row>4507</xdr:row>
                    <xdr:rowOff>0</xdr:rowOff>
                  </from>
                  <to>
                    <xdr:col>7</xdr:col>
                    <xdr:colOff>0</xdr:colOff>
                    <xdr:row>4507</xdr:row>
                    <xdr:rowOff>161925</xdr:rowOff>
                  </to>
                </anchor>
              </controlPr>
            </control>
          </mc:Choice>
        </mc:AlternateContent>
        <mc:AlternateContent xmlns:mc="http://schemas.openxmlformats.org/markup-compatibility/2006">
          <mc:Choice Requires="x14">
            <control shapeId="12298" r:id="rId2684" name="Button 1034">
              <controlPr defaultSize="0" autoFill="0" autoLine="0" autoPict="0" macro="[0]!Sheet1.deleteProcedure">
                <anchor moveWithCells="1" sizeWithCells="1">
                  <from>
                    <xdr:col>6</xdr:col>
                    <xdr:colOff>0</xdr:colOff>
                    <xdr:row>4510</xdr:row>
                    <xdr:rowOff>0</xdr:rowOff>
                  </from>
                  <to>
                    <xdr:col>7</xdr:col>
                    <xdr:colOff>0</xdr:colOff>
                    <xdr:row>4511</xdr:row>
                    <xdr:rowOff>0</xdr:rowOff>
                  </to>
                </anchor>
              </controlPr>
            </control>
          </mc:Choice>
        </mc:AlternateContent>
        <mc:AlternateContent xmlns:mc="http://schemas.openxmlformats.org/markup-compatibility/2006">
          <mc:Choice Requires="x14">
            <control shapeId="12297" r:id="rId2685" name="Button 1033">
              <controlPr defaultSize="0" autoFill="0" autoLine="0" autoPict="0" macro="[0]!Sheet1.InsertNewTableRow">
                <anchor moveWithCells="1" sizeWithCells="1">
                  <from>
                    <xdr:col>6</xdr:col>
                    <xdr:colOff>0</xdr:colOff>
                    <xdr:row>4517</xdr:row>
                    <xdr:rowOff>0</xdr:rowOff>
                  </from>
                  <to>
                    <xdr:col>7</xdr:col>
                    <xdr:colOff>0</xdr:colOff>
                    <xdr:row>4517</xdr:row>
                    <xdr:rowOff>38100</xdr:rowOff>
                  </to>
                </anchor>
              </controlPr>
            </control>
          </mc:Choice>
        </mc:AlternateContent>
        <mc:AlternateContent xmlns:mc="http://schemas.openxmlformats.org/markup-compatibility/2006">
          <mc:Choice Requires="x14">
            <control shapeId="12296" r:id="rId2686" name="Button 1032">
              <controlPr defaultSize="0" autoFill="0" autoLine="0" autoPict="0" macro="[0]!Sheet1.deleteRow">
                <anchor moveWithCells="1" sizeWithCells="1">
                  <from>
                    <xdr:col>6</xdr:col>
                    <xdr:colOff>0</xdr:colOff>
                    <xdr:row>4518</xdr:row>
                    <xdr:rowOff>0</xdr:rowOff>
                  </from>
                  <to>
                    <xdr:col>7</xdr:col>
                    <xdr:colOff>0</xdr:colOff>
                    <xdr:row>4518</xdr:row>
                    <xdr:rowOff>161925</xdr:rowOff>
                  </to>
                </anchor>
              </controlPr>
            </control>
          </mc:Choice>
        </mc:AlternateContent>
        <mc:AlternateContent xmlns:mc="http://schemas.openxmlformats.org/markup-compatibility/2006">
          <mc:Choice Requires="x14">
            <control shapeId="12295" r:id="rId2687" name="Button 1031">
              <controlPr defaultSize="0" autoFill="0" autoLine="0" autoPict="0" macro="[0]!Sheet1.deleteProcedure">
                <anchor moveWithCells="1" sizeWithCells="1">
                  <from>
                    <xdr:col>6</xdr:col>
                    <xdr:colOff>0</xdr:colOff>
                    <xdr:row>4521</xdr:row>
                    <xdr:rowOff>0</xdr:rowOff>
                  </from>
                  <to>
                    <xdr:col>7</xdr:col>
                    <xdr:colOff>0</xdr:colOff>
                    <xdr:row>4522</xdr:row>
                    <xdr:rowOff>0</xdr:rowOff>
                  </to>
                </anchor>
              </controlPr>
            </control>
          </mc:Choice>
        </mc:AlternateContent>
        <mc:AlternateContent xmlns:mc="http://schemas.openxmlformats.org/markup-compatibility/2006">
          <mc:Choice Requires="x14">
            <control shapeId="12294" r:id="rId2688" name="Button 1030">
              <controlPr defaultSize="0" autoFill="0" autoLine="0" autoPict="0" macro="[0]!Sheet1.InsertNewTableRow">
                <anchor moveWithCells="1" sizeWithCells="1">
                  <from>
                    <xdr:col>6</xdr:col>
                    <xdr:colOff>0</xdr:colOff>
                    <xdr:row>4528</xdr:row>
                    <xdr:rowOff>0</xdr:rowOff>
                  </from>
                  <to>
                    <xdr:col>7</xdr:col>
                    <xdr:colOff>0</xdr:colOff>
                    <xdr:row>4528</xdr:row>
                    <xdr:rowOff>38100</xdr:rowOff>
                  </to>
                </anchor>
              </controlPr>
            </control>
          </mc:Choice>
        </mc:AlternateContent>
        <mc:AlternateContent xmlns:mc="http://schemas.openxmlformats.org/markup-compatibility/2006">
          <mc:Choice Requires="x14">
            <control shapeId="12293" r:id="rId2689" name="Button 1029">
              <controlPr defaultSize="0" autoFill="0" autoLine="0" autoPict="0" macro="[0]!Sheet1.deleteRow">
                <anchor moveWithCells="1" sizeWithCells="1">
                  <from>
                    <xdr:col>6</xdr:col>
                    <xdr:colOff>0</xdr:colOff>
                    <xdr:row>4529</xdr:row>
                    <xdr:rowOff>0</xdr:rowOff>
                  </from>
                  <to>
                    <xdr:col>7</xdr:col>
                    <xdr:colOff>0</xdr:colOff>
                    <xdr:row>4529</xdr:row>
                    <xdr:rowOff>161925</xdr:rowOff>
                  </to>
                </anchor>
              </controlPr>
            </control>
          </mc:Choice>
        </mc:AlternateContent>
        <mc:AlternateContent xmlns:mc="http://schemas.openxmlformats.org/markup-compatibility/2006">
          <mc:Choice Requires="x14">
            <control shapeId="12290" r:id="rId2690" name="Button 1026">
              <controlPr defaultSize="0" autoFill="0" autoLine="0" autoPict="0" macro="[0]!Sheet1.CopyNewProcedure">
                <anchor moveWithCells="1" sizeWithCells="1">
                  <from>
                    <xdr:col>0</xdr:col>
                    <xdr:colOff>0</xdr:colOff>
                    <xdr:row>4534</xdr:row>
                    <xdr:rowOff>0</xdr:rowOff>
                  </from>
                  <to>
                    <xdr:col>1</xdr:col>
                    <xdr:colOff>809625</xdr:colOff>
                    <xdr:row>4535</xdr:row>
                    <xdr:rowOff>114300</xdr:rowOff>
                  </to>
                </anchor>
              </controlPr>
            </control>
          </mc:Choice>
        </mc:AlternateContent>
      </controls>
    </mc:Choice>
  </mc:AlternateContent>
  <tableParts count="229">
    <tablePart r:id="rId2691"/>
    <tablePart r:id="rId2692"/>
    <tablePart r:id="rId2693"/>
    <tablePart r:id="rId2694"/>
    <tablePart r:id="rId2695"/>
    <tablePart r:id="rId2696"/>
    <tablePart r:id="rId2697"/>
    <tablePart r:id="rId2698"/>
    <tablePart r:id="rId2699"/>
    <tablePart r:id="rId2700"/>
    <tablePart r:id="rId2701"/>
    <tablePart r:id="rId2702"/>
    <tablePart r:id="rId2703"/>
    <tablePart r:id="rId2704"/>
    <tablePart r:id="rId2705"/>
    <tablePart r:id="rId2706"/>
    <tablePart r:id="rId2707"/>
    <tablePart r:id="rId2708"/>
    <tablePart r:id="rId2709"/>
    <tablePart r:id="rId2710"/>
    <tablePart r:id="rId2711"/>
    <tablePart r:id="rId2712"/>
    <tablePart r:id="rId2713"/>
    <tablePart r:id="rId2714"/>
    <tablePart r:id="rId2715"/>
    <tablePart r:id="rId2716"/>
    <tablePart r:id="rId2717"/>
    <tablePart r:id="rId2718"/>
    <tablePart r:id="rId2719"/>
    <tablePart r:id="rId2720"/>
    <tablePart r:id="rId2721"/>
    <tablePart r:id="rId2722"/>
    <tablePart r:id="rId2723"/>
    <tablePart r:id="rId2724"/>
    <tablePart r:id="rId2725"/>
    <tablePart r:id="rId2726"/>
    <tablePart r:id="rId2727"/>
    <tablePart r:id="rId2728"/>
    <tablePart r:id="rId2729"/>
    <tablePart r:id="rId2730"/>
    <tablePart r:id="rId2731"/>
    <tablePart r:id="rId2732"/>
    <tablePart r:id="rId2733"/>
    <tablePart r:id="rId2734"/>
    <tablePart r:id="rId2735"/>
    <tablePart r:id="rId2736"/>
    <tablePart r:id="rId2737"/>
    <tablePart r:id="rId2738"/>
    <tablePart r:id="rId2739"/>
    <tablePart r:id="rId2740"/>
    <tablePart r:id="rId2741"/>
    <tablePart r:id="rId2742"/>
    <tablePart r:id="rId2743"/>
    <tablePart r:id="rId2744"/>
    <tablePart r:id="rId2745"/>
    <tablePart r:id="rId2746"/>
    <tablePart r:id="rId2747"/>
    <tablePart r:id="rId2748"/>
    <tablePart r:id="rId2749"/>
    <tablePart r:id="rId2750"/>
    <tablePart r:id="rId2751"/>
    <tablePart r:id="rId2752"/>
    <tablePart r:id="rId2753"/>
    <tablePart r:id="rId2754"/>
    <tablePart r:id="rId2755"/>
    <tablePart r:id="rId2756"/>
    <tablePart r:id="rId2757"/>
    <tablePart r:id="rId2758"/>
    <tablePart r:id="rId2759"/>
    <tablePart r:id="rId2760"/>
    <tablePart r:id="rId2761"/>
    <tablePart r:id="rId2762"/>
    <tablePart r:id="rId2763"/>
    <tablePart r:id="rId2764"/>
    <tablePart r:id="rId2765"/>
    <tablePart r:id="rId2766"/>
    <tablePart r:id="rId2767"/>
    <tablePart r:id="rId2768"/>
    <tablePart r:id="rId2769"/>
    <tablePart r:id="rId2770"/>
    <tablePart r:id="rId2771"/>
    <tablePart r:id="rId2772"/>
    <tablePart r:id="rId2773"/>
    <tablePart r:id="rId2774"/>
    <tablePart r:id="rId2775"/>
    <tablePart r:id="rId2776"/>
    <tablePart r:id="rId2777"/>
    <tablePart r:id="rId2778"/>
    <tablePart r:id="rId2779"/>
    <tablePart r:id="rId2780"/>
    <tablePart r:id="rId2781"/>
    <tablePart r:id="rId2782"/>
    <tablePart r:id="rId2783"/>
    <tablePart r:id="rId2784"/>
    <tablePart r:id="rId2785"/>
    <tablePart r:id="rId2786"/>
    <tablePart r:id="rId2787"/>
    <tablePart r:id="rId2788"/>
    <tablePart r:id="rId2789"/>
    <tablePart r:id="rId2790"/>
    <tablePart r:id="rId2791"/>
    <tablePart r:id="rId2792"/>
    <tablePart r:id="rId2793"/>
    <tablePart r:id="rId2794"/>
    <tablePart r:id="rId2795"/>
    <tablePart r:id="rId2796"/>
    <tablePart r:id="rId2797"/>
    <tablePart r:id="rId2798"/>
    <tablePart r:id="rId2799"/>
    <tablePart r:id="rId2800"/>
    <tablePart r:id="rId2801"/>
    <tablePart r:id="rId2802"/>
    <tablePart r:id="rId2803"/>
    <tablePart r:id="rId2804"/>
    <tablePart r:id="rId2805"/>
    <tablePart r:id="rId2806"/>
    <tablePart r:id="rId2807"/>
    <tablePart r:id="rId2808"/>
    <tablePart r:id="rId2809"/>
    <tablePart r:id="rId2810"/>
    <tablePart r:id="rId2811"/>
    <tablePart r:id="rId2812"/>
    <tablePart r:id="rId2813"/>
    <tablePart r:id="rId2814"/>
    <tablePart r:id="rId2815"/>
    <tablePart r:id="rId2816"/>
    <tablePart r:id="rId2817"/>
    <tablePart r:id="rId2818"/>
    <tablePart r:id="rId2819"/>
    <tablePart r:id="rId2820"/>
    <tablePart r:id="rId2821"/>
    <tablePart r:id="rId2822"/>
    <tablePart r:id="rId2823"/>
    <tablePart r:id="rId2824"/>
    <tablePart r:id="rId2825"/>
    <tablePart r:id="rId2826"/>
    <tablePart r:id="rId2827"/>
    <tablePart r:id="rId2828"/>
    <tablePart r:id="rId2829"/>
    <tablePart r:id="rId2830"/>
    <tablePart r:id="rId2831"/>
    <tablePart r:id="rId2832"/>
    <tablePart r:id="rId2833"/>
    <tablePart r:id="rId2834"/>
    <tablePart r:id="rId2835"/>
    <tablePart r:id="rId2836"/>
    <tablePart r:id="rId2837"/>
    <tablePart r:id="rId2838"/>
    <tablePart r:id="rId2839"/>
    <tablePart r:id="rId2840"/>
    <tablePart r:id="rId2841"/>
    <tablePart r:id="rId2842"/>
    <tablePart r:id="rId2843"/>
    <tablePart r:id="rId2844"/>
    <tablePart r:id="rId2845"/>
    <tablePart r:id="rId2846"/>
    <tablePart r:id="rId2847"/>
    <tablePart r:id="rId2848"/>
    <tablePart r:id="rId2849"/>
    <tablePart r:id="rId2850"/>
    <tablePart r:id="rId2851"/>
    <tablePart r:id="rId2852"/>
    <tablePart r:id="rId2853"/>
    <tablePart r:id="rId2854"/>
    <tablePart r:id="rId2855"/>
    <tablePart r:id="rId2856"/>
    <tablePart r:id="rId2857"/>
    <tablePart r:id="rId2858"/>
    <tablePart r:id="rId2859"/>
    <tablePart r:id="rId2860"/>
    <tablePart r:id="rId2861"/>
    <tablePart r:id="rId2862"/>
    <tablePart r:id="rId2863"/>
    <tablePart r:id="rId2864"/>
    <tablePart r:id="rId2865"/>
    <tablePart r:id="rId2866"/>
    <tablePart r:id="rId2867"/>
    <tablePart r:id="rId2868"/>
    <tablePart r:id="rId2869"/>
    <tablePart r:id="rId2870"/>
    <tablePart r:id="rId2871"/>
    <tablePart r:id="rId2872"/>
    <tablePart r:id="rId2873"/>
    <tablePart r:id="rId2874"/>
    <tablePart r:id="rId2875"/>
    <tablePart r:id="rId2876"/>
    <tablePart r:id="rId2877"/>
    <tablePart r:id="rId2878"/>
    <tablePart r:id="rId2879"/>
    <tablePart r:id="rId2880"/>
    <tablePart r:id="rId2881"/>
    <tablePart r:id="rId2882"/>
    <tablePart r:id="rId2883"/>
    <tablePart r:id="rId2884"/>
    <tablePart r:id="rId2885"/>
    <tablePart r:id="rId2886"/>
    <tablePart r:id="rId2887"/>
    <tablePart r:id="rId2888"/>
    <tablePart r:id="rId2889"/>
    <tablePart r:id="rId2890"/>
    <tablePart r:id="rId2891"/>
    <tablePart r:id="rId2892"/>
    <tablePart r:id="rId2893"/>
    <tablePart r:id="rId2894"/>
    <tablePart r:id="rId2895"/>
    <tablePart r:id="rId2896"/>
    <tablePart r:id="rId2897"/>
    <tablePart r:id="rId2898"/>
    <tablePart r:id="rId2899"/>
    <tablePart r:id="rId2900"/>
    <tablePart r:id="rId2901"/>
    <tablePart r:id="rId2902"/>
    <tablePart r:id="rId2903"/>
    <tablePart r:id="rId2904"/>
    <tablePart r:id="rId2905"/>
    <tablePart r:id="rId2906"/>
    <tablePart r:id="rId2907"/>
    <tablePart r:id="rId2908"/>
    <tablePart r:id="rId2909"/>
    <tablePart r:id="rId2910"/>
    <tablePart r:id="rId2911"/>
    <tablePart r:id="rId2912"/>
    <tablePart r:id="rId2913"/>
    <tablePart r:id="rId2914"/>
    <tablePart r:id="rId2915"/>
    <tablePart r:id="rId2916"/>
    <tablePart r:id="rId2917"/>
    <tablePart r:id="rId2918"/>
    <tablePart r:id="rId2919"/>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C4523 C4512 C4469 C4453 C4386 C4372 C4318 C4265 C4211 C4157 C4146 C4131 C4077 C4043 C4032 C4008 C3997 C3983 C3891 C3880 C3862 C3851 C3821 C3810 C3798 C3787 C3776 C3764 C3711 C3697 C3685 C3559 C3548 C3537 C3525 C3514 C3503 C3492 C3481 C3470 C3458 C3446 C3435 C3423 C3411 C3399 C3388 C3377 C3366 C3355 C3344 C3333 C3322 C3311 C3300 C3289 C3278 C3267 C3245 C3234 C3221 C3209 C3148 C3134 C3123 C3112 C3093 C3082 C3066 C3040 C3028 C3017 C3005 C2984 C2940 C2914 C2849 C2836 C2825 C2809 C2797 C2786 C2775 C2741 C2730 C2719 C2706 C2693 C2611 C2591 C2579 C2568 C2555 C2544 C2533 C2522 C2509 C2486 C2475 C2464 C2453 C2419 C2408 C2394 C2383 C2372 C2353 C2342 C2331 C2319 C2298 C2273 C2262 C2251 C2240 C2228 C2217 C2206 C2195 C2144 C2133 C2122 C2111 C2100 C2089 C2078 C2067 C2056 C2045 C2034 C2023 C2012 C1999 C1988 C1977 C1961 C1939 C1918 C1907 C1896 C1883 C1872 C1857 C1845 C1828 C1802 C1759 C1690 C1679 C1645 C1634 C1623 C1609 C1590 C1566 C1555 C1540 C1523 C1493 C1482 C1463 C1452 C1435 C1424 C1413 C1402 C1391 C1380 C1369 C1358 C1345 C1334 C1318 C1293 C1273 C1223 C1212 C1201 C1179 C1164 C1153 C1138 C1126 C1100 C1042 C1027 C1016 C1005 C993 C982 C968 C957 C946 C919 C906 C894 C882 C870 C859 C843 C783 C765 C727 C712 C667 C618 C607 C578 C525 C438 C397 C377 C322 C311 C281 C270 C259 C248 C175 C155 C144 C122 C105 C71 C60 C49 C38 C27</xm:sqref>
        </x14:dataValidation>
        <x14:dataValidation type="list" allowBlank="1" showInputMessage="1" showErrorMessage="1" xr:uid="{00000000-0002-0000-0100-000004000000}">
          <x14:formula1>
            <xm:f>'Informacion '!$L$3:$L$17</xm:f>
          </x14:formula1>
          <xm:sqref>D16 D4523 D4512 D4469 D4453 D4386 D4372 D4318 D4265 D4211 D4157 D4146 D4131 D4077 D4043 D4032 D4008 D3997 D3983 D3891 D3880 D3862 D3851 D3821 D3810 D3798 D3787 D3776 D3764 D3711 D3697 D3685 D3559 D3548 D3537 D3525 D3514 D3503 D3492 D3481 D3470 D3458 D3446 D3435 D3423 D3411 D3399 D3388 D3377 D3366 D3355 D3344 D3333 D3322 D3311 D3300 D3289 D3278 D3267 D3245 D3234 D3221 D3209 D3148 D3134 D3123 D3112 D3093 D3082 D3066 D3040 D3028 D3017 D3005 D2984 D2940 D2914 D2849 D2836 D2825 D2809 D2797 D2786 D2775 D2741 D2730 D2719 D2706 D2693 D2611 D2591 D2579 D2568 D2555 D2544 D2533 D2522 D2509 D2486 D2475 D2464 D2453 D2419 D2408 D2394 D2383 D2372 D2353 D2342 D2331 D2319 D2298 D2273 D2262 D2251 D2240 D2228 D2217 D2206 D2195 D2144 D2133 D2122 D2111 D2100 D2089 D2078 D2067 D2056 D2045 D2034 D2023 D2012 D1999 D1988 D1977 D1961 D1939 D1918 D1907 D1896 D1883 D1872 D1857 D1845 D1828 D1802 D1759 D1690 D1679 D1645 D1634 D1623 D1609 D1590 D1566 D1555 D1540 D1523 D1493 D1482 D1463 D1452 D1435 D1424 D1413 D1402 D1391 D1380 D1369 D1358 D1345 D1334 D1318 D1293 D1273 D1223 D1212 D1201 D1179 D1164 D1153 D1138 D1126 D1100 D1042 D1027 D1016 D1005 D993 D982 D968 D957 D946 D919 D906 D894 D882 D870 D859 D843 D783 D765 D727 D712 D667 D618 D607 D578 D525 D438 D397 D377 D322 D311 D281 D270 D259 D248 D175 D155 D144 D122 D105 D71 D60 D49 D38 D27</xm:sqref>
        </x14:dataValidation>
        <x14:dataValidation type="list" allowBlank="1" showInputMessage="1" showErrorMessage="1" xr:uid="{00000000-0002-0000-0100-000005000000}">
          <x14:formula1>
            <xm:f>'Informacion '!$N$3:$N$5</xm:f>
          </x14:formula1>
          <xm:sqref>E16 E4523 E4512 E4469 E4453 E4386 E4372 E4318 E4265 E4211 E4157 E4146 E4131 E4077 E4043 E4032 E4008 E3997 E3983 E3891 E3880 E3862 E3851 E3821 E3810 E3798 E3787 E3776 E3764 E3711 E3697 E3685 E3559 E3548 E3537 E3525 E3514 E3503 E3492 E3481 E3470 E3458 E3446 E3435 E3423 E3411 E3399 E3388 E3377 E3366 E3355 E3344 E3333 E3322 E3311 E3300 E3289 E3278 E3267 E3245 E3234 E3221 E3209 E3148 E3134 E3123 E3112 E3093 E3082 E3066 E3040 E3028 E3017 E3005 E2984 E2940 E2914 E2849 E2836 E2825 E2809 E2797 E2786 E2775 E2741 E2730 E2719 E2706 E2693 E2611 E2591 E2579 E2568 E2555 E2544 E2533 E2522 E2509 E2486 E2475 E2464 E2453 E2419 E2408 E2394 E2383 E2372 E2353 E2342 E2331 E2319 E2298 E2273 E2262 E2251 E2240 E2228 E2217 E2206 E2195 E2144 E2133 E2122 E2111 E2100 E2089 E2078 E2067 E2056 E2045 E2034 E2023 E2012 E1999 E1988 E1977 E1961 E1939 E1918 E1907 E1896 E1883 E1872 E1857 E1845 E1828 E1802 E1759 E1690 E1679 E1645 E1634 E1623 E1609 E1590 E1566 E1555 E1540 E1523 E1493 E1482 E1463 E1452 E1435 E1424 E1413 E1402 E1391 E1380 E1369 E1358 E1345 E1334 E1318 E1293 E1273 E1223 E1212 E1201 E1179 E1164 E1153 E1138 E1126 E1100 E1042 E1027 E1016 E1005 E993 E982 E968 E957 E946 E919 E906 E894 E882 E870 E859 E843 E783 E765 E727 E712 E667 E618 E607 E578 E525 E438 E397 E377 E322 E311 E281 E270 E259 E248 E175 E155 E144 E122 E105 E71 E60 E49 E38 E27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3" customWidth="1"/>
    <col min="7" max="7" width="16.42578125" style="3" customWidth="1"/>
    <col min="8" max="9" width="12.5703125" style="3" customWidth="1"/>
    <col min="10" max="10" width="23" style="3" customWidth="1"/>
    <col min="11" max="11" width="1.28515625" style="3" customWidth="1"/>
    <col min="12" max="12" width="39.140625" style="3" customWidth="1"/>
    <col min="13" max="13" width="1.28515625" style="3" customWidth="1"/>
    <col min="14" max="14" width="12.5703125" style="3" customWidth="1"/>
    <col min="15" max="15" width="1.28515625" style="3" customWidth="1"/>
    <col min="16" max="16" width="12.5703125" style="6" customWidth="1"/>
    <col min="17" max="17" width="21.5703125" style="5" customWidth="1"/>
    <col min="18" max="18" width="1.140625" style="3" customWidth="1"/>
    <col min="19" max="19" width="21.140625" style="3" customWidth="1"/>
    <col min="20" max="20" width="1.28515625" style="3" customWidth="1"/>
    <col min="21" max="21" width="19.5703125" style="3" customWidth="1"/>
    <col min="22" max="22" width="0.5703125" style="3" customWidth="1"/>
    <col min="23" max="23" width="12.5703125" style="3" customWidth="1"/>
    <col min="24" max="16384" width="12.5703125" style="3"/>
  </cols>
  <sheetData>
    <row r="1" spans="1:21" x14ac:dyDescent="0.2">
      <c r="A1" s="8" t="s">
        <v>811</v>
      </c>
      <c r="B1" s="10" t="s">
        <v>773</v>
      </c>
      <c r="C1" s="11"/>
      <c r="D1" s="10" t="s">
        <v>69</v>
      </c>
      <c r="E1" s="14"/>
      <c r="F1" s="11"/>
      <c r="G1" s="7" t="s">
        <v>507</v>
      </c>
      <c r="H1" s="7"/>
      <c r="I1" s="7"/>
      <c r="J1" s="7"/>
    </row>
    <row r="2" spans="1:21" ht="22.5" x14ac:dyDescent="0.2">
      <c r="A2" s="9" t="s">
        <v>74</v>
      </c>
      <c r="B2" s="12" t="s">
        <v>74</v>
      </c>
      <c r="C2" s="13" t="s">
        <v>295</v>
      </c>
      <c r="D2" s="12" t="s">
        <v>74</v>
      </c>
      <c r="E2" s="15" t="s">
        <v>295</v>
      </c>
      <c r="F2" s="15" t="s">
        <v>349</v>
      </c>
      <c r="G2" s="16" t="s">
        <v>74</v>
      </c>
      <c r="H2" s="17" t="s">
        <v>295</v>
      </c>
      <c r="I2" s="17" t="s">
        <v>349</v>
      </c>
      <c r="J2" s="18" t="s">
        <v>1093</v>
      </c>
      <c r="L2" s="2" t="s">
        <v>986</v>
      </c>
      <c r="N2" s="2" t="s">
        <v>991</v>
      </c>
      <c r="P2" s="2" t="s">
        <v>1168</v>
      </c>
      <c r="Q2" s="20" t="s">
        <v>320</v>
      </c>
      <c r="S2" s="2" t="s">
        <v>791</v>
      </c>
      <c r="U2" s="2" t="s">
        <v>847</v>
      </c>
    </row>
    <row r="3" spans="1:21" x14ac:dyDescent="0.2">
      <c r="A3" s="3" t="s">
        <v>107</v>
      </c>
      <c r="B3" s="3" t="s">
        <v>107</v>
      </c>
      <c r="C3" s="3" t="s">
        <v>558</v>
      </c>
      <c r="D3" s="3" t="s">
        <v>107</v>
      </c>
      <c r="E3" s="3" t="s">
        <v>558</v>
      </c>
      <c r="F3" s="3" t="s">
        <v>227</v>
      </c>
      <c r="G3" s="4" t="s">
        <v>192</v>
      </c>
      <c r="H3" s="4" t="s">
        <v>482</v>
      </c>
      <c r="I3" s="4" t="s">
        <v>904</v>
      </c>
      <c r="J3" s="4" t="s">
        <v>904</v>
      </c>
      <c r="L3" s="5" t="s">
        <v>116</v>
      </c>
      <c r="N3" s="3" t="s">
        <v>561</v>
      </c>
      <c r="P3" s="3" t="s">
        <v>344</v>
      </c>
      <c r="Q3" s="3" t="s">
        <v>1091</v>
      </c>
      <c r="S3" s="5" t="s">
        <v>1155</v>
      </c>
      <c r="U3" s="3" t="s">
        <v>816</v>
      </c>
    </row>
    <row r="4" spans="1:21" x14ac:dyDescent="0.2">
      <c r="A4" s="3" t="s">
        <v>521</v>
      </c>
      <c r="B4" s="3" t="s">
        <v>107</v>
      </c>
      <c r="C4" s="3" t="s">
        <v>823</v>
      </c>
      <c r="D4" s="3" t="s">
        <v>107</v>
      </c>
      <c r="E4" s="3" t="s">
        <v>558</v>
      </c>
      <c r="F4" s="3" t="s">
        <v>269</v>
      </c>
      <c r="G4" s="4" t="s">
        <v>192</v>
      </c>
      <c r="H4" s="4" t="s">
        <v>482</v>
      </c>
      <c r="I4" s="4" t="s">
        <v>904</v>
      </c>
      <c r="J4" s="4" t="s">
        <v>50</v>
      </c>
      <c r="L4" s="5" t="s">
        <v>1128</v>
      </c>
      <c r="N4" s="3" t="s">
        <v>385</v>
      </c>
      <c r="P4" s="3" t="s">
        <v>307</v>
      </c>
      <c r="Q4" s="3" t="s">
        <v>657</v>
      </c>
      <c r="S4" s="5" t="s">
        <v>438</v>
      </c>
    </row>
    <row r="5" spans="1:21" x14ac:dyDescent="0.2">
      <c r="A5" s="3" t="s">
        <v>192</v>
      </c>
      <c r="B5" s="3" t="s">
        <v>107</v>
      </c>
      <c r="C5" s="3" t="s">
        <v>1153</v>
      </c>
      <c r="D5" s="3" t="s">
        <v>107</v>
      </c>
      <c r="E5" s="3" t="s">
        <v>558</v>
      </c>
      <c r="F5" s="3" t="s">
        <v>177</v>
      </c>
      <c r="G5" s="4" t="s">
        <v>192</v>
      </c>
      <c r="H5" s="4" t="s">
        <v>482</v>
      </c>
      <c r="I5" s="4" t="s">
        <v>904</v>
      </c>
      <c r="J5" s="4" t="s">
        <v>152</v>
      </c>
      <c r="L5" s="5" t="s">
        <v>654</v>
      </c>
      <c r="N5" s="3" t="s">
        <v>1156</v>
      </c>
      <c r="P5" s="3" t="s">
        <v>1076</v>
      </c>
      <c r="Q5" s="3" t="s">
        <v>949</v>
      </c>
      <c r="S5" s="5" t="s">
        <v>1015</v>
      </c>
    </row>
    <row r="6" spans="1:21" x14ac:dyDescent="0.2">
      <c r="A6" s="3" t="s">
        <v>91</v>
      </c>
      <c r="B6" s="3" t="s">
        <v>521</v>
      </c>
      <c r="C6" s="3" t="s">
        <v>1172</v>
      </c>
      <c r="D6" s="3" t="s">
        <v>107</v>
      </c>
      <c r="E6" s="3" t="s">
        <v>558</v>
      </c>
      <c r="F6" s="3" t="s">
        <v>103</v>
      </c>
      <c r="G6" s="4" t="s">
        <v>192</v>
      </c>
      <c r="H6" s="4" t="s">
        <v>482</v>
      </c>
      <c r="I6" s="4" t="s">
        <v>151</v>
      </c>
      <c r="J6" s="4" t="s">
        <v>151</v>
      </c>
      <c r="L6" s="3" t="s">
        <v>243</v>
      </c>
      <c r="P6" s="3" t="s">
        <v>759</v>
      </c>
      <c r="Q6" s="3" t="s">
        <v>665</v>
      </c>
      <c r="S6" s="5" t="s">
        <v>396</v>
      </c>
    </row>
    <row r="7" spans="1:21" x14ac:dyDescent="0.2">
      <c r="A7" s="3" t="s">
        <v>1186</v>
      </c>
      <c r="B7" s="3" t="s">
        <v>521</v>
      </c>
      <c r="C7" s="3" t="s">
        <v>155</v>
      </c>
      <c r="D7" s="3" t="s">
        <v>107</v>
      </c>
      <c r="E7" s="3" t="s">
        <v>558</v>
      </c>
      <c r="F7" s="3" t="s">
        <v>577</v>
      </c>
      <c r="G7" s="4" t="s">
        <v>192</v>
      </c>
      <c r="H7" s="4" t="s">
        <v>482</v>
      </c>
      <c r="I7" s="4" t="s">
        <v>407</v>
      </c>
      <c r="J7" s="4" t="s">
        <v>407</v>
      </c>
      <c r="L7" s="3" t="s">
        <v>471</v>
      </c>
      <c r="P7" s="3" t="s">
        <v>522</v>
      </c>
      <c r="Q7" s="3" t="s">
        <v>26</v>
      </c>
      <c r="S7" s="5" t="s">
        <v>604</v>
      </c>
    </row>
    <row r="8" spans="1:21" x14ac:dyDescent="0.2">
      <c r="A8" s="3" t="s">
        <v>379</v>
      </c>
      <c r="B8" s="3" t="s">
        <v>521</v>
      </c>
      <c r="C8" s="3" t="s">
        <v>375</v>
      </c>
      <c r="D8" s="3" t="s">
        <v>107</v>
      </c>
      <c r="E8" s="3" t="s">
        <v>558</v>
      </c>
      <c r="F8" s="3" t="s">
        <v>885</v>
      </c>
      <c r="G8" s="4" t="s">
        <v>192</v>
      </c>
      <c r="H8" s="4" t="s">
        <v>482</v>
      </c>
      <c r="I8" s="4" t="s">
        <v>407</v>
      </c>
      <c r="J8" s="4" t="s">
        <v>254</v>
      </c>
      <c r="L8" s="3" t="s">
        <v>270</v>
      </c>
      <c r="P8" s="3" t="s">
        <v>637</v>
      </c>
      <c r="Q8" s="3" t="s">
        <v>613</v>
      </c>
      <c r="S8" s="5"/>
    </row>
    <row r="9" spans="1:21" x14ac:dyDescent="0.2">
      <c r="A9" s="3" t="s">
        <v>815</v>
      </c>
      <c r="B9" s="3" t="s">
        <v>192</v>
      </c>
      <c r="C9" s="3" t="s">
        <v>482</v>
      </c>
      <c r="D9" s="3" t="s">
        <v>107</v>
      </c>
      <c r="E9" s="3" t="s">
        <v>558</v>
      </c>
      <c r="F9" s="3" t="s">
        <v>911</v>
      </c>
      <c r="G9" s="4" t="s">
        <v>192</v>
      </c>
      <c r="H9" s="4" t="s">
        <v>482</v>
      </c>
      <c r="I9" s="4" t="s">
        <v>448</v>
      </c>
      <c r="J9" s="4" t="s">
        <v>448</v>
      </c>
      <c r="L9" s="5" t="s">
        <v>464</v>
      </c>
      <c r="P9" s="3" t="s">
        <v>1108</v>
      </c>
      <c r="Q9" s="3" t="s">
        <v>123</v>
      </c>
      <c r="S9" s="6"/>
    </row>
    <row r="10" spans="1:21" x14ac:dyDescent="0.2">
      <c r="A10" s="3" t="s">
        <v>1134</v>
      </c>
      <c r="B10" s="3" t="s">
        <v>192</v>
      </c>
      <c r="C10" s="3" t="s">
        <v>685</v>
      </c>
      <c r="D10" s="3" t="s">
        <v>107</v>
      </c>
      <c r="E10" s="3" t="s">
        <v>558</v>
      </c>
      <c r="F10" s="3" t="s">
        <v>573</v>
      </c>
      <c r="G10" s="4" t="s">
        <v>192</v>
      </c>
      <c r="H10" s="4" t="s">
        <v>482</v>
      </c>
      <c r="I10" s="4" t="s">
        <v>300</v>
      </c>
      <c r="J10" s="4" t="s">
        <v>300</v>
      </c>
      <c r="L10" s="3" t="s">
        <v>473</v>
      </c>
      <c r="P10" s="3" t="s">
        <v>420</v>
      </c>
      <c r="Q10" s="3" t="s">
        <v>81</v>
      </c>
    </row>
    <row r="11" spans="1:21" ht="22.5" x14ac:dyDescent="0.2">
      <c r="A11" s="3" t="s">
        <v>1058</v>
      </c>
      <c r="B11" s="3" t="s">
        <v>192</v>
      </c>
      <c r="C11" s="3" t="s">
        <v>166</v>
      </c>
      <c r="D11" s="3" t="s">
        <v>107</v>
      </c>
      <c r="E11" s="3" t="s">
        <v>558</v>
      </c>
      <c r="F11" s="3" t="s">
        <v>983</v>
      </c>
      <c r="G11" s="4" t="s">
        <v>192</v>
      </c>
      <c r="H11" s="4" t="s">
        <v>482</v>
      </c>
      <c r="I11" s="4" t="s">
        <v>222</v>
      </c>
      <c r="J11" s="4" t="s">
        <v>900</v>
      </c>
      <c r="L11" s="3" t="s">
        <v>729</v>
      </c>
      <c r="P11" s="3" t="s">
        <v>350</v>
      </c>
      <c r="Q11" s="3" t="s">
        <v>610</v>
      </c>
    </row>
    <row r="12" spans="1:21" ht="22.5" x14ac:dyDescent="0.2">
      <c r="A12" s="3" t="s">
        <v>184</v>
      </c>
      <c r="B12" s="3" t="s">
        <v>192</v>
      </c>
      <c r="C12" s="3" t="s">
        <v>343</v>
      </c>
      <c r="D12" s="3" t="s">
        <v>107</v>
      </c>
      <c r="E12" s="3" t="s">
        <v>823</v>
      </c>
      <c r="F12" s="3" t="s">
        <v>1131</v>
      </c>
      <c r="G12" s="4" t="s">
        <v>192</v>
      </c>
      <c r="H12" s="4" t="s">
        <v>482</v>
      </c>
      <c r="I12" s="4" t="s">
        <v>222</v>
      </c>
      <c r="J12" s="4" t="s">
        <v>1100</v>
      </c>
      <c r="L12" s="3" t="s">
        <v>973</v>
      </c>
      <c r="P12" s="3" t="s">
        <v>240</v>
      </c>
      <c r="Q12" s="3" t="s">
        <v>923</v>
      </c>
      <c r="S12" s="19"/>
    </row>
    <row r="13" spans="1:21" ht="22.5" x14ac:dyDescent="0.2">
      <c r="B13" s="3" t="s">
        <v>91</v>
      </c>
      <c r="C13" s="3" t="s">
        <v>739</v>
      </c>
      <c r="D13" s="3" t="s">
        <v>107</v>
      </c>
      <c r="E13" s="3" t="s">
        <v>823</v>
      </c>
      <c r="F13" s="3" t="s">
        <v>1191</v>
      </c>
      <c r="G13" s="4" t="s">
        <v>192</v>
      </c>
      <c r="H13" s="4" t="s">
        <v>482</v>
      </c>
      <c r="I13" s="4" t="s">
        <v>222</v>
      </c>
      <c r="J13" s="4" t="s">
        <v>1080</v>
      </c>
      <c r="L13" s="5" t="s">
        <v>146</v>
      </c>
      <c r="P13" s="3" t="s">
        <v>237</v>
      </c>
      <c r="Q13" s="3" t="s">
        <v>293</v>
      </c>
      <c r="S13" s="19"/>
    </row>
    <row r="14" spans="1:21" ht="22.5" x14ac:dyDescent="0.2">
      <c r="B14" s="3" t="s">
        <v>91</v>
      </c>
      <c r="C14" s="3" t="s">
        <v>670</v>
      </c>
      <c r="D14" s="3" t="s">
        <v>107</v>
      </c>
      <c r="E14" s="3" t="s">
        <v>823</v>
      </c>
      <c r="F14" s="3" t="s">
        <v>34</v>
      </c>
      <c r="G14" s="4" t="s">
        <v>192</v>
      </c>
      <c r="H14" s="4" t="s">
        <v>482</v>
      </c>
      <c r="I14" s="4" t="s">
        <v>222</v>
      </c>
      <c r="J14" s="4" t="s">
        <v>1087</v>
      </c>
      <c r="L14" s="5" t="s">
        <v>1161</v>
      </c>
      <c r="P14" s="3" t="s">
        <v>1009</v>
      </c>
      <c r="Q14" s="3" t="s">
        <v>337</v>
      </c>
    </row>
    <row r="15" spans="1:21" ht="22.5" x14ac:dyDescent="0.2">
      <c r="B15" s="3" t="s">
        <v>91</v>
      </c>
      <c r="C15" s="3" t="s">
        <v>907</v>
      </c>
      <c r="D15" s="3" t="s">
        <v>107</v>
      </c>
      <c r="E15" s="3" t="s">
        <v>823</v>
      </c>
      <c r="F15" s="3" t="s">
        <v>1169</v>
      </c>
      <c r="G15" s="4" t="s">
        <v>192</v>
      </c>
      <c r="H15" s="4" t="s">
        <v>482</v>
      </c>
      <c r="I15" s="4" t="s">
        <v>222</v>
      </c>
      <c r="J15" s="4" t="s">
        <v>222</v>
      </c>
      <c r="L15" s="5" t="s">
        <v>599</v>
      </c>
      <c r="P15" s="3" t="s">
        <v>632</v>
      </c>
      <c r="Q15" s="3" t="s">
        <v>484</v>
      </c>
    </row>
    <row r="16" spans="1:21" x14ac:dyDescent="0.2">
      <c r="B16" s="3" t="s">
        <v>91</v>
      </c>
      <c r="C16" s="3" t="s">
        <v>782</v>
      </c>
      <c r="D16" s="3" t="s">
        <v>107</v>
      </c>
      <c r="E16" s="3" t="s">
        <v>823</v>
      </c>
      <c r="F16" s="3" t="s">
        <v>65</v>
      </c>
      <c r="G16" s="4" t="s">
        <v>192</v>
      </c>
      <c r="H16" s="4" t="s">
        <v>482</v>
      </c>
      <c r="I16" s="4" t="s">
        <v>84</v>
      </c>
      <c r="J16" s="4" t="s">
        <v>841</v>
      </c>
      <c r="L16" s="5" t="s">
        <v>856</v>
      </c>
      <c r="P16" s="3" t="s">
        <v>305</v>
      </c>
      <c r="Q16" s="3" t="s">
        <v>882</v>
      </c>
    </row>
    <row r="17" spans="2:17" x14ac:dyDescent="0.2">
      <c r="B17" s="3" t="s">
        <v>1186</v>
      </c>
      <c r="C17" s="3" t="s">
        <v>979</v>
      </c>
      <c r="D17" s="3" t="s">
        <v>107</v>
      </c>
      <c r="E17" s="3" t="s">
        <v>823</v>
      </c>
      <c r="F17" s="3" t="s">
        <v>255</v>
      </c>
      <c r="G17" s="4" t="s">
        <v>192</v>
      </c>
      <c r="H17" s="4" t="s">
        <v>482</v>
      </c>
      <c r="I17" s="4" t="s">
        <v>84</v>
      </c>
      <c r="J17" s="4" t="s">
        <v>1065</v>
      </c>
      <c r="L17" s="5" t="s">
        <v>10</v>
      </c>
      <c r="P17" s="3" t="s">
        <v>1068</v>
      </c>
      <c r="Q17" s="3" t="s">
        <v>410</v>
      </c>
    </row>
    <row r="18" spans="2:17" x14ac:dyDescent="0.2">
      <c r="B18" s="3" t="s">
        <v>1186</v>
      </c>
      <c r="C18" s="3" t="s">
        <v>327</v>
      </c>
      <c r="D18" s="3" t="s">
        <v>107</v>
      </c>
      <c r="E18" s="3" t="s">
        <v>823</v>
      </c>
      <c r="F18" s="3" t="s">
        <v>136</v>
      </c>
      <c r="G18" s="4" t="s">
        <v>192</v>
      </c>
      <c r="H18" s="4" t="s">
        <v>482</v>
      </c>
      <c r="I18" s="4" t="s">
        <v>84</v>
      </c>
      <c r="J18" s="4" t="s">
        <v>216</v>
      </c>
      <c r="P18" s="3" t="s">
        <v>100</v>
      </c>
      <c r="Q18" s="3" t="s">
        <v>1010</v>
      </c>
    </row>
    <row r="19" spans="2:17" x14ac:dyDescent="0.2">
      <c r="B19" s="3" t="s">
        <v>1186</v>
      </c>
      <c r="C19" s="3" t="s">
        <v>132</v>
      </c>
      <c r="D19" s="3" t="s">
        <v>107</v>
      </c>
      <c r="E19" s="3" t="s">
        <v>823</v>
      </c>
      <c r="F19" s="3" t="s">
        <v>472</v>
      </c>
      <c r="G19" s="4" t="s">
        <v>192</v>
      </c>
      <c r="H19" s="4" t="s">
        <v>482</v>
      </c>
      <c r="I19" s="4" t="s">
        <v>84</v>
      </c>
      <c r="J19" s="4" t="s">
        <v>468</v>
      </c>
      <c r="P19" s="3" t="s">
        <v>239</v>
      </c>
      <c r="Q19" s="3" t="s">
        <v>1127</v>
      </c>
    </row>
    <row r="20" spans="2:17" x14ac:dyDescent="0.2">
      <c r="B20" s="3" t="s">
        <v>1186</v>
      </c>
      <c r="C20" s="3" t="s">
        <v>426</v>
      </c>
      <c r="D20" s="3" t="s">
        <v>107</v>
      </c>
      <c r="E20" s="3" t="s">
        <v>823</v>
      </c>
      <c r="F20" s="3" t="s">
        <v>99</v>
      </c>
      <c r="G20" s="4" t="s">
        <v>192</v>
      </c>
      <c r="H20" s="4" t="s">
        <v>482</v>
      </c>
      <c r="I20" s="4" t="s">
        <v>84</v>
      </c>
      <c r="J20" s="4" t="s">
        <v>84</v>
      </c>
      <c r="P20" s="3" t="s">
        <v>846</v>
      </c>
      <c r="Q20" s="3" t="s">
        <v>1171</v>
      </c>
    </row>
    <row r="21" spans="2:17" ht="22.5" x14ac:dyDescent="0.2">
      <c r="B21" s="3" t="s">
        <v>379</v>
      </c>
      <c r="C21" s="3" t="s">
        <v>162</v>
      </c>
      <c r="D21" s="3" t="s">
        <v>107</v>
      </c>
      <c r="E21" s="3" t="s">
        <v>1153</v>
      </c>
      <c r="F21" s="3" t="s">
        <v>308</v>
      </c>
      <c r="G21" s="4" t="s">
        <v>192</v>
      </c>
      <c r="H21" s="4" t="s">
        <v>685</v>
      </c>
      <c r="I21" s="4" t="s">
        <v>722</v>
      </c>
      <c r="J21" s="4" t="s">
        <v>342</v>
      </c>
      <c r="P21" s="3" t="s">
        <v>17</v>
      </c>
      <c r="Q21" s="3" t="s">
        <v>870</v>
      </c>
    </row>
    <row r="22" spans="2:17" ht="22.5" x14ac:dyDescent="0.2">
      <c r="B22" s="3" t="s">
        <v>379</v>
      </c>
      <c r="C22" s="3" t="s">
        <v>361</v>
      </c>
      <c r="D22" s="3" t="s">
        <v>107</v>
      </c>
      <c r="E22" s="3" t="s">
        <v>1153</v>
      </c>
      <c r="F22" s="3" t="s">
        <v>3</v>
      </c>
      <c r="G22" s="4" t="s">
        <v>192</v>
      </c>
      <c r="H22" s="4" t="s">
        <v>685</v>
      </c>
      <c r="I22" s="4" t="s">
        <v>722</v>
      </c>
      <c r="J22" s="4" t="s">
        <v>722</v>
      </c>
      <c r="P22" s="3" t="s">
        <v>278</v>
      </c>
      <c r="Q22" s="3" t="s">
        <v>1136</v>
      </c>
    </row>
    <row r="23" spans="2:17" ht="22.5" x14ac:dyDescent="0.2">
      <c r="B23" s="3" t="s">
        <v>379</v>
      </c>
      <c r="C23" s="3" t="s">
        <v>1223</v>
      </c>
      <c r="D23" s="3" t="s">
        <v>107</v>
      </c>
      <c r="E23" s="3" t="s">
        <v>1153</v>
      </c>
      <c r="F23" s="3" t="s">
        <v>871</v>
      </c>
      <c r="G23" s="4" t="s">
        <v>192</v>
      </c>
      <c r="H23" s="4" t="s">
        <v>685</v>
      </c>
      <c r="I23" s="4" t="s">
        <v>333</v>
      </c>
      <c r="J23" s="4" t="s">
        <v>1084</v>
      </c>
      <c r="P23" s="3" t="s">
        <v>73</v>
      </c>
      <c r="Q23" s="3" t="s">
        <v>647</v>
      </c>
    </row>
    <row r="24" spans="2:17" ht="22.5" x14ac:dyDescent="0.2">
      <c r="B24" s="3" t="s">
        <v>379</v>
      </c>
      <c r="C24" s="3" t="s">
        <v>831</v>
      </c>
      <c r="D24" s="3" t="s">
        <v>107</v>
      </c>
      <c r="E24" s="3" t="s">
        <v>1153</v>
      </c>
      <c r="F24" s="3" t="s">
        <v>204</v>
      </c>
      <c r="G24" s="4" t="s">
        <v>192</v>
      </c>
      <c r="H24" s="4" t="s">
        <v>685</v>
      </c>
      <c r="I24" s="4" t="s">
        <v>333</v>
      </c>
      <c r="J24" s="4" t="s">
        <v>333</v>
      </c>
      <c r="P24" s="3" t="s">
        <v>486</v>
      </c>
      <c r="Q24" s="3" t="s">
        <v>441</v>
      </c>
    </row>
    <row r="25" spans="2:17" ht="22.5" x14ac:dyDescent="0.2">
      <c r="B25" s="3" t="s">
        <v>815</v>
      </c>
      <c r="C25" s="3" t="s">
        <v>210</v>
      </c>
      <c r="D25" s="3" t="s">
        <v>521</v>
      </c>
      <c r="E25" s="3" t="s">
        <v>1172</v>
      </c>
      <c r="F25" s="3" t="s">
        <v>72</v>
      </c>
      <c r="G25" s="4" t="s">
        <v>192</v>
      </c>
      <c r="H25" s="4" t="s">
        <v>685</v>
      </c>
      <c r="I25" s="4" t="s">
        <v>984</v>
      </c>
      <c r="J25" s="4" t="s">
        <v>984</v>
      </c>
      <c r="P25" s="3" t="s">
        <v>306</v>
      </c>
      <c r="Q25" s="3" t="s">
        <v>1012</v>
      </c>
    </row>
    <row r="26" spans="2:17" ht="22.5" x14ac:dyDescent="0.2">
      <c r="B26" s="3" t="s">
        <v>815</v>
      </c>
      <c r="C26" s="3" t="s">
        <v>145</v>
      </c>
      <c r="D26" s="3" t="s">
        <v>521</v>
      </c>
      <c r="E26" s="3" t="s">
        <v>1172</v>
      </c>
      <c r="F26" s="3" t="s">
        <v>1219</v>
      </c>
      <c r="G26" s="4" t="s">
        <v>192</v>
      </c>
      <c r="H26" s="4" t="s">
        <v>166</v>
      </c>
      <c r="I26" s="4" t="s">
        <v>691</v>
      </c>
      <c r="J26" s="4" t="s">
        <v>66</v>
      </c>
      <c r="P26" s="3" t="s">
        <v>365</v>
      </c>
      <c r="Q26" s="3" t="s">
        <v>98</v>
      </c>
    </row>
    <row r="27" spans="2:17" ht="22.5" x14ac:dyDescent="0.2">
      <c r="B27" s="3" t="s">
        <v>1134</v>
      </c>
      <c r="C27" s="3" t="s">
        <v>505</v>
      </c>
      <c r="D27" s="3" t="s">
        <v>521</v>
      </c>
      <c r="E27" s="3" t="s">
        <v>1172</v>
      </c>
      <c r="F27" s="3" t="s">
        <v>381</v>
      </c>
      <c r="G27" s="4" t="s">
        <v>192</v>
      </c>
      <c r="H27" s="4" t="s">
        <v>166</v>
      </c>
      <c r="I27" s="4" t="s">
        <v>691</v>
      </c>
      <c r="J27" s="4" t="s">
        <v>691</v>
      </c>
      <c r="P27" s="3" t="s">
        <v>585</v>
      </c>
      <c r="Q27" s="3" t="s">
        <v>319</v>
      </c>
    </row>
    <row r="28" spans="2:17" ht="22.5" x14ac:dyDescent="0.2">
      <c r="B28" s="3" t="s">
        <v>1134</v>
      </c>
      <c r="C28" s="3" t="s">
        <v>41</v>
      </c>
      <c r="D28" s="3" t="s">
        <v>521</v>
      </c>
      <c r="E28" s="3" t="s">
        <v>1172</v>
      </c>
      <c r="F28" s="3" t="s">
        <v>1193</v>
      </c>
      <c r="G28" s="4" t="s">
        <v>192</v>
      </c>
      <c r="H28" s="4" t="s">
        <v>166</v>
      </c>
      <c r="I28" s="4" t="s">
        <v>691</v>
      </c>
      <c r="J28" s="4" t="s">
        <v>377</v>
      </c>
      <c r="P28" s="3" t="s">
        <v>850</v>
      </c>
      <c r="Q28" s="3" t="s">
        <v>433</v>
      </c>
    </row>
    <row r="29" spans="2:17" ht="22.5" x14ac:dyDescent="0.2">
      <c r="B29" s="3" t="s">
        <v>1134</v>
      </c>
      <c r="C29" s="3" t="s">
        <v>682</v>
      </c>
      <c r="D29" s="3" t="s">
        <v>521</v>
      </c>
      <c r="E29" s="3" t="s">
        <v>155</v>
      </c>
      <c r="F29" s="3" t="s">
        <v>780</v>
      </c>
      <c r="G29" s="4" t="s">
        <v>192</v>
      </c>
      <c r="H29" s="4" t="s">
        <v>166</v>
      </c>
      <c r="I29" s="4" t="s">
        <v>188</v>
      </c>
      <c r="J29" s="4" t="s">
        <v>188</v>
      </c>
      <c r="P29" s="3" t="s">
        <v>330</v>
      </c>
      <c r="Q29" s="3" t="s">
        <v>296</v>
      </c>
    </row>
    <row r="30" spans="2:17" ht="22.5" x14ac:dyDescent="0.2">
      <c r="B30" s="3" t="s">
        <v>1058</v>
      </c>
      <c r="C30" s="3" t="s">
        <v>615</v>
      </c>
      <c r="D30" s="3" t="s">
        <v>521</v>
      </c>
      <c r="E30" s="3" t="s">
        <v>155</v>
      </c>
      <c r="F30" s="3" t="s">
        <v>372</v>
      </c>
      <c r="G30" s="4" t="s">
        <v>192</v>
      </c>
      <c r="H30" s="4" t="s">
        <v>166</v>
      </c>
      <c r="I30" s="4" t="s">
        <v>188</v>
      </c>
      <c r="J30" s="4" t="s">
        <v>996</v>
      </c>
      <c r="P30" s="3" t="s">
        <v>760</v>
      </c>
      <c r="Q30" s="3" t="s">
        <v>910</v>
      </c>
    </row>
    <row r="31" spans="2:17" ht="22.5" x14ac:dyDescent="0.2">
      <c r="B31" s="3" t="s">
        <v>1058</v>
      </c>
      <c r="C31" s="3" t="s">
        <v>1062</v>
      </c>
      <c r="D31" s="3" t="s">
        <v>521</v>
      </c>
      <c r="E31" s="3" t="s">
        <v>155</v>
      </c>
      <c r="F31" s="3" t="s">
        <v>666</v>
      </c>
      <c r="G31" s="4" t="s">
        <v>192</v>
      </c>
      <c r="H31" s="4" t="s">
        <v>166</v>
      </c>
      <c r="I31" s="4" t="s">
        <v>698</v>
      </c>
      <c r="J31" s="4" t="s">
        <v>206</v>
      </c>
      <c r="P31" s="3" t="s">
        <v>313</v>
      </c>
      <c r="Q31" s="3" t="s">
        <v>242</v>
      </c>
    </row>
    <row r="32" spans="2:17" ht="22.5" x14ac:dyDescent="0.2">
      <c r="B32" s="3" t="s">
        <v>1058</v>
      </c>
      <c r="C32" s="3" t="s">
        <v>549</v>
      </c>
      <c r="D32" s="3" t="s">
        <v>521</v>
      </c>
      <c r="E32" s="3" t="s">
        <v>375</v>
      </c>
      <c r="F32" s="3" t="s">
        <v>114</v>
      </c>
      <c r="G32" s="4" t="s">
        <v>192</v>
      </c>
      <c r="H32" s="4" t="s">
        <v>166</v>
      </c>
      <c r="I32" s="4" t="s">
        <v>698</v>
      </c>
      <c r="J32" s="4" t="s">
        <v>279</v>
      </c>
      <c r="P32" s="3" t="s">
        <v>314</v>
      </c>
      <c r="Q32" s="3" t="s">
        <v>792</v>
      </c>
    </row>
    <row r="33" spans="2:17" ht="22.5" x14ac:dyDescent="0.2">
      <c r="B33" s="3" t="s">
        <v>184</v>
      </c>
      <c r="C33" s="3" t="s">
        <v>711</v>
      </c>
      <c r="D33" s="3" t="s">
        <v>521</v>
      </c>
      <c r="E33" s="3" t="s">
        <v>375</v>
      </c>
      <c r="F33" s="3" t="s">
        <v>1</v>
      </c>
      <c r="G33" s="4" t="s">
        <v>192</v>
      </c>
      <c r="H33" s="4" t="s">
        <v>166</v>
      </c>
      <c r="I33" s="4" t="s">
        <v>698</v>
      </c>
      <c r="J33" s="4" t="s">
        <v>698</v>
      </c>
      <c r="P33" s="3" t="s">
        <v>843</v>
      </c>
      <c r="Q33" s="3" t="s">
        <v>492</v>
      </c>
    </row>
    <row r="34" spans="2:17" ht="22.5" x14ac:dyDescent="0.2">
      <c r="B34" s="3" t="s">
        <v>184</v>
      </c>
      <c r="C34" s="3" t="s">
        <v>934</v>
      </c>
      <c r="D34" s="3" t="s">
        <v>521</v>
      </c>
      <c r="E34" s="3" t="s">
        <v>375</v>
      </c>
      <c r="F34" s="3" t="s">
        <v>620</v>
      </c>
      <c r="G34" s="4" t="s">
        <v>192</v>
      </c>
      <c r="H34" s="4" t="s">
        <v>166</v>
      </c>
      <c r="I34" s="4" t="s">
        <v>698</v>
      </c>
      <c r="J34" s="4" t="s">
        <v>908</v>
      </c>
      <c r="P34" s="3" t="s">
        <v>697</v>
      </c>
      <c r="Q34" s="3" t="s">
        <v>492</v>
      </c>
    </row>
    <row r="35" spans="2:17" ht="22.5" x14ac:dyDescent="0.2">
      <c r="D35" s="3" t="s">
        <v>521</v>
      </c>
      <c r="E35" s="3" t="s">
        <v>375</v>
      </c>
      <c r="F35" s="3" t="s">
        <v>905</v>
      </c>
      <c r="G35" s="4" t="s">
        <v>192</v>
      </c>
      <c r="H35" s="4" t="s">
        <v>166</v>
      </c>
      <c r="I35" s="4" t="s">
        <v>1007</v>
      </c>
      <c r="J35" s="4" t="s">
        <v>1007</v>
      </c>
      <c r="P35" s="3" t="s">
        <v>1077</v>
      </c>
      <c r="Q35" s="3" t="s">
        <v>106</v>
      </c>
    </row>
    <row r="36" spans="2:17" x14ac:dyDescent="0.2">
      <c r="D36" s="3" t="s">
        <v>192</v>
      </c>
      <c r="E36" s="3" t="s">
        <v>482</v>
      </c>
      <c r="F36" s="3" t="s">
        <v>222</v>
      </c>
      <c r="G36" s="4" t="s">
        <v>192</v>
      </c>
      <c r="H36" s="4" t="s">
        <v>343</v>
      </c>
      <c r="I36" s="4" t="s">
        <v>848</v>
      </c>
      <c r="J36" s="4" t="s">
        <v>848</v>
      </c>
      <c r="P36" s="3" t="s">
        <v>1143</v>
      </c>
      <c r="Q36" s="3" t="s">
        <v>712</v>
      </c>
    </row>
    <row r="37" spans="2:17" x14ac:dyDescent="0.2">
      <c r="D37" s="3" t="s">
        <v>192</v>
      </c>
      <c r="E37" s="3" t="s">
        <v>482</v>
      </c>
      <c r="F37" s="3" t="s">
        <v>904</v>
      </c>
      <c r="G37" s="4" t="s">
        <v>192</v>
      </c>
      <c r="H37" s="4" t="s">
        <v>343</v>
      </c>
      <c r="I37" s="4" t="s">
        <v>526</v>
      </c>
      <c r="J37" s="4" t="s">
        <v>526</v>
      </c>
      <c r="P37" s="3" t="s">
        <v>235</v>
      </c>
      <c r="Q37" s="3" t="s">
        <v>111</v>
      </c>
    </row>
    <row r="38" spans="2:17" ht="22.5" x14ac:dyDescent="0.2">
      <c r="D38" s="3" t="s">
        <v>192</v>
      </c>
      <c r="E38" s="3" t="s">
        <v>482</v>
      </c>
      <c r="F38" s="3" t="s">
        <v>151</v>
      </c>
      <c r="G38" s="4" t="s">
        <v>192</v>
      </c>
      <c r="H38" s="4" t="s">
        <v>343</v>
      </c>
      <c r="I38" s="4" t="s">
        <v>93</v>
      </c>
      <c r="J38" s="4" t="s">
        <v>512</v>
      </c>
      <c r="P38" s="3" t="s">
        <v>854</v>
      </c>
      <c r="Q38" s="3" t="s">
        <v>550</v>
      </c>
    </row>
    <row r="39" spans="2:17" ht="22.5" x14ac:dyDescent="0.2">
      <c r="D39" s="3" t="s">
        <v>192</v>
      </c>
      <c r="E39" s="3" t="s">
        <v>482</v>
      </c>
      <c r="F39" s="3" t="s">
        <v>407</v>
      </c>
      <c r="G39" s="4" t="s">
        <v>192</v>
      </c>
      <c r="H39" s="4" t="s">
        <v>343</v>
      </c>
      <c r="I39" s="4" t="s">
        <v>93</v>
      </c>
      <c r="J39" s="4" t="s">
        <v>504</v>
      </c>
      <c r="P39" s="3" t="s">
        <v>824</v>
      </c>
      <c r="Q39" s="3" t="s">
        <v>47</v>
      </c>
    </row>
    <row r="40" spans="2:17" ht="22.5" x14ac:dyDescent="0.2">
      <c r="D40" s="3" t="s">
        <v>192</v>
      </c>
      <c r="E40" s="3" t="s">
        <v>482</v>
      </c>
      <c r="F40" s="3" t="s">
        <v>300</v>
      </c>
      <c r="G40" s="4" t="s">
        <v>192</v>
      </c>
      <c r="H40" s="4" t="s">
        <v>343</v>
      </c>
      <c r="I40" s="4" t="s">
        <v>93</v>
      </c>
      <c r="J40" s="4" t="s">
        <v>1174</v>
      </c>
      <c r="P40" s="3" t="s">
        <v>260</v>
      </c>
      <c r="Q40" s="3" t="s">
        <v>912</v>
      </c>
    </row>
    <row r="41" spans="2:17" ht="22.5" x14ac:dyDescent="0.2">
      <c r="D41" s="3" t="s">
        <v>192</v>
      </c>
      <c r="E41" s="3" t="s">
        <v>482</v>
      </c>
      <c r="F41" s="3" t="s">
        <v>84</v>
      </c>
      <c r="G41" s="4" t="s">
        <v>192</v>
      </c>
      <c r="H41" s="4" t="s">
        <v>343</v>
      </c>
      <c r="I41" s="4" t="s">
        <v>93</v>
      </c>
      <c r="J41" s="4" t="s">
        <v>93</v>
      </c>
      <c r="P41" s="3" t="s">
        <v>268</v>
      </c>
      <c r="Q41" s="3" t="s">
        <v>89</v>
      </c>
    </row>
    <row r="42" spans="2:17" x14ac:dyDescent="0.2">
      <c r="D42" s="3" t="s">
        <v>192</v>
      </c>
      <c r="E42" s="3" t="s">
        <v>482</v>
      </c>
      <c r="F42" s="3" t="s">
        <v>448</v>
      </c>
      <c r="G42" s="4" t="s">
        <v>91</v>
      </c>
      <c r="H42" s="4" t="s">
        <v>782</v>
      </c>
      <c r="I42" s="4" t="s">
        <v>782</v>
      </c>
      <c r="J42" s="4" t="s">
        <v>535</v>
      </c>
      <c r="P42" s="3" t="s">
        <v>265</v>
      </c>
      <c r="Q42" s="3" t="s">
        <v>546</v>
      </c>
    </row>
    <row r="43" spans="2:17" x14ac:dyDescent="0.2">
      <c r="D43" s="3" t="s">
        <v>192</v>
      </c>
      <c r="E43" s="3" t="s">
        <v>685</v>
      </c>
      <c r="F43" s="3" t="s">
        <v>722</v>
      </c>
      <c r="G43" s="4" t="s">
        <v>91</v>
      </c>
      <c r="H43" s="4" t="s">
        <v>782</v>
      </c>
      <c r="I43" s="4" t="s">
        <v>782</v>
      </c>
      <c r="J43" s="4" t="s">
        <v>782</v>
      </c>
      <c r="P43" s="3" t="s">
        <v>1023</v>
      </c>
      <c r="Q43" s="3" t="s">
        <v>517</v>
      </c>
    </row>
    <row r="44" spans="2:17" x14ac:dyDescent="0.2">
      <c r="D44" s="3" t="s">
        <v>192</v>
      </c>
      <c r="E44" s="3" t="s">
        <v>685</v>
      </c>
      <c r="F44" s="3" t="s">
        <v>333</v>
      </c>
      <c r="G44" s="4" t="s">
        <v>91</v>
      </c>
      <c r="H44" s="4" t="s">
        <v>782</v>
      </c>
      <c r="I44" s="4" t="s">
        <v>1218</v>
      </c>
      <c r="J44" s="4" t="s">
        <v>1218</v>
      </c>
    </row>
    <row r="45" spans="2:17" x14ac:dyDescent="0.2">
      <c r="D45" s="3" t="s">
        <v>192</v>
      </c>
      <c r="E45" s="3" t="s">
        <v>685</v>
      </c>
      <c r="F45" s="3" t="s">
        <v>984</v>
      </c>
      <c r="G45" s="4" t="s">
        <v>91</v>
      </c>
      <c r="H45" s="4" t="s">
        <v>782</v>
      </c>
      <c r="I45" s="4" t="s">
        <v>1218</v>
      </c>
      <c r="J45" s="4" t="s">
        <v>567</v>
      </c>
    </row>
    <row r="46" spans="2:17" ht="22.5" x14ac:dyDescent="0.2">
      <c r="D46" s="3" t="s">
        <v>192</v>
      </c>
      <c r="E46" s="3" t="s">
        <v>166</v>
      </c>
      <c r="F46" s="3" t="s">
        <v>698</v>
      </c>
      <c r="G46" s="4" t="s">
        <v>91</v>
      </c>
      <c r="H46" s="4" t="s">
        <v>782</v>
      </c>
      <c r="I46" s="4" t="s">
        <v>662</v>
      </c>
      <c r="J46" s="4" t="s">
        <v>775</v>
      </c>
    </row>
    <row r="47" spans="2:17" ht="22.5" x14ac:dyDescent="0.2">
      <c r="D47" s="3" t="s">
        <v>192</v>
      </c>
      <c r="E47" s="3" t="s">
        <v>166</v>
      </c>
      <c r="F47" s="3" t="s">
        <v>691</v>
      </c>
      <c r="G47" s="4" t="s">
        <v>91</v>
      </c>
      <c r="H47" s="4" t="s">
        <v>782</v>
      </c>
      <c r="I47" s="4" t="s">
        <v>662</v>
      </c>
      <c r="J47" s="4" t="s">
        <v>662</v>
      </c>
    </row>
    <row r="48" spans="2:17" ht="22.5" x14ac:dyDescent="0.2">
      <c r="D48" s="3" t="s">
        <v>192</v>
      </c>
      <c r="E48" s="3" t="s">
        <v>166</v>
      </c>
      <c r="F48" s="3" t="s">
        <v>188</v>
      </c>
      <c r="G48" s="4" t="s">
        <v>91</v>
      </c>
      <c r="H48" s="4" t="s">
        <v>782</v>
      </c>
      <c r="I48" s="4" t="s">
        <v>662</v>
      </c>
      <c r="J48" s="4" t="s">
        <v>97</v>
      </c>
    </row>
    <row r="49" spans="4:10" x14ac:dyDescent="0.2">
      <c r="D49" s="3" t="s">
        <v>192</v>
      </c>
      <c r="E49" s="3" t="s">
        <v>166</v>
      </c>
      <c r="F49" s="3" t="s">
        <v>1007</v>
      </c>
      <c r="G49" s="4" t="s">
        <v>91</v>
      </c>
      <c r="H49" s="4" t="s">
        <v>782</v>
      </c>
      <c r="I49" s="4" t="s">
        <v>63</v>
      </c>
      <c r="J49" s="4" t="s">
        <v>63</v>
      </c>
    </row>
    <row r="50" spans="4:10" x14ac:dyDescent="0.2">
      <c r="D50" s="3" t="s">
        <v>192</v>
      </c>
      <c r="E50" s="3" t="s">
        <v>343</v>
      </c>
      <c r="F50" s="3" t="s">
        <v>93</v>
      </c>
      <c r="G50" s="4" t="s">
        <v>91</v>
      </c>
      <c r="H50" s="4" t="s">
        <v>782</v>
      </c>
      <c r="I50" s="4" t="s">
        <v>92</v>
      </c>
      <c r="J50" s="4" t="s">
        <v>92</v>
      </c>
    </row>
    <row r="51" spans="4:10" x14ac:dyDescent="0.2">
      <c r="D51" s="3" t="s">
        <v>192</v>
      </c>
      <c r="E51" s="3" t="s">
        <v>343</v>
      </c>
      <c r="F51" s="3" t="s">
        <v>526</v>
      </c>
      <c r="G51" s="4" t="s">
        <v>91</v>
      </c>
      <c r="H51" s="4" t="s">
        <v>907</v>
      </c>
      <c r="I51" s="4" t="s">
        <v>523</v>
      </c>
      <c r="J51" s="4" t="s">
        <v>523</v>
      </c>
    </row>
    <row r="52" spans="4:10" x14ac:dyDescent="0.2">
      <c r="D52" s="3" t="s">
        <v>192</v>
      </c>
      <c r="E52" s="3" t="s">
        <v>343</v>
      </c>
      <c r="F52" s="3" t="s">
        <v>848</v>
      </c>
      <c r="G52" s="4" t="s">
        <v>91</v>
      </c>
      <c r="H52" s="4" t="s">
        <v>907</v>
      </c>
      <c r="I52" s="4" t="s">
        <v>523</v>
      </c>
      <c r="J52" s="4" t="s">
        <v>1082</v>
      </c>
    </row>
    <row r="53" spans="4:10" x14ac:dyDescent="0.2">
      <c r="D53" s="3" t="s">
        <v>91</v>
      </c>
      <c r="E53" s="3" t="s">
        <v>739</v>
      </c>
      <c r="F53" s="3" t="s">
        <v>78</v>
      </c>
      <c r="G53" s="4" t="s">
        <v>91</v>
      </c>
      <c r="H53" s="4" t="s">
        <v>907</v>
      </c>
      <c r="I53" s="4" t="s">
        <v>941</v>
      </c>
      <c r="J53" s="4" t="s">
        <v>1121</v>
      </c>
    </row>
    <row r="54" spans="4:10" x14ac:dyDescent="0.2">
      <c r="D54" s="3" t="s">
        <v>91</v>
      </c>
      <c r="E54" s="3" t="s">
        <v>739</v>
      </c>
      <c r="F54" s="3" t="s">
        <v>424</v>
      </c>
      <c r="G54" s="4" t="s">
        <v>91</v>
      </c>
      <c r="H54" s="4" t="s">
        <v>907</v>
      </c>
      <c r="I54" s="4" t="s">
        <v>941</v>
      </c>
      <c r="J54" s="4" t="s">
        <v>941</v>
      </c>
    </row>
    <row r="55" spans="4:10" x14ac:dyDescent="0.2">
      <c r="D55" s="3" t="s">
        <v>91</v>
      </c>
      <c r="E55" s="3" t="s">
        <v>739</v>
      </c>
      <c r="F55" s="3" t="s">
        <v>413</v>
      </c>
      <c r="G55" s="4" t="s">
        <v>91</v>
      </c>
      <c r="H55" s="4" t="s">
        <v>907</v>
      </c>
      <c r="I55" s="4" t="s">
        <v>941</v>
      </c>
      <c r="J55" s="4" t="s">
        <v>253</v>
      </c>
    </row>
    <row r="56" spans="4:10" x14ac:dyDescent="0.2">
      <c r="D56" s="3" t="s">
        <v>91</v>
      </c>
      <c r="E56" s="3" t="s">
        <v>670</v>
      </c>
      <c r="F56" s="3" t="s">
        <v>1183</v>
      </c>
      <c r="G56" s="4" t="s">
        <v>91</v>
      </c>
      <c r="H56" s="4" t="s">
        <v>907</v>
      </c>
      <c r="I56" s="4" t="s">
        <v>941</v>
      </c>
      <c r="J56" s="4" t="s">
        <v>1163</v>
      </c>
    </row>
    <row r="57" spans="4:10" ht="22.5" x14ac:dyDescent="0.2">
      <c r="D57" s="3" t="s">
        <v>91</v>
      </c>
      <c r="E57" s="3" t="s">
        <v>670</v>
      </c>
      <c r="F57" s="3" t="s">
        <v>968</v>
      </c>
      <c r="G57" s="4" t="s">
        <v>91</v>
      </c>
      <c r="H57" s="4" t="s">
        <v>907</v>
      </c>
      <c r="I57" s="4" t="s">
        <v>1081</v>
      </c>
      <c r="J57" s="4" t="s">
        <v>1081</v>
      </c>
    </row>
    <row r="58" spans="4:10" x14ac:dyDescent="0.2">
      <c r="D58" s="3" t="s">
        <v>91</v>
      </c>
      <c r="E58" s="3" t="s">
        <v>670</v>
      </c>
      <c r="F58" s="3" t="s">
        <v>810</v>
      </c>
      <c r="G58" s="4" t="s">
        <v>91</v>
      </c>
      <c r="H58" s="4" t="s">
        <v>907</v>
      </c>
      <c r="I58" s="4" t="s">
        <v>258</v>
      </c>
      <c r="J58" s="4" t="s">
        <v>258</v>
      </c>
    </row>
    <row r="59" spans="4:10" ht="22.5" x14ac:dyDescent="0.2">
      <c r="D59" s="3" t="s">
        <v>91</v>
      </c>
      <c r="E59" s="3" t="s">
        <v>907</v>
      </c>
      <c r="F59" s="3" t="s">
        <v>544</v>
      </c>
      <c r="G59" s="4" t="s">
        <v>91</v>
      </c>
      <c r="H59" s="4" t="s">
        <v>907</v>
      </c>
      <c r="I59" s="4" t="s">
        <v>544</v>
      </c>
      <c r="J59" s="4" t="s">
        <v>544</v>
      </c>
    </row>
    <row r="60" spans="4:10" x14ac:dyDescent="0.2">
      <c r="D60" s="3" t="s">
        <v>91</v>
      </c>
      <c r="E60" s="3" t="s">
        <v>907</v>
      </c>
      <c r="F60" s="3" t="s">
        <v>523</v>
      </c>
      <c r="G60" s="4" t="s">
        <v>91</v>
      </c>
      <c r="H60" s="4" t="s">
        <v>907</v>
      </c>
      <c r="I60" s="4" t="s">
        <v>1221</v>
      </c>
      <c r="J60" s="4" t="s">
        <v>1221</v>
      </c>
    </row>
    <row r="61" spans="4:10" ht="22.5" x14ac:dyDescent="0.2">
      <c r="D61" s="3" t="s">
        <v>91</v>
      </c>
      <c r="E61" s="3" t="s">
        <v>907</v>
      </c>
      <c r="F61" s="3" t="s">
        <v>941</v>
      </c>
      <c r="G61" s="4" t="s">
        <v>91</v>
      </c>
      <c r="H61" s="4" t="s">
        <v>670</v>
      </c>
      <c r="I61" s="4" t="s">
        <v>810</v>
      </c>
      <c r="J61" s="4" t="s">
        <v>810</v>
      </c>
    </row>
    <row r="62" spans="4:10" ht="22.5" x14ac:dyDescent="0.2">
      <c r="D62" s="3" t="s">
        <v>91</v>
      </c>
      <c r="E62" s="3" t="s">
        <v>907</v>
      </c>
      <c r="F62" s="3" t="s">
        <v>1081</v>
      </c>
      <c r="G62" s="4" t="s">
        <v>91</v>
      </c>
      <c r="H62" s="4" t="s">
        <v>670</v>
      </c>
      <c r="I62" s="4" t="s">
        <v>1183</v>
      </c>
      <c r="J62" s="4" t="s">
        <v>1183</v>
      </c>
    </row>
    <row r="63" spans="4:10" ht="22.5" x14ac:dyDescent="0.2">
      <c r="D63" s="3" t="s">
        <v>91</v>
      </c>
      <c r="E63" s="3" t="s">
        <v>907</v>
      </c>
      <c r="F63" s="3" t="s">
        <v>258</v>
      </c>
      <c r="G63" s="4" t="s">
        <v>91</v>
      </c>
      <c r="H63" s="4" t="s">
        <v>670</v>
      </c>
      <c r="I63" s="4" t="s">
        <v>968</v>
      </c>
      <c r="J63" s="4" t="s">
        <v>968</v>
      </c>
    </row>
    <row r="64" spans="4:10" x14ac:dyDescent="0.2">
      <c r="D64" s="3" t="s">
        <v>91</v>
      </c>
      <c r="E64" s="3" t="s">
        <v>907</v>
      </c>
      <c r="F64" s="3" t="s">
        <v>1221</v>
      </c>
      <c r="G64" s="4" t="s">
        <v>91</v>
      </c>
      <c r="H64" s="4" t="s">
        <v>739</v>
      </c>
      <c r="I64" s="4" t="s">
        <v>424</v>
      </c>
      <c r="J64" s="4" t="s">
        <v>198</v>
      </c>
    </row>
    <row r="65" spans="4:10" x14ac:dyDescent="0.2">
      <c r="D65" s="3" t="s">
        <v>91</v>
      </c>
      <c r="E65" s="3" t="s">
        <v>782</v>
      </c>
      <c r="F65" s="3" t="s">
        <v>782</v>
      </c>
      <c r="G65" s="4" t="s">
        <v>91</v>
      </c>
      <c r="H65" s="4" t="s">
        <v>739</v>
      </c>
      <c r="I65" s="4" t="s">
        <v>424</v>
      </c>
      <c r="J65" s="4" t="s">
        <v>424</v>
      </c>
    </row>
    <row r="66" spans="4:10" x14ac:dyDescent="0.2">
      <c r="D66" s="3" t="s">
        <v>91</v>
      </c>
      <c r="E66" s="3" t="s">
        <v>782</v>
      </c>
      <c r="F66" s="3" t="s">
        <v>662</v>
      </c>
      <c r="G66" s="4" t="s">
        <v>91</v>
      </c>
      <c r="H66" s="4" t="s">
        <v>739</v>
      </c>
      <c r="I66" s="4" t="s">
        <v>424</v>
      </c>
      <c r="J66" s="4" t="s">
        <v>633</v>
      </c>
    </row>
    <row r="67" spans="4:10" x14ac:dyDescent="0.2">
      <c r="D67" s="3" t="s">
        <v>91</v>
      </c>
      <c r="E67" s="3" t="s">
        <v>782</v>
      </c>
      <c r="F67" s="3" t="s">
        <v>92</v>
      </c>
      <c r="G67" s="4" t="s">
        <v>91</v>
      </c>
      <c r="H67" s="4" t="s">
        <v>739</v>
      </c>
      <c r="I67" s="4" t="s">
        <v>424</v>
      </c>
      <c r="J67" s="4" t="s">
        <v>232</v>
      </c>
    </row>
    <row r="68" spans="4:10" x14ac:dyDescent="0.2">
      <c r="D68" s="3" t="s">
        <v>91</v>
      </c>
      <c r="E68" s="3" t="s">
        <v>782</v>
      </c>
      <c r="F68" s="3" t="s">
        <v>63</v>
      </c>
      <c r="G68" s="4" t="s">
        <v>91</v>
      </c>
      <c r="H68" s="4" t="s">
        <v>739</v>
      </c>
      <c r="I68" s="4" t="s">
        <v>424</v>
      </c>
      <c r="J68" s="4" t="s">
        <v>981</v>
      </c>
    </row>
    <row r="69" spans="4:10" x14ac:dyDescent="0.2">
      <c r="D69" s="3" t="s">
        <v>91</v>
      </c>
      <c r="E69" s="3" t="s">
        <v>782</v>
      </c>
      <c r="F69" s="3" t="s">
        <v>1218</v>
      </c>
      <c r="G69" s="4" t="s">
        <v>91</v>
      </c>
      <c r="H69" s="4" t="s">
        <v>739</v>
      </c>
      <c r="I69" s="4" t="s">
        <v>413</v>
      </c>
      <c r="J69" s="4" t="s">
        <v>916</v>
      </c>
    </row>
    <row r="70" spans="4:10" x14ac:dyDescent="0.2">
      <c r="D70" s="3" t="s">
        <v>1186</v>
      </c>
      <c r="E70" s="3" t="s">
        <v>979</v>
      </c>
      <c r="F70" s="3" t="s">
        <v>979</v>
      </c>
      <c r="G70" s="4" t="s">
        <v>91</v>
      </c>
      <c r="H70" s="4" t="s">
        <v>739</v>
      </c>
      <c r="I70" s="4" t="s">
        <v>413</v>
      </c>
      <c r="J70" s="4" t="s">
        <v>920</v>
      </c>
    </row>
    <row r="71" spans="4:10" x14ac:dyDescent="0.2">
      <c r="D71" s="3" t="s">
        <v>1186</v>
      </c>
      <c r="E71" s="3" t="s">
        <v>979</v>
      </c>
      <c r="F71" s="3" t="s">
        <v>516</v>
      </c>
      <c r="G71" s="4" t="s">
        <v>91</v>
      </c>
      <c r="H71" s="4" t="s">
        <v>739</v>
      </c>
      <c r="I71" s="4" t="s">
        <v>413</v>
      </c>
      <c r="J71" s="4" t="s">
        <v>388</v>
      </c>
    </row>
    <row r="72" spans="4:10" x14ac:dyDescent="0.2">
      <c r="D72" s="3" t="s">
        <v>1186</v>
      </c>
      <c r="E72" s="3" t="s">
        <v>979</v>
      </c>
      <c r="F72" s="3" t="s">
        <v>1047</v>
      </c>
      <c r="G72" s="4" t="s">
        <v>91</v>
      </c>
      <c r="H72" s="4" t="s">
        <v>739</v>
      </c>
      <c r="I72" s="4" t="s">
        <v>413</v>
      </c>
      <c r="J72" s="4" t="s">
        <v>413</v>
      </c>
    </row>
    <row r="73" spans="4:10" ht="22.5" x14ac:dyDescent="0.2">
      <c r="D73" s="3" t="s">
        <v>1186</v>
      </c>
      <c r="E73" s="3" t="s">
        <v>979</v>
      </c>
      <c r="F73" s="3" t="s">
        <v>1145</v>
      </c>
      <c r="G73" s="4" t="s">
        <v>91</v>
      </c>
      <c r="H73" s="4" t="s">
        <v>739</v>
      </c>
      <c r="I73" s="4" t="s">
        <v>78</v>
      </c>
      <c r="J73" s="4" t="s">
        <v>1103</v>
      </c>
    </row>
    <row r="74" spans="4:10" ht="22.5" x14ac:dyDescent="0.2">
      <c r="D74" s="3" t="s">
        <v>1186</v>
      </c>
      <c r="E74" s="3" t="s">
        <v>979</v>
      </c>
      <c r="F74" s="3" t="s">
        <v>1008</v>
      </c>
      <c r="G74" s="4" t="s">
        <v>91</v>
      </c>
      <c r="H74" s="4" t="s">
        <v>739</v>
      </c>
      <c r="I74" s="4" t="s">
        <v>78</v>
      </c>
      <c r="J74" s="4" t="s">
        <v>868</v>
      </c>
    </row>
    <row r="75" spans="4:10" ht="22.5" x14ac:dyDescent="0.2">
      <c r="D75" s="3" t="s">
        <v>1186</v>
      </c>
      <c r="E75" s="3" t="s">
        <v>979</v>
      </c>
      <c r="F75" s="3" t="s">
        <v>813</v>
      </c>
      <c r="G75" s="4" t="s">
        <v>91</v>
      </c>
      <c r="H75" s="4" t="s">
        <v>739</v>
      </c>
      <c r="I75" s="4" t="s">
        <v>78</v>
      </c>
      <c r="J75" s="4" t="s">
        <v>623</v>
      </c>
    </row>
    <row r="76" spans="4:10" ht="22.5" x14ac:dyDescent="0.2">
      <c r="D76" s="3" t="s">
        <v>1186</v>
      </c>
      <c r="E76" s="3" t="s">
        <v>979</v>
      </c>
      <c r="F76" s="3" t="s">
        <v>27</v>
      </c>
      <c r="G76" s="4" t="s">
        <v>91</v>
      </c>
      <c r="H76" s="4" t="s">
        <v>739</v>
      </c>
      <c r="I76" s="4" t="s">
        <v>78</v>
      </c>
      <c r="J76" s="4" t="s">
        <v>78</v>
      </c>
    </row>
    <row r="77" spans="4:10" ht="22.5" x14ac:dyDescent="0.2">
      <c r="D77" s="3" t="s">
        <v>1186</v>
      </c>
      <c r="E77" s="3" t="s">
        <v>979</v>
      </c>
      <c r="F77" s="3" t="s">
        <v>1180</v>
      </c>
      <c r="G77" s="4" t="s">
        <v>107</v>
      </c>
      <c r="H77" s="4" t="s">
        <v>1153</v>
      </c>
      <c r="I77" s="4" t="s">
        <v>3</v>
      </c>
      <c r="J77" s="4" t="s">
        <v>3</v>
      </c>
    </row>
    <row r="78" spans="4:10" ht="22.5" x14ac:dyDescent="0.2">
      <c r="D78" s="3" t="s">
        <v>1186</v>
      </c>
      <c r="E78" s="3" t="s">
        <v>327</v>
      </c>
      <c r="F78" s="3" t="s">
        <v>576</v>
      </c>
      <c r="G78" s="4" t="s">
        <v>107</v>
      </c>
      <c r="H78" s="4" t="s">
        <v>1153</v>
      </c>
      <c r="I78" s="4" t="s">
        <v>871</v>
      </c>
      <c r="J78" s="4" t="s">
        <v>871</v>
      </c>
    </row>
    <row r="79" spans="4:10" ht="22.5" x14ac:dyDescent="0.2">
      <c r="D79" s="3" t="s">
        <v>1186</v>
      </c>
      <c r="E79" s="3" t="s">
        <v>327</v>
      </c>
      <c r="F79" s="3" t="s">
        <v>1003</v>
      </c>
      <c r="G79" s="4" t="s">
        <v>107</v>
      </c>
      <c r="H79" s="4" t="s">
        <v>1153</v>
      </c>
      <c r="I79" s="4" t="s">
        <v>871</v>
      </c>
      <c r="J79" s="4" t="s">
        <v>873</v>
      </c>
    </row>
    <row r="80" spans="4:10" ht="22.5" x14ac:dyDescent="0.2">
      <c r="D80" s="3" t="s">
        <v>1186</v>
      </c>
      <c r="E80" s="3" t="s">
        <v>132</v>
      </c>
      <c r="F80" s="3" t="s">
        <v>132</v>
      </c>
      <c r="G80" s="4" t="s">
        <v>107</v>
      </c>
      <c r="H80" s="4" t="s">
        <v>1153</v>
      </c>
      <c r="I80" s="4" t="s">
        <v>871</v>
      </c>
      <c r="J80" s="4" t="s">
        <v>737</v>
      </c>
    </row>
    <row r="81" spans="4:10" ht="22.5" x14ac:dyDescent="0.2">
      <c r="D81" s="3" t="s">
        <v>1186</v>
      </c>
      <c r="E81" s="3" t="s">
        <v>132</v>
      </c>
      <c r="F81" s="3" t="s">
        <v>611</v>
      </c>
      <c r="G81" s="4" t="s">
        <v>107</v>
      </c>
      <c r="H81" s="4" t="s">
        <v>1153</v>
      </c>
      <c r="I81" s="4" t="s">
        <v>871</v>
      </c>
      <c r="J81" s="4" t="s">
        <v>88</v>
      </c>
    </row>
    <row r="82" spans="4:10" x14ac:dyDescent="0.2">
      <c r="D82" s="3" t="s">
        <v>1186</v>
      </c>
      <c r="E82" s="3" t="s">
        <v>132</v>
      </c>
      <c r="F82" s="3" t="s">
        <v>22</v>
      </c>
      <c r="G82" s="4" t="s">
        <v>107</v>
      </c>
      <c r="H82" s="4" t="s">
        <v>1153</v>
      </c>
      <c r="I82" s="4" t="s">
        <v>204</v>
      </c>
      <c r="J82" s="4" t="s">
        <v>204</v>
      </c>
    </row>
    <row r="83" spans="4:10" x14ac:dyDescent="0.2">
      <c r="D83" s="3" t="s">
        <v>1186</v>
      </c>
      <c r="E83" s="3" t="s">
        <v>426</v>
      </c>
      <c r="F83" s="3" t="s">
        <v>5</v>
      </c>
      <c r="G83" s="4" t="s">
        <v>107</v>
      </c>
      <c r="H83" s="4" t="s">
        <v>1153</v>
      </c>
      <c r="I83" s="4" t="s">
        <v>308</v>
      </c>
      <c r="J83" s="4" t="s">
        <v>247</v>
      </c>
    </row>
    <row r="84" spans="4:10" x14ac:dyDescent="0.2">
      <c r="D84" s="3" t="s">
        <v>1186</v>
      </c>
      <c r="E84" s="3" t="s">
        <v>426</v>
      </c>
      <c r="F84" s="3" t="s">
        <v>142</v>
      </c>
      <c r="G84" s="4" t="s">
        <v>107</v>
      </c>
      <c r="H84" s="4" t="s">
        <v>1153</v>
      </c>
      <c r="I84" s="4" t="s">
        <v>308</v>
      </c>
      <c r="J84" s="4" t="s">
        <v>104</v>
      </c>
    </row>
    <row r="85" spans="4:10" x14ac:dyDescent="0.2">
      <c r="D85" s="3" t="s">
        <v>1186</v>
      </c>
      <c r="E85" s="3" t="s">
        <v>426</v>
      </c>
      <c r="F85" s="3" t="s">
        <v>617</v>
      </c>
      <c r="G85" s="4" t="s">
        <v>107</v>
      </c>
      <c r="H85" s="4" t="s">
        <v>1153</v>
      </c>
      <c r="I85" s="4" t="s">
        <v>308</v>
      </c>
      <c r="J85" s="4" t="s">
        <v>354</v>
      </c>
    </row>
    <row r="86" spans="4:10" x14ac:dyDescent="0.2">
      <c r="D86" s="3" t="s">
        <v>1186</v>
      </c>
      <c r="E86" s="3" t="s">
        <v>426</v>
      </c>
      <c r="F86" s="3" t="s">
        <v>839</v>
      </c>
      <c r="G86" s="4" t="s">
        <v>107</v>
      </c>
      <c r="H86" s="4" t="s">
        <v>1153</v>
      </c>
      <c r="I86" s="4" t="s">
        <v>308</v>
      </c>
      <c r="J86" s="4" t="s">
        <v>292</v>
      </c>
    </row>
    <row r="87" spans="4:10" x14ac:dyDescent="0.2">
      <c r="D87" s="3" t="s">
        <v>1186</v>
      </c>
      <c r="E87" s="3" t="s">
        <v>426</v>
      </c>
      <c r="F87" s="3" t="s">
        <v>52</v>
      </c>
      <c r="G87" s="4" t="s">
        <v>107</v>
      </c>
      <c r="H87" s="4" t="s">
        <v>1153</v>
      </c>
      <c r="I87" s="4" t="s">
        <v>308</v>
      </c>
      <c r="J87" s="4" t="s">
        <v>688</v>
      </c>
    </row>
    <row r="88" spans="4:10" x14ac:dyDescent="0.2">
      <c r="D88" s="3" t="s">
        <v>1186</v>
      </c>
      <c r="E88" s="3" t="s">
        <v>426</v>
      </c>
      <c r="F88" s="3" t="s">
        <v>951</v>
      </c>
      <c r="G88" s="4" t="s">
        <v>107</v>
      </c>
      <c r="H88" s="4" t="s">
        <v>1153</v>
      </c>
      <c r="I88" s="4" t="s">
        <v>308</v>
      </c>
      <c r="J88" s="4" t="s">
        <v>1184</v>
      </c>
    </row>
    <row r="89" spans="4:10" x14ac:dyDescent="0.2">
      <c r="D89" s="3" t="s">
        <v>1186</v>
      </c>
      <c r="E89" s="3" t="s">
        <v>426</v>
      </c>
      <c r="F89" s="3" t="s">
        <v>809</v>
      </c>
      <c r="G89" s="4" t="s">
        <v>107</v>
      </c>
      <c r="H89" s="4" t="s">
        <v>1153</v>
      </c>
      <c r="I89" s="4" t="s">
        <v>308</v>
      </c>
      <c r="J89" s="4" t="s">
        <v>308</v>
      </c>
    </row>
    <row r="90" spans="4:10" x14ac:dyDescent="0.2">
      <c r="D90" s="3" t="s">
        <v>1186</v>
      </c>
      <c r="E90" s="3" t="s">
        <v>426</v>
      </c>
      <c r="F90" s="3" t="s">
        <v>715</v>
      </c>
      <c r="G90" s="4" t="s">
        <v>107</v>
      </c>
      <c r="H90" s="4" t="s">
        <v>1153</v>
      </c>
      <c r="I90" s="4" t="s">
        <v>308</v>
      </c>
      <c r="J90" s="4" t="s">
        <v>423</v>
      </c>
    </row>
    <row r="91" spans="4:10" x14ac:dyDescent="0.2">
      <c r="D91" s="3" t="s">
        <v>1186</v>
      </c>
      <c r="E91" s="3" t="s">
        <v>426</v>
      </c>
      <c r="F91" s="3" t="s">
        <v>519</v>
      </c>
      <c r="G91" s="4" t="s">
        <v>107</v>
      </c>
      <c r="H91" s="4" t="s">
        <v>1153</v>
      </c>
      <c r="I91" s="4" t="s">
        <v>308</v>
      </c>
      <c r="J91" s="4" t="s">
        <v>680</v>
      </c>
    </row>
    <row r="92" spans="4:10" x14ac:dyDescent="0.2">
      <c r="D92" s="3" t="s">
        <v>1186</v>
      </c>
      <c r="E92" s="3" t="s">
        <v>426</v>
      </c>
      <c r="F92" s="3" t="s">
        <v>135</v>
      </c>
      <c r="G92" s="4" t="s">
        <v>107</v>
      </c>
      <c r="H92" s="4" t="s">
        <v>823</v>
      </c>
      <c r="I92" s="4" t="s">
        <v>1191</v>
      </c>
      <c r="J92" s="4" t="s">
        <v>1191</v>
      </c>
    </row>
    <row r="93" spans="4:10" x14ac:dyDescent="0.2">
      <c r="D93" s="3" t="s">
        <v>379</v>
      </c>
      <c r="E93" s="3" t="s">
        <v>162</v>
      </c>
      <c r="F93" s="3" t="s">
        <v>723</v>
      </c>
      <c r="G93" s="4" t="s">
        <v>107</v>
      </c>
      <c r="H93" s="4" t="s">
        <v>823</v>
      </c>
      <c r="I93" s="4" t="s">
        <v>1191</v>
      </c>
      <c r="J93" s="4" t="s">
        <v>1109</v>
      </c>
    </row>
    <row r="94" spans="4:10" x14ac:dyDescent="0.2">
      <c r="D94" s="3" t="s">
        <v>379</v>
      </c>
      <c r="E94" s="3" t="s">
        <v>162</v>
      </c>
      <c r="F94" s="3" t="s">
        <v>458</v>
      </c>
      <c r="G94" s="4" t="s">
        <v>107</v>
      </c>
      <c r="H94" s="4" t="s">
        <v>823</v>
      </c>
      <c r="I94" s="4" t="s">
        <v>34</v>
      </c>
      <c r="J94" s="4" t="s">
        <v>34</v>
      </c>
    </row>
    <row r="95" spans="4:10" x14ac:dyDescent="0.2">
      <c r="D95" s="3" t="s">
        <v>379</v>
      </c>
      <c r="E95" s="3" t="s">
        <v>162</v>
      </c>
      <c r="F95" s="3" t="s">
        <v>998</v>
      </c>
      <c r="G95" s="4" t="s">
        <v>107</v>
      </c>
      <c r="H95" s="4" t="s">
        <v>823</v>
      </c>
      <c r="I95" s="4" t="s">
        <v>1169</v>
      </c>
      <c r="J95" s="4" t="s">
        <v>1169</v>
      </c>
    </row>
    <row r="96" spans="4:10" x14ac:dyDescent="0.2">
      <c r="D96" s="3" t="s">
        <v>379</v>
      </c>
      <c r="E96" s="3" t="s">
        <v>162</v>
      </c>
      <c r="F96" s="3" t="s">
        <v>267</v>
      </c>
      <c r="G96" s="4" t="s">
        <v>107</v>
      </c>
      <c r="H96" s="4" t="s">
        <v>823</v>
      </c>
      <c r="I96" s="4" t="s">
        <v>65</v>
      </c>
      <c r="J96" s="4" t="s">
        <v>65</v>
      </c>
    </row>
    <row r="97" spans="4:10" x14ac:dyDescent="0.2">
      <c r="D97" s="3" t="s">
        <v>379</v>
      </c>
      <c r="E97" s="3" t="s">
        <v>162</v>
      </c>
      <c r="F97" s="3" t="s">
        <v>842</v>
      </c>
      <c r="G97" s="4" t="s">
        <v>107</v>
      </c>
      <c r="H97" s="4" t="s">
        <v>823</v>
      </c>
      <c r="I97" s="4" t="s">
        <v>65</v>
      </c>
      <c r="J97" s="4" t="s">
        <v>789</v>
      </c>
    </row>
    <row r="98" spans="4:10" x14ac:dyDescent="0.2">
      <c r="D98" s="3" t="s">
        <v>379</v>
      </c>
      <c r="E98" s="3" t="s">
        <v>162</v>
      </c>
      <c r="F98" s="3" t="s">
        <v>282</v>
      </c>
      <c r="G98" s="4" t="s">
        <v>107</v>
      </c>
      <c r="H98" s="4" t="s">
        <v>823</v>
      </c>
      <c r="I98" s="4" t="s">
        <v>255</v>
      </c>
      <c r="J98" s="4" t="s">
        <v>601</v>
      </c>
    </row>
    <row r="99" spans="4:10" ht="22.5" x14ac:dyDescent="0.2">
      <c r="D99" s="3" t="s">
        <v>379</v>
      </c>
      <c r="E99" s="3" t="s">
        <v>162</v>
      </c>
      <c r="F99" s="3" t="s">
        <v>86</v>
      </c>
      <c r="G99" s="4" t="s">
        <v>107</v>
      </c>
      <c r="H99" s="4" t="s">
        <v>823</v>
      </c>
      <c r="I99" s="4" t="s">
        <v>255</v>
      </c>
      <c r="J99" s="4" t="s">
        <v>641</v>
      </c>
    </row>
    <row r="100" spans="4:10" x14ac:dyDescent="0.2">
      <c r="D100" s="3" t="s">
        <v>379</v>
      </c>
      <c r="E100" s="3" t="s">
        <v>162</v>
      </c>
      <c r="F100" s="3" t="s">
        <v>667</v>
      </c>
      <c r="G100" s="4" t="s">
        <v>107</v>
      </c>
      <c r="H100" s="4" t="s">
        <v>823</v>
      </c>
      <c r="I100" s="4" t="s">
        <v>255</v>
      </c>
      <c r="J100" s="4" t="s">
        <v>814</v>
      </c>
    </row>
    <row r="101" spans="4:10" x14ac:dyDescent="0.2">
      <c r="D101" s="3" t="s">
        <v>379</v>
      </c>
      <c r="E101" s="3" t="s">
        <v>162</v>
      </c>
      <c r="F101" s="3" t="s">
        <v>649</v>
      </c>
      <c r="G101" s="4" t="s">
        <v>107</v>
      </c>
      <c r="H101" s="4" t="s">
        <v>823</v>
      </c>
      <c r="I101" s="4" t="s">
        <v>255</v>
      </c>
      <c r="J101" s="4" t="s">
        <v>255</v>
      </c>
    </row>
    <row r="102" spans="4:10" ht="22.5" x14ac:dyDescent="0.2">
      <c r="D102" s="3" t="s">
        <v>379</v>
      </c>
      <c r="E102" s="3" t="s">
        <v>162</v>
      </c>
      <c r="F102" s="3" t="s">
        <v>702</v>
      </c>
      <c r="G102" s="4" t="s">
        <v>107</v>
      </c>
      <c r="H102" s="4" t="s">
        <v>823</v>
      </c>
      <c r="I102" s="4" t="s">
        <v>1131</v>
      </c>
      <c r="J102" s="4" t="s">
        <v>372</v>
      </c>
    </row>
    <row r="103" spans="4:10" ht="22.5" x14ac:dyDescent="0.2">
      <c r="D103" s="3" t="s">
        <v>379</v>
      </c>
      <c r="E103" s="3" t="s">
        <v>162</v>
      </c>
      <c r="F103" s="3" t="s">
        <v>352</v>
      </c>
      <c r="G103" s="4" t="s">
        <v>107</v>
      </c>
      <c r="H103" s="4" t="s">
        <v>823</v>
      </c>
      <c r="I103" s="4" t="s">
        <v>1131</v>
      </c>
      <c r="J103" s="4" t="s">
        <v>1131</v>
      </c>
    </row>
    <row r="104" spans="4:10" ht="22.5" x14ac:dyDescent="0.2">
      <c r="D104" s="3" t="s">
        <v>379</v>
      </c>
      <c r="E104" s="3" t="s">
        <v>361</v>
      </c>
      <c r="F104" s="3" t="s">
        <v>781</v>
      </c>
      <c r="G104" s="4" t="s">
        <v>107</v>
      </c>
      <c r="H104" s="4" t="s">
        <v>823</v>
      </c>
      <c r="I104" s="4" t="s">
        <v>1131</v>
      </c>
      <c r="J104" s="4" t="s">
        <v>1063</v>
      </c>
    </row>
    <row r="105" spans="4:10" x14ac:dyDescent="0.2">
      <c r="D105" s="3" t="s">
        <v>379</v>
      </c>
      <c r="E105" s="3" t="s">
        <v>361</v>
      </c>
      <c r="F105" s="3" t="s">
        <v>918</v>
      </c>
      <c r="G105" s="4" t="s">
        <v>107</v>
      </c>
      <c r="H105" s="4" t="s">
        <v>823</v>
      </c>
      <c r="I105" s="4" t="s">
        <v>136</v>
      </c>
      <c r="J105" s="4" t="s">
        <v>276</v>
      </c>
    </row>
    <row r="106" spans="4:10" x14ac:dyDescent="0.2">
      <c r="D106" s="3" t="s">
        <v>379</v>
      </c>
      <c r="E106" s="3" t="s">
        <v>361</v>
      </c>
      <c r="F106" s="3" t="s">
        <v>478</v>
      </c>
      <c r="G106" s="4" t="s">
        <v>107</v>
      </c>
      <c r="H106" s="4" t="s">
        <v>823</v>
      </c>
      <c r="I106" s="4" t="s">
        <v>136</v>
      </c>
      <c r="J106" s="4" t="s">
        <v>339</v>
      </c>
    </row>
    <row r="107" spans="4:10" x14ac:dyDescent="0.2">
      <c r="D107" s="3" t="s">
        <v>379</v>
      </c>
      <c r="E107" s="3" t="s">
        <v>361</v>
      </c>
      <c r="F107" s="3" t="s">
        <v>362</v>
      </c>
      <c r="G107" s="4" t="s">
        <v>107</v>
      </c>
      <c r="H107" s="4" t="s">
        <v>823</v>
      </c>
      <c r="I107" s="4" t="s">
        <v>136</v>
      </c>
      <c r="J107" s="4" t="s">
        <v>136</v>
      </c>
    </row>
    <row r="108" spans="4:10" x14ac:dyDescent="0.2">
      <c r="D108" s="3" t="s">
        <v>379</v>
      </c>
      <c r="E108" s="3" t="s">
        <v>361</v>
      </c>
      <c r="F108" s="3" t="s">
        <v>859</v>
      </c>
      <c r="G108" s="4" t="s">
        <v>107</v>
      </c>
      <c r="H108" s="4" t="s">
        <v>823</v>
      </c>
      <c r="I108" s="4" t="s">
        <v>472</v>
      </c>
      <c r="J108" s="4" t="s">
        <v>731</v>
      </c>
    </row>
    <row r="109" spans="4:10" x14ac:dyDescent="0.2">
      <c r="D109" s="3" t="s">
        <v>379</v>
      </c>
      <c r="E109" s="3" t="s">
        <v>1223</v>
      </c>
      <c r="F109" s="3" t="s">
        <v>1223</v>
      </c>
      <c r="G109" s="4" t="s">
        <v>107</v>
      </c>
      <c r="H109" s="4" t="s">
        <v>823</v>
      </c>
      <c r="I109" s="4" t="s">
        <v>472</v>
      </c>
      <c r="J109" s="4" t="s">
        <v>446</v>
      </c>
    </row>
    <row r="110" spans="4:10" x14ac:dyDescent="0.2">
      <c r="D110" s="3" t="s">
        <v>379</v>
      </c>
      <c r="E110" s="3" t="s">
        <v>1223</v>
      </c>
      <c r="F110" s="3" t="s">
        <v>669</v>
      </c>
      <c r="G110" s="4" t="s">
        <v>107</v>
      </c>
      <c r="H110" s="4" t="s">
        <v>823</v>
      </c>
      <c r="I110" s="4" t="s">
        <v>472</v>
      </c>
      <c r="J110" s="4" t="s">
        <v>622</v>
      </c>
    </row>
    <row r="111" spans="4:10" x14ac:dyDescent="0.2">
      <c r="D111" s="3" t="s">
        <v>379</v>
      </c>
      <c r="E111" s="3" t="s">
        <v>831</v>
      </c>
      <c r="F111" s="3" t="s">
        <v>360</v>
      </c>
      <c r="G111" s="4" t="s">
        <v>107</v>
      </c>
      <c r="H111" s="4" t="s">
        <v>823</v>
      </c>
      <c r="I111" s="4" t="s">
        <v>472</v>
      </c>
      <c r="J111" s="4" t="s">
        <v>472</v>
      </c>
    </row>
    <row r="112" spans="4:10" x14ac:dyDescent="0.2">
      <c r="D112" s="3" t="s">
        <v>379</v>
      </c>
      <c r="E112" s="3" t="s">
        <v>831</v>
      </c>
      <c r="F112" s="3" t="s">
        <v>705</v>
      </c>
      <c r="G112" s="4" t="s">
        <v>107</v>
      </c>
      <c r="H112" s="4" t="s">
        <v>823</v>
      </c>
      <c r="I112" s="4" t="s">
        <v>99</v>
      </c>
      <c r="J112" s="4" t="s">
        <v>99</v>
      </c>
    </row>
    <row r="113" spans="4:10" x14ac:dyDescent="0.2">
      <c r="D113" s="3" t="s">
        <v>379</v>
      </c>
      <c r="E113" s="3" t="s">
        <v>831</v>
      </c>
      <c r="F113" s="3" t="s">
        <v>689</v>
      </c>
      <c r="G113" s="4" t="s">
        <v>107</v>
      </c>
      <c r="H113" s="4" t="s">
        <v>558</v>
      </c>
      <c r="I113" s="4" t="s">
        <v>103</v>
      </c>
      <c r="J113" s="4" t="s">
        <v>14</v>
      </c>
    </row>
    <row r="114" spans="4:10" x14ac:dyDescent="0.2">
      <c r="D114" s="3" t="s">
        <v>379</v>
      </c>
      <c r="E114" s="3" t="s">
        <v>831</v>
      </c>
      <c r="F114" s="3" t="s">
        <v>963</v>
      </c>
      <c r="G114" s="4" t="s">
        <v>107</v>
      </c>
      <c r="H114" s="4" t="s">
        <v>558</v>
      </c>
      <c r="I114" s="4" t="s">
        <v>103</v>
      </c>
      <c r="J114" s="4" t="s">
        <v>103</v>
      </c>
    </row>
    <row r="115" spans="4:10" x14ac:dyDescent="0.2">
      <c r="D115" s="3" t="s">
        <v>379</v>
      </c>
      <c r="E115" s="3" t="s">
        <v>831</v>
      </c>
      <c r="F115" s="3" t="s">
        <v>770</v>
      </c>
      <c r="G115" s="4" t="s">
        <v>107</v>
      </c>
      <c r="H115" s="4" t="s">
        <v>558</v>
      </c>
      <c r="I115" s="4" t="s">
        <v>103</v>
      </c>
      <c r="J115" s="4" t="s">
        <v>1181</v>
      </c>
    </row>
    <row r="116" spans="4:10" x14ac:dyDescent="0.2">
      <c r="D116" s="3" t="s">
        <v>379</v>
      </c>
      <c r="E116" s="3" t="s">
        <v>831</v>
      </c>
      <c r="F116" s="3" t="s">
        <v>555</v>
      </c>
      <c r="G116" s="4" t="s">
        <v>107</v>
      </c>
      <c r="H116" s="4" t="s">
        <v>558</v>
      </c>
      <c r="I116" s="4" t="s">
        <v>577</v>
      </c>
      <c r="J116" s="4" t="s">
        <v>518</v>
      </c>
    </row>
    <row r="117" spans="4:10" x14ac:dyDescent="0.2">
      <c r="D117" s="3" t="s">
        <v>815</v>
      </c>
      <c r="E117" s="3" t="s">
        <v>210</v>
      </c>
      <c r="F117" s="3" t="s">
        <v>980</v>
      </c>
      <c r="G117" s="4" t="s">
        <v>107</v>
      </c>
      <c r="H117" s="4" t="s">
        <v>558</v>
      </c>
      <c r="I117" s="4" t="s">
        <v>577</v>
      </c>
      <c r="J117" s="4" t="s">
        <v>577</v>
      </c>
    </row>
    <row r="118" spans="4:10" x14ac:dyDescent="0.2">
      <c r="D118" s="3" t="s">
        <v>815</v>
      </c>
      <c r="E118" s="3" t="s">
        <v>210</v>
      </c>
      <c r="F118" s="3" t="s">
        <v>945</v>
      </c>
      <c r="G118" s="4" t="s">
        <v>107</v>
      </c>
      <c r="H118" s="4" t="s">
        <v>558</v>
      </c>
      <c r="I118" s="4" t="s">
        <v>983</v>
      </c>
      <c r="J118" s="4" t="s">
        <v>835</v>
      </c>
    </row>
    <row r="119" spans="4:10" x14ac:dyDescent="0.2">
      <c r="D119" s="3" t="s">
        <v>815</v>
      </c>
      <c r="E119" s="3" t="s">
        <v>210</v>
      </c>
      <c r="F119" s="3" t="s">
        <v>913</v>
      </c>
      <c r="G119" s="4" t="s">
        <v>107</v>
      </c>
      <c r="H119" s="4" t="s">
        <v>558</v>
      </c>
      <c r="I119" s="4" t="s">
        <v>983</v>
      </c>
      <c r="J119" s="4" t="s">
        <v>142</v>
      </c>
    </row>
    <row r="120" spans="4:10" x14ac:dyDescent="0.2">
      <c r="D120" s="3" t="s">
        <v>815</v>
      </c>
      <c r="E120" s="3" t="s">
        <v>210</v>
      </c>
      <c r="F120" s="3" t="s">
        <v>659</v>
      </c>
      <c r="G120" s="4" t="s">
        <v>107</v>
      </c>
      <c r="H120" s="4" t="s">
        <v>558</v>
      </c>
      <c r="I120" s="4" t="s">
        <v>983</v>
      </c>
      <c r="J120" s="4" t="s">
        <v>983</v>
      </c>
    </row>
    <row r="121" spans="4:10" x14ac:dyDescent="0.2">
      <c r="D121" s="3" t="s">
        <v>815</v>
      </c>
      <c r="E121" s="3" t="s">
        <v>210</v>
      </c>
      <c r="F121" s="3" t="s">
        <v>1179</v>
      </c>
      <c r="G121" s="4" t="s">
        <v>107</v>
      </c>
      <c r="H121" s="4" t="s">
        <v>558</v>
      </c>
      <c r="I121" s="4" t="s">
        <v>269</v>
      </c>
      <c r="J121" s="4" t="s">
        <v>269</v>
      </c>
    </row>
    <row r="122" spans="4:10" ht="22.5" x14ac:dyDescent="0.2">
      <c r="D122" s="3" t="s">
        <v>815</v>
      </c>
      <c r="E122" s="3" t="s">
        <v>210</v>
      </c>
      <c r="F122" s="3" t="s">
        <v>899</v>
      </c>
      <c r="G122" s="4" t="s">
        <v>107</v>
      </c>
      <c r="H122" s="4" t="s">
        <v>558</v>
      </c>
      <c r="I122" s="4" t="s">
        <v>885</v>
      </c>
      <c r="J122" s="4" t="s">
        <v>822</v>
      </c>
    </row>
    <row r="123" spans="4:10" ht="22.5" x14ac:dyDescent="0.2">
      <c r="D123" s="3" t="s">
        <v>815</v>
      </c>
      <c r="E123" s="3" t="s">
        <v>145</v>
      </c>
      <c r="F123" s="3" t="s">
        <v>553</v>
      </c>
      <c r="G123" s="4" t="s">
        <v>107</v>
      </c>
      <c r="H123" s="4" t="s">
        <v>558</v>
      </c>
      <c r="I123" s="4" t="s">
        <v>885</v>
      </c>
      <c r="J123" s="4" t="s">
        <v>891</v>
      </c>
    </row>
    <row r="124" spans="4:10" ht="22.5" x14ac:dyDescent="0.2">
      <c r="D124" s="3" t="s">
        <v>815</v>
      </c>
      <c r="E124" s="3" t="s">
        <v>145</v>
      </c>
      <c r="F124" s="3" t="s">
        <v>947</v>
      </c>
      <c r="G124" s="4" t="s">
        <v>107</v>
      </c>
      <c r="H124" s="4" t="s">
        <v>558</v>
      </c>
      <c r="I124" s="4" t="s">
        <v>885</v>
      </c>
      <c r="J124" s="4" t="s">
        <v>1204</v>
      </c>
    </row>
    <row r="125" spans="4:10" ht="22.5" x14ac:dyDescent="0.2">
      <c r="D125" s="3" t="s">
        <v>815</v>
      </c>
      <c r="E125" s="3" t="s">
        <v>145</v>
      </c>
      <c r="F125" s="3" t="s">
        <v>221</v>
      </c>
      <c r="G125" s="4" t="s">
        <v>107</v>
      </c>
      <c r="H125" s="4" t="s">
        <v>558</v>
      </c>
      <c r="I125" s="4" t="s">
        <v>885</v>
      </c>
      <c r="J125" s="4" t="s">
        <v>885</v>
      </c>
    </row>
    <row r="126" spans="4:10" ht="22.5" x14ac:dyDescent="0.2">
      <c r="D126" s="3" t="s">
        <v>815</v>
      </c>
      <c r="E126" s="3" t="s">
        <v>145</v>
      </c>
      <c r="F126" s="3" t="s">
        <v>369</v>
      </c>
      <c r="G126" s="4" t="s">
        <v>107</v>
      </c>
      <c r="H126" s="4" t="s">
        <v>558</v>
      </c>
      <c r="I126" s="4" t="s">
        <v>227</v>
      </c>
      <c r="J126" s="4" t="s">
        <v>592</v>
      </c>
    </row>
    <row r="127" spans="4:10" ht="22.5" x14ac:dyDescent="0.2">
      <c r="D127" s="3" t="s">
        <v>815</v>
      </c>
      <c r="E127" s="3" t="s">
        <v>145</v>
      </c>
      <c r="F127" s="3" t="s">
        <v>678</v>
      </c>
      <c r="G127" s="4" t="s">
        <v>107</v>
      </c>
      <c r="H127" s="4" t="s">
        <v>558</v>
      </c>
      <c r="I127" s="4" t="s">
        <v>227</v>
      </c>
      <c r="J127" s="4" t="s">
        <v>853</v>
      </c>
    </row>
    <row r="128" spans="4:10" ht="22.5" x14ac:dyDescent="0.2">
      <c r="D128" s="3" t="s">
        <v>815</v>
      </c>
      <c r="E128" s="3" t="s">
        <v>145</v>
      </c>
      <c r="F128" s="3" t="s">
        <v>1016</v>
      </c>
      <c r="G128" s="4" t="s">
        <v>107</v>
      </c>
      <c r="H128" s="4" t="s">
        <v>558</v>
      </c>
      <c r="I128" s="4" t="s">
        <v>227</v>
      </c>
      <c r="J128" s="4" t="s">
        <v>706</v>
      </c>
    </row>
    <row r="129" spans="4:10" ht="22.5" x14ac:dyDescent="0.2">
      <c r="D129" s="3" t="s">
        <v>1134</v>
      </c>
      <c r="E129" s="3" t="s">
        <v>505</v>
      </c>
      <c r="F129" s="3" t="s">
        <v>505</v>
      </c>
      <c r="G129" s="4" t="s">
        <v>107</v>
      </c>
      <c r="H129" s="4" t="s">
        <v>558</v>
      </c>
      <c r="I129" s="4" t="s">
        <v>227</v>
      </c>
      <c r="J129" s="4" t="s">
        <v>443</v>
      </c>
    </row>
    <row r="130" spans="4:10" ht="22.5" x14ac:dyDescent="0.2">
      <c r="D130" s="3" t="s">
        <v>1134</v>
      </c>
      <c r="E130" s="3" t="s">
        <v>505</v>
      </c>
      <c r="F130" s="3" t="s">
        <v>219</v>
      </c>
      <c r="G130" s="4" t="s">
        <v>107</v>
      </c>
      <c r="H130" s="4" t="s">
        <v>558</v>
      </c>
      <c r="I130" s="4" t="s">
        <v>227</v>
      </c>
      <c r="J130" s="4" t="s">
        <v>1175</v>
      </c>
    </row>
    <row r="131" spans="4:10" ht="22.5" x14ac:dyDescent="0.2">
      <c r="D131" s="3" t="s">
        <v>1134</v>
      </c>
      <c r="E131" s="3" t="s">
        <v>505</v>
      </c>
      <c r="F131" s="3" t="s">
        <v>161</v>
      </c>
      <c r="G131" s="4" t="s">
        <v>107</v>
      </c>
      <c r="H131" s="4" t="s">
        <v>558</v>
      </c>
      <c r="I131" s="4" t="s">
        <v>227</v>
      </c>
      <c r="J131" s="4" t="s">
        <v>227</v>
      </c>
    </row>
    <row r="132" spans="4:10" x14ac:dyDescent="0.2">
      <c r="D132" s="3" t="s">
        <v>1134</v>
      </c>
      <c r="E132" s="3" t="s">
        <v>41</v>
      </c>
      <c r="F132" s="3" t="s">
        <v>783</v>
      </c>
      <c r="G132" s="4" t="s">
        <v>107</v>
      </c>
      <c r="H132" s="4" t="s">
        <v>558</v>
      </c>
      <c r="I132" s="4" t="s">
        <v>911</v>
      </c>
      <c r="J132" s="4" t="s">
        <v>946</v>
      </c>
    </row>
    <row r="133" spans="4:10" x14ac:dyDescent="0.2">
      <c r="D133" s="3" t="s">
        <v>1134</v>
      </c>
      <c r="E133" s="3" t="s">
        <v>41</v>
      </c>
      <c r="F133" s="3" t="s">
        <v>252</v>
      </c>
      <c r="G133" s="4" t="s">
        <v>107</v>
      </c>
      <c r="H133" s="4" t="s">
        <v>558</v>
      </c>
      <c r="I133" s="4" t="s">
        <v>911</v>
      </c>
      <c r="J133" s="4" t="s">
        <v>911</v>
      </c>
    </row>
    <row r="134" spans="4:10" ht="22.5" x14ac:dyDescent="0.2">
      <c r="D134" s="3" t="s">
        <v>1134</v>
      </c>
      <c r="E134" s="3" t="s">
        <v>682</v>
      </c>
      <c r="F134" s="3" t="s">
        <v>1167</v>
      </c>
      <c r="G134" s="4" t="s">
        <v>107</v>
      </c>
      <c r="H134" s="4" t="s">
        <v>558</v>
      </c>
      <c r="I134" s="4" t="s">
        <v>177</v>
      </c>
      <c r="J134" s="4" t="s">
        <v>177</v>
      </c>
    </row>
    <row r="135" spans="4:10" x14ac:dyDescent="0.2">
      <c r="D135" s="3" t="s">
        <v>1134</v>
      </c>
      <c r="E135" s="3" t="s">
        <v>682</v>
      </c>
      <c r="F135" s="3" t="s">
        <v>1146</v>
      </c>
      <c r="G135" s="4" t="s">
        <v>107</v>
      </c>
      <c r="H135" s="4" t="s">
        <v>558</v>
      </c>
      <c r="I135" s="4" t="s">
        <v>573</v>
      </c>
      <c r="J135" s="4" t="s">
        <v>504</v>
      </c>
    </row>
    <row r="136" spans="4:10" x14ac:dyDescent="0.2">
      <c r="D136" s="3" t="s">
        <v>1058</v>
      </c>
      <c r="E136" s="3" t="s">
        <v>615</v>
      </c>
      <c r="F136" s="3" t="s">
        <v>615</v>
      </c>
      <c r="G136" s="4" t="s">
        <v>107</v>
      </c>
      <c r="H136" s="4" t="s">
        <v>558</v>
      </c>
      <c r="I136" s="4" t="s">
        <v>573</v>
      </c>
      <c r="J136" s="4" t="s">
        <v>767</v>
      </c>
    </row>
    <row r="137" spans="4:10" x14ac:dyDescent="0.2">
      <c r="D137" s="3" t="s">
        <v>1058</v>
      </c>
      <c r="E137" s="3" t="s">
        <v>615</v>
      </c>
      <c r="F137" s="3" t="s">
        <v>1092</v>
      </c>
      <c r="G137" s="4" t="s">
        <v>107</v>
      </c>
      <c r="H137" s="4" t="s">
        <v>558</v>
      </c>
      <c r="I137" s="4" t="s">
        <v>573</v>
      </c>
      <c r="J137" s="4" t="s">
        <v>573</v>
      </c>
    </row>
    <row r="138" spans="4:10" ht="22.5" x14ac:dyDescent="0.2">
      <c r="D138" s="3" t="s">
        <v>1058</v>
      </c>
      <c r="E138" s="3" t="s">
        <v>615</v>
      </c>
      <c r="F138" s="3" t="s">
        <v>867</v>
      </c>
      <c r="G138" s="4" t="s">
        <v>521</v>
      </c>
      <c r="H138" s="4" t="s">
        <v>1172</v>
      </c>
      <c r="I138" s="4" t="s">
        <v>1219</v>
      </c>
      <c r="J138" s="4" t="s">
        <v>1219</v>
      </c>
    </row>
    <row r="139" spans="4:10" ht="22.5" x14ac:dyDescent="0.2">
      <c r="D139" s="3" t="s">
        <v>1058</v>
      </c>
      <c r="E139" s="3" t="s">
        <v>615</v>
      </c>
      <c r="F139" s="3" t="s">
        <v>560</v>
      </c>
      <c r="G139" s="4" t="s">
        <v>521</v>
      </c>
      <c r="H139" s="4" t="s">
        <v>1172</v>
      </c>
      <c r="I139" s="4" t="s">
        <v>1219</v>
      </c>
      <c r="J139" s="4" t="s">
        <v>28</v>
      </c>
    </row>
    <row r="140" spans="4:10" ht="22.5" x14ac:dyDescent="0.2">
      <c r="D140" s="3" t="s">
        <v>1058</v>
      </c>
      <c r="E140" s="3" t="s">
        <v>615</v>
      </c>
      <c r="F140" s="3" t="s">
        <v>725</v>
      </c>
      <c r="G140" s="4" t="s">
        <v>521</v>
      </c>
      <c r="H140" s="4" t="s">
        <v>1172</v>
      </c>
      <c r="I140" s="4" t="s">
        <v>1219</v>
      </c>
      <c r="J140" s="4" t="s">
        <v>826</v>
      </c>
    </row>
    <row r="141" spans="4:10" ht="22.5" x14ac:dyDescent="0.2">
      <c r="D141" s="3" t="s">
        <v>1058</v>
      </c>
      <c r="E141" s="3" t="s">
        <v>615</v>
      </c>
      <c r="F141" s="3" t="s">
        <v>1164</v>
      </c>
      <c r="G141" s="4" t="s">
        <v>521</v>
      </c>
      <c r="H141" s="4" t="s">
        <v>1172</v>
      </c>
      <c r="I141" s="4" t="s">
        <v>381</v>
      </c>
      <c r="J141" s="4" t="s">
        <v>1129</v>
      </c>
    </row>
    <row r="142" spans="4:10" ht="22.5" x14ac:dyDescent="0.2">
      <c r="D142" s="3" t="s">
        <v>1058</v>
      </c>
      <c r="E142" s="3" t="s">
        <v>1062</v>
      </c>
      <c r="F142" s="3" t="s">
        <v>220</v>
      </c>
      <c r="G142" s="4" t="s">
        <v>521</v>
      </c>
      <c r="H142" s="4" t="s">
        <v>1172</v>
      </c>
      <c r="I142" s="4" t="s">
        <v>381</v>
      </c>
      <c r="J142" s="4" t="s">
        <v>381</v>
      </c>
    </row>
    <row r="143" spans="4:10" ht="22.5" x14ac:dyDescent="0.2">
      <c r="D143" s="3" t="s">
        <v>1058</v>
      </c>
      <c r="E143" s="3" t="s">
        <v>1062</v>
      </c>
      <c r="F143" s="3" t="s">
        <v>1166</v>
      </c>
      <c r="G143" s="4" t="s">
        <v>521</v>
      </c>
      <c r="H143" s="4" t="s">
        <v>1172</v>
      </c>
      <c r="I143" s="4" t="s">
        <v>381</v>
      </c>
      <c r="J143" s="4" t="s">
        <v>178</v>
      </c>
    </row>
    <row r="144" spans="4:10" ht="22.5" x14ac:dyDescent="0.2">
      <c r="D144" s="3" t="s">
        <v>1058</v>
      </c>
      <c r="E144" s="3" t="s">
        <v>1062</v>
      </c>
      <c r="F144" s="3" t="s">
        <v>195</v>
      </c>
      <c r="G144" s="4" t="s">
        <v>521</v>
      </c>
      <c r="H144" s="4" t="s">
        <v>1172</v>
      </c>
      <c r="I144" s="4" t="s">
        <v>1193</v>
      </c>
      <c r="J144" s="4" t="s">
        <v>1193</v>
      </c>
    </row>
    <row r="145" spans="4:10" ht="22.5" x14ac:dyDescent="0.2">
      <c r="D145" s="3" t="s">
        <v>1058</v>
      </c>
      <c r="E145" s="3" t="s">
        <v>549</v>
      </c>
      <c r="F145" s="3" t="s">
        <v>549</v>
      </c>
      <c r="G145" s="4" t="s">
        <v>521</v>
      </c>
      <c r="H145" s="4" t="s">
        <v>1172</v>
      </c>
      <c r="I145" s="4" t="s">
        <v>1193</v>
      </c>
      <c r="J145" s="4" t="s">
        <v>931</v>
      </c>
    </row>
    <row r="146" spans="4:10" ht="22.5" x14ac:dyDescent="0.2">
      <c r="D146" s="3" t="s">
        <v>1058</v>
      </c>
      <c r="E146" s="3" t="s">
        <v>549</v>
      </c>
      <c r="F146" s="3" t="s">
        <v>466</v>
      </c>
      <c r="G146" s="4" t="s">
        <v>521</v>
      </c>
      <c r="H146" s="4" t="s">
        <v>1172</v>
      </c>
      <c r="I146" s="4" t="s">
        <v>72</v>
      </c>
      <c r="J146" s="4" t="s">
        <v>606</v>
      </c>
    </row>
    <row r="147" spans="4:10" ht="22.5" x14ac:dyDescent="0.2">
      <c r="D147" s="3" t="s">
        <v>1058</v>
      </c>
      <c r="E147" s="3" t="s">
        <v>549</v>
      </c>
      <c r="F147" s="3" t="s">
        <v>1001</v>
      </c>
      <c r="G147" s="4" t="s">
        <v>521</v>
      </c>
      <c r="H147" s="4" t="s">
        <v>1172</v>
      </c>
      <c r="I147" s="4" t="s">
        <v>72</v>
      </c>
      <c r="J147" s="4" t="s">
        <v>72</v>
      </c>
    </row>
    <row r="148" spans="4:10" ht="22.5" x14ac:dyDescent="0.2">
      <c r="D148" s="3" t="s">
        <v>1058</v>
      </c>
      <c r="E148" s="3" t="s">
        <v>549</v>
      </c>
      <c r="F148" s="3" t="s">
        <v>280</v>
      </c>
      <c r="G148" s="4" t="s">
        <v>521</v>
      </c>
      <c r="H148" s="4" t="s">
        <v>1172</v>
      </c>
      <c r="I148" s="4" t="s">
        <v>72</v>
      </c>
      <c r="J148" s="4" t="s">
        <v>1052</v>
      </c>
    </row>
    <row r="149" spans="4:10" x14ac:dyDescent="0.2">
      <c r="D149" s="3" t="s">
        <v>1058</v>
      </c>
      <c r="E149" s="3" t="s">
        <v>549</v>
      </c>
      <c r="F149" s="3" t="s">
        <v>1147</v>
      </c>
      <c r="G149" s="4" t="s">
        <v>521</v>
      </c>
      <c r="H149" s="4" t="s">
        <v>155</v>
      </c>
      <c r="I149" s="4" t="s">
        <v>780</v>
      </c>
      <c r="J149" s="4" t="s">
        <v>807</v>
      </c>
    </row>
    <row r="150" spans="4:10" x14ac:dyDescent="0.2">
      <c r="D150" s="3" t="s">
        <v>184</v>
      </c>
      <c r="E150" s="3" t="s">
        <v>711</v>
      </c>
      <c r="F150" s="3" t="s">
        <v>711</v>
      </c>
      <c r="G150" s="4" t="s">
        <v>521</v>
      </c>
      <c r="H150" s="4" t="s">
        <v>155</v>
      </c>
      <c r="I150" s="4" t="s">
        <v>780</v>
      </c>
      <c r="J150" s="4" t="s">
        <v>780</v>
      </c>
    </row>
    <row r="151" spans="4:10" x14ac:dyDescent="0.2">
      <c r="D151" s="3" t="s">
        <v>184</v>
      </c>
      <c r="E151" s="3" t="s">
        <v>934</v>
      </c>
      <c r="F151" s="3" t="s">
        <v>285</v>
      </c>
      <c r="G151" s="4" t="s">
        <v>521</v>
      </c>
      <c r="H151" s="4" t="s">
        <v>155</v>
      </c>
      <c r="I151" s="4" t="s">
        <v>780</v>
      </c>
      <c r="J151" s="4" t="s">
        <v>568</v>
      </c>
    </row>
    <row r="152" spans="4:10" x14ac:dyDescent="0.2">
      <c r="D152" s="3" t="s">
        <v>184</v>
      </c>
      <c r="E152" s="3" t="s">
        <v>934</v>
      </c>
      <c r="F152" s="3" t="s">
        <v>286</v>
      </c>
      <c r="G152" s="4" t="s">
        <v>521</v>
      </c>
      <c r="H152" s="4" t="s">
        <v>155</v>
      </c>
      <c r="I152" s="4" t="s">
        <v>780</v>
      </c>
      <c r="J152" s="4" t="s">
        <v>629</v>
      </c>
    </row>
    <row r="153" spans="4:10" x14ac:dyDescent="0.2">
      <c r="D153" s="3" t="s">
        <v>184</v>
      </c>
      <c r="E153" s="3" t="s">
        <v>934</v>
      </c>
      <c r="F153" s="3" t="s">
        <v>383</v>
      </c>
      <c r="G153" s="4" t="s">
        <v>521</v>
      </c>
      <c r="H153" s="4" t="s">
        <v>155</v>
      </c>
      <c r="I153" s="4" t="s">
        <v>780</v>
      </c>
      <c r="J153" s="4" t="s">
        <v>418</v>
      </c>
    </row>
    <row r="154" spans="4:10" x14ac:dyDescent="0.2">
      <c r="D154" s="3" t="s">
        <v>184</v>
      </c>
      <c r="E154" s="3" t="s">
        <v>934</v>
      </c>
      <c r="F154" s="3" t="s">
        <v>382</v>
      </c>
      <c r="G154" s="4" t="s">
        <v>521</v>
      </c>
      <c r="H154" s="4" t="s">
        <v>155</v>
      </c>
      <c r="I154" s="4" t="s">
        <v>780</v>
      </c>
      <c r="J154" s="4" t="s">
        <v>805</v>
      </c>
    </row>
    <row r="155" spans="4:10" x14ac:dyDescent="0.2">
      <c r="D155" s="3" t="s">
        <v>184</v>
      </c>
      <c r="E155" s="3" t="s">
        <v>934</v>
      </c>
      <c r="F155" s="3" t="s">
        <v>297</v>
      </c>
      <c r="G155" s="4" t="s">
        <v>521</v>
      </c>
      <c r="H155" s="4" t="s">
        <v>155</v>
      </c>
      <c r="I155" s="4" t="s">
        <v>372</v>
      </c>
      <c r="J155" s="4" t="s">
        <v>372</v>
      </c>
    </row>
    <row r="156" spans="4:10" x14ac:dyDescent="0.2">
      <c r="D156" s="3" t="s">
        <v>184</v>
      </c>
      <c r="E156" s="3" t="s">
        <v>934</v>
      </c>
      <c r="F156" s="3" t="s">
        <v>927</v>
      </c>
      <c r="G156" s="4" t="s">
        <v>521</v>
      </c>
      <c r="H156" s="4" t="s">
        <v>155</v>
      </c>
      <c r="I156" s="4" t="s">
        <v>666</v>
      </c>
      <c r="J156" s="4" t="s">
        <v>341</v>
      </c>
    </row>
    <row r="157" spans="4:10" x14ac:dyDescent="0.2">
      <c r="D157" s="3" t="s">
        <v>184</v>
      </c>
      <c r="E157" s="3" t="s">
        <v>934</v>
      </c>
      <c r="F157" s="3" t="s">
        <v>732</v>
      </c>
      <c r="G157" s="4" t="s">
        <v>521</v>
      </c>
      <c r="H157" s="4" t="s">
        <v>155</v>
      </c>
      <c r="I157" s="4" t="s">
        <v>666</v>
      </c>
      <c r="J157" s="4" t="s">
        <v>666</v>
      </c>
    </row>
    <row r="158" spans="4:10" x14ac:dyDescent="0.2">
      <c r="G158" s="4" t="s">
        <v>521</v>
      </c>
      <c r="H158" s="4" t="s">
        <v>155</v>
      </c>
      <c r="I158" s="4" t="s">
        <v>666</v>
      </c>
      <c r="J158" s="4" t="s">
        <v>948</v>
      </c>
    </row>
    <row r="159" spans="4:10" ht="22.5" x14ac:dyDescent="0.2">
      <c r="G159" s="4" t="s">
        <v>521</v>
      </c>
      <c r="H159" s="4" t="s">
        <v>375</v>
      </c>
      <c r="I159" s="4" t="s">
        <v>1</v>
      </c>
      <c r="J159" s="4" t="s">
        <v>1</v>
      </c>
    </row>
    <row r="160" spans="4:10" ht="22.5" x14ac:dyDescent="0.2">
      <c r="G160" s="4" t="s">
        <v>521</v>
      </c>
      <c r="H160" s="4" t="s">
        <v>375</v>
      </c>
      <c r="I160" s="4" t="s">
        <v>1</v>
      </c>
      <c r="J160" s="4" t="s">
        <v>1115</v>
      </c>
    </row>
    <row r="161" spans="7:10" ht="22.5" x14ac:dyDescent="0.2">
      <c r="G161" s="4" t="s">
        <v>521</v>
      </c>
      <c r="H161" s="4" t="s">
        <v>375</v>
      </c>
      <c r="I161" s="4" t="s">
        <v>114</v>
      </c>
      <c r="J161" s="4" t="s">
        <v>134</v>
      </c>
    </row>
    <row r="162" spans="7:10" ht="22.5" x14ac:dyDescent="0.2">
      <c r="G162" s="4" t="s">
        <v>521</v>
      </c>
      <c r="H162" s="4" t="s">
        <v>375</v>
      </c>
      <c r="I162" s="4" t="s">
        <v>114</v>
      </c>
      <c r="J162" s="4" t="s">
        <v>71</v>
      </c>
    </row>
    <row r="163" spans="7:10" ht="22.5" x14ac:dyDescent="0.2">
      <c r="G163" s="4" t="s">
        <v>521</v>
      </c>
      <c r="H163" s="4" t="s">
        <v>375</v>
      </c>
      <c r="I163" s="4" t="s">
        <v>114</v>
      </c>
      <c r="J163" s="4" t="s">
        <v>114</v>
      </c>
    </row>
    <row r="164" spans="7:10" ht="22.5" x14ac:dyDescent="0.2">
      <c r="G164" s="4" t="s">
        <v>521</v>
      </c>
      <c r="H164" s="4" t="s">
        <v>375</v>
      </c>
      <c r="I164" s="4" t="s">
        <v>114</v>
      </c>
      <c r="J164" s="4" t="s">
        <v>259</v>
      </c>
    </row>
    <row r="165" spans="7:10" ht="22.5" x14ac:dyDescent="0.2">
      <c r="G165" s="4" t="s">
        <v>521</v>
      </c>
      <c r="H165" s="4" t="s">
        <v>375</v>
      </c>
      <c r="I165" s="4" t="s">
        <v>114</v>
      </c>
      <c r="J165" s="4" t="s">
        <v>956</v>
      </c>
    </row>
    <row r="166" spans="7:10" ht="22.5" x14ac:dyDescent="0.2">
      <c r="G166" s="4" t="s">
        <v>521</v>
      </c>
      <c r="H166" s="4" t="s">
        <v>375</v>
      </c>
      <c r="I166" s="4" t="s">
        <v>620</v>
      </c>
      <c r="J166" s="4" t="s">
        <v>620</v>
      </c>
    </row>
    <row r="167" spans="7:10" ht="22.5" x14ac:dyDescent="0.2">
      <c r="G167" s="4" t="s">
        <v>521</v>
      </c>
      <c r="H167" s="4" t="s">
        <v>375</v>
      </c>
      <c r="I167" s="4" t="s">
        <v>905</v>
      </c>
      <c r="J167" s="4" t="s">
        <v>605</v>
      </c>
    </row>
    <row r="168" spans="7:10" ht="22.5" x14ac:dyDescent="0.2">
      <c r="G168" s="4" t="s">
        <v>521</v>
      </c>
      <c r="H168" s="4" t="s">
        <v>375</v>
      </c>
      <c r="I168" s="4" t="s">
        <v>905</v>
      </c>
      <c r="J168" s="4" t="s">
        <v>943</v>
      </c>
    </row>
    <row r="169" spans="7:10" ht="22.5" x14ac:dyDescent="0.2">
      <c r="G169" s="4" t="s">
        <v>521</v>
      </c>
      <c r="H169" s="4" t="s">
        <v>375</v>
      </c>
      <c r="I169" s="4" t="s">
        <v>905</v>
      </c>
      <c r="J169" s="4" t="s">
        <v>481</v>
      </c>
    </row>
    <row r="170" spans="7:10" ht="22.5" x14ac:dyDescent="0.2">
      <c r="G170" s="4" t="s">
        <v>521</v>
      </c>
      <c r="H170" s="4" t="s">
        <v>375</v>
      </c>
      <c r="I170" s="4" t="s">
        <v>905</v>
      </c>
      <c r="J170" s="4" t="s">
        <v>905</v>
      </c>
    </row>
    <row r="171" spans="7:10" x14ac:dyDescent="0.2">
      <c r="G171" s="4" t="s">
        <v>815</v>
      </c>
      <c r="H171" s="4" t="s">
        <v>145</v>
      </c>
      <c r="I171" s="4" t="s">
        <v>947</v>
      </c>
      <c r="J171" s="4" t="s">
        <v>947</v>
      </c>
    </row>
    <row r="172" spans="7:10" x14ac:dyDescent="0.2">
      <c r="G172" s="4" t="s">
        <v>815</v>
      </c>
      <c r="H172" s="4" t="s">
        <v>145</v>
      </c>
      <c r="I172" s="4" t="s">
        <v>947</v>
      </c>
      <c r="J172" s="4" t="s">
        <v>389</v>
      </c>
    </row>
    <row r="173" spans="7:10" x14ac:dyDescent="0.2">
      <c r="G173" s="4" t="s">
        <v>815</v>
      </c>
      <c r="H173" s="4" t="s">
        <v>145</v>
      </c>
      <c r="I173" s="4" t="s">
        <v>947</v>
      </c>
      <c r="J173" s="4" t="s">
        <v>335</v>
      </c>
    </row>
    <row r="174" spans="7:10" x14ac:dyDescent="0.2">
      <c r="G174" s="4" t="s">
        <v>815</v>
      </c>
      <c r="H174" s="4" t="s">
        <v>145</v>
      </c>
      <c r="I174" s="4" t="s">
        <v>553</v>
      </c>
      <c r="J174" s="4" t="s">
        <v>553</v>
      </c>
    </row>
    <row r="175" spans="7:10" x14ac:dyDescent="0.2">
      <c r="G175" s="4" t="s">
        <v>815</v>
      </c>
      <c r="H175" s="4" t="s">
        <v>145</v>
      </c>
      <c r="I175" s="4" t="s">
        <v>553</v>
      </c>
      <c r="J175" s="4" t="s">
        <v>588</v>
      </c>
    </row>
    <row r="176" spans="7:10" x14ac:dyDescent="0.2">
      <c r="G176" s="4" t="s">
        <v>815</v>
      </c>
      <c r="H176" s="4" t="s">
        <v>145</v>
      </c>
      <c r="I176" s="4" t="s">
        <v>553</v>
      </c>
      <c r="J176" s="4" t="s">
        <v>611</v>
      </c>
    </row>
    <row r="177" spans="7:10" x14ac:dyDescent="0.2">
      <c r="G177" s="4" t="s">
        <v>815</v>
      </c>
      <c r="H177" s="4" t="s">
        <v>145</v>
      </c>
      <c r="I177" s="4" t="s">
        <v>221</v>
      </c>
      <c r="J177" s="4" t="s">
        <v>221</v>
      </c>
    </row>
    <row r="178" spans="7:10" x14ac:dyDescent="0.2">
      <c r="G178" s="4" t="s">
        <v>815</v>
      </c>
      <c r="H178" s="4" t="s">
        <v>145</v>
      </c>
      <c r="I178" s="4" t="s">
        <v>221</v>
      </c>
      <c r="J178" s="4" t="s">
        <v>273</v>
      </c>
    </row>
    <row r="179" spans="7:10" x14ac:dyDescent="0.2">
      <c r="G179" s="4" t="s">
        <v>815</v>
      </c>
      <c r="H179" s="4" t="s">
        <v>145</v>
      </c>
      <c r="I179" s="4" t="s">
        <v>369</v>
      </c>
      <c r="J179" s="4" t="s">
        <v>369</v>
      </c>
    </row>
    <row r="180" spans="7:10" x14ac:dyDescent="0.2">
      <c r="G180" s="4" t="s">
        <v>815</v>
      </c>
      <c r="H180" s="4" t="s">
        <v>145</v>
      </c>
      <c r="I180" s="4" t="s">
        <v>369</v>
      </c>
      <c r="J180" s="4" t="s">
        <v>721</v>
      </c>
    </row>
    <row r="181" spans="7:10" x14ac:dyDescent="0.2">
      <c r="G181" s="4" t="s">
        <v>815</v>
      </c>
      <c r="H181" s="4" t="s">
        <v>145</v>
      </c>
      <c r="I181" s="4" t="s">
        <v>1016</v>
      </c>
      <c r="J181" s="4" t="s">
        <v>1016</v>
      </c>
    </row>
    <row r="182" spans="7:10" x14ac:dyDescent="0.2">
      <c r="G182" s="4" t="s">
        <v>815</v>
      </c>
      <c r="H182" s="4" t="s">
        <v>145</v>
      </c>
      <c r="I182" s="4" t="s">
        <v>678</v>
      </c>
      <c r="J182" s="4" t="s">
        <v>678</v>
      </c>
    </row>
    <row r="183" spans="7:10" x14ac:dyDescent="0.2">
      <c r="G183" s="4" t="s">
        <v>815</v>
      </c>
      <c r="H183" s="4" t="s">
        <v>145</v>
      </c>
      <c r="I183" s="4" t="s">
        <v>678</v>
      </c>
      <c r="J183" s="4" t="s">
        <v>137</v>
      </c>
    </row>
    <row r="184" spans="7:10" x14ac:dyDescent="0.2">
      <c r="G184" s="4" t="s">
        <v>815</v>
      </c>
      <c r="H184" s="4" t="s">
        <v>210</v>
      </c>
      <c r="I184" s="4" t="s">
        <v>945</v>
      </c>
      <c r="J184" s="4" t="s">
        <v>1043</v>
      </c>
    </row>
    <row r="185" spans="7:10" x14ac:dyDescent="0.2">
      <c r="G185" s="4" t="s">
        <v>815</v>
      </c>
      <c r="H185" s="4" t="s">
        <v>210</v>
      </c>
      <c r="I185" s="4" t="s">
        <v>945</v>
      </c>
      <c r="J185" s="4" t="s">
        <v>945</v>
      </c>
    </row>
    <row r="186" spans="7:10" x14ac:dyDescent="0.2">
      <c r="G186" s="4" t="s">
        <v>815</v>
      </c>
      <c r="H186" s="4" t="s">
        <v>210</v>
      </c>
      <c r="I186" s="4" t="s">
        <v>945</v>
      </c>
      <c r="J186" s="4" t="s">
        <v>676</v>
      </c>
    </row>
    <row r="187" spans="7:10" x14ac:dyDescent="0.2">
      <c r="G187" s="4" t="s">
        <v>815</v>
      </c>
      <c r="H187" s="4" t="s">
        <v>210</v>
      </c>
      <c r="I187" s="4" t="s">
        <v>913</v>
      </c>
      <c r="J187" s="4" t="s">
        <v>612</v>
      </c>
    </row>
    <row r="188" spans="7:10" x14ac:dyDescent="0.2">
      <c r="G188" s="4" t="s">
        <v>815</v>
      </c>
      <c r="H188" s="4" t="s">
        <v>210</v>
      </c>
      <c r="I188" s="4" t="s">
        <v>913</v>
      </c>
      <c r="J188" s="4" t="s">
        <v>913</v>
      </c>
    </row>
    <row r="189" spans="7:10" x14ac:dyDescent="0.2">
      <c r="G189" s="4" t="s">
        <v>815</v>
      </c>
      <c r="H189" s="4" t="s">
        <v>210</v>
      </c>
      <c r="I189" s="4" t="s">
        <v>913</v>
      </c>
      <c r="J189" s="4" t="s">
        <v>571</v>
      </c>
    </row>
    <row r="190" spans="7:10" x14ac:dyDescent="0.2">
      <c r="G190" s="4" t="s">
        <v>815</v>
      </c>
      <c r="H190" s="4" t="s">
        <v>210</v>
      </c>
      <c r="I190" s="4" t="s">
        <v>659</v>
      </c>
      <c r="J190" s="4" t="s">
        <v>707</v>
      </c>
    </row>
    <row r="191" spans="7:10" x14ac:dyDescent="0.2">
      <c r="G191" s="4" t="s">
        <v>815</v>
      </c>
      <c r="H191" s="4" t="s">
        <v>210</v>
      </c>
      <c r="I191" s="4" t="s">
        <v>659</v>
      </c>
      <c r="J191" s="4" t="s">
        <v>659</v>
      </c>
    </row>
    <row r="192" spans="7:10" ht="22.5" x14ac:dyDescent="0.2">
      <c r="G192" s="4" t="s">
        <v>815</v>
      </c>
      <c r="H192" s="4" t="s">
        <v>210</v>
      </c>
      <c r="I192" s="4" t="s">
        <v>1179</v>
      </c>
      <c r="J192" s="4" t="s">
        <v>128</v>
      </c>
    </row>
    <row r="193" spans="7:10" ht="22.5" x14ac:dyDescent="0.2">
      <c r="G193" s="4" t="s">
        <v>815</v>
      </c>
      <c r="H193" s="4" t="s">
        <v>210</v>
      </c>
      <c r="I193" s="4" t="s">
        <v>1179</v>
      </c>
      <c r="J193" s="4" t="s">
        <v>1179</v>
      </c>
    </row>
    <row r="194" spans="7:10" ht="22.5" x14ac:dyDescent="0.2">
      <c r="G194" s="4" t="s">
        <v>815</v>
      </c>
      <c r="H194" s="4" t="s">
        <v>210</v>
      </c>
      <c r="I194" s="4" t="s">
        <v>1179</v>
      </c>
      <c r="J194" s="4" t="s">
        <v>498</v>
      </c>
    </row>
    <row r="195" spans="7:10" ht="22.5" x14ac:dyDescent="0.2">
      <c r="G195" s="4" t="s">
        <v>815</v>
      </c>
      <c r="H195" s="4" t="s">
        <v>210</v>
      </c>
      <c r="I195" s="4" t="s">
        <v>980</v>
      </c>
      <c r="J195" s="4" t="s">
        <v>225</v>
      </c>
    </row>
    <row r="196" spans="7:10" ht="22.5" x14ac:dyDescent="0.2">
      <c r="G196" s="4" t="s">
        <v>815</v>
      </c>
      <c r="H196" s="4" t="s">
        <v>210</v>
      </c>
      <c r="I196" s="4" t="s">
        <v>980</v>
      </c>
      <c r="J196" s="4" t="s">
        <v>273</v>
      </c>
    </row>
    <row r="197" spans="7:10" ht="22.5" x14ac:dyDescent="0.2">
      <c r="G197" s="4" t="s">
        <v>815</v>
      </c>
      <c r="H197" s="4" t="s">
        <v>210</v>
      </c>
      <c r="I197" s="4" t="s">
        <v>980</v>
      </c>
      <c r="J197" s="4" t="s">
        <v>902</v>
      </c>
    </row>
    <row r="198" spans="7:10" ht="22.5" x14ac:dyDescent="0.2">
      <c r="G198" s="4" t="s">
        <v>815</v>
      </c>
      <c r="H198" s="4" t="s">
        <v>210</v>
      </c>
      <c r="I198" s="4" t="s">
        <v>980</v>
      </c>
      <c r="J198" s="4" t="s">
        <v>294</v>
      </c>
    </row>
    <row r="199" spans="7:10" ht="22.5" x14ac:dyDescent="0.2">
      <c r="G199" s="4" t="s">
        <v>815</v>
      </c>
      <c r="H199" s="4" t="s">
        <v>210</v>
      </c>
      <c r="I199" s="4" t="s">
        <v>980</v>
      </c>
      <c r="J199" s="4" t="s">
        <v>584</v>
      </c>
    </row>
    <row r="200" spans="7:10" ht="22.5" x14ac:dyDescent="0.2">
      <c r="G200" s="4" t="s">
        <v>815</v>
      </c>
      <c r="H200" s="4" t="s">
        <v>210</v>
      </c>
      <c r="I200" s="4" t="s">
        <v>980</v>
      </c>
      <c r="J200" s="4" t="s">
        <v>172</v>
      </c>
    </row>
    <row r="201" spans="7:10" ht="22.5" x14ac:dyDescent="0.2">
      <c r="G201" s="4" t="s">
        <v>815</v>
      </c>
      <c r="H201" s="4" t="s">
        <v>210</v>
      </c>
      <c r="I201" s="4" t="s">
        <v>980</v>
      </c>
      <c r="J201" s="4" t="s">
        <v>795</v>
      </c>
    </row>
    <row r="202" spans="7:10" ht="22.5" x14ac:dyDescent="0.2">
      <c r="G202" s="4" t="s">
        <v>815</v>
      </c>
      <c r="H202" s="4" t="s">
        <v>210</v>
      </c>
      <c r="I202" s="4" t="s">
        <v>980</v>
      </c>
      <c r="J202" s="4" t="s">
        <v>1210</v>
      </c>
    </row>
    <row r="203" spans="7:10" ht="22.5" x14ac:dyDescent="0.2">
      <c r="G203" s="4" t="s">
        <v>815</v>
      </c>
      <c r="H203" s="4" t="s">
        <v>210</v>
      </c>
      <c r="I203" s="4" t="s">
        <v>980</v>
      </c>
      <c r="J203" s="4" t="s">
        <v>672</v>
      </c>
    </row>
    <row r="204" spans="7:10" ht="22.5" x14ac:dyDescent="0.2">
      <c r="G204" s="4" t="s">
        <v>815</v>
      </c>
      <c r="H204" s="4" t="s">
        <v>210</v>
      </c>
      <c r="I204" s="4" t="s">
        <v>980</v>
      </c>
      <c r="J204" s="4" t="s">
        <v>1005</v>
      </c>
    </row>
    <row r="205" spans="7:10" ht="22.5" x14ac:dyDescent="0.2">
      <c r="G205" s="4" t="s">
        <v>815</v>
      </c>
      <c r="H205" s="4" t="s">
        <v>210</v>
      </c>
      <c r="I205" s="4" t="s">
        <v>980</v>
      </c>
      <c r="J205" s="4" t="s">
        <v>980</v>
      </c>
    </row>
    <row r="206" spans="7:10" x14ac:dyDescent="0.2">
      <c r="G206" s="4" t="s">
        <v>815</v>
      </c>
      <c r="H206" s="4" t="s">
        <v>210</v>
      </c>
      <c r="I206" s="4" t="s">
        <v>899</v>
      </c>
      <c r="J206" s="4" t="s">
        <v>804</v>
      </c>
    </row>
    <row r="207" spans="7:10" x14ac:dyDescent="0.2">
      <c r="G207" s="4" t="s">
        <v>815</v>
      </c>
      <c r="H207" s="4" t="s">
        <v>210</v>
      </c>
      <c r="I207" s="4" t="s">
        <v>899</v>
      </c>
      <c r="J207" s="4" t="s">
        <v>899</v>
      </c>
    </row>
    <row r="208" spans="7:10" x14ac:dyDescent="0.2">
      <c r="G208" s="4" t="s">
        <v>379</v>
      </c>
      <c r="H208" s="4" t="s">
        <v>361</v>
      </c>
      <c r="I208" s="4" t="s">
        <v>918</v>
      </c>
      <c r="J208" s="4" t="s">
        <v>587</v>
      </c>
    </row>
    <row r="209" spans="7:10" x14ac:dyDescent="0.2">
      <c r="G209" s="4" t="s">
        <v>379</v>
      </c>
      <c r="H209" s="4" t="s">
        <v>361</v>
      </c>
      <c r="I209" s="4" t="s">
        <v>918</v>
      </c>
      <c r="J209" s="4" t="s">
        <v>918</v>
      </c>
    </row>
    <row r="210" spans="7:10" x14ac:dyDescent="0.2">
      <c r="G210" s="4" t="s">
        <v>379</v>
      </c>
      <c r="H210" s="4" t="s">
        <v>361</v>
      </c>
      <c r="I210" s="4" t="s">
        <v>478</v>
      </c>
      <c r="J210" s="4" t="s">
        <v>1025</v>
      </c>
    </row>
    <row r="211" spans="7:10" x14ac:dyDescent="0.2">
      <c r="G211" s="4" t="s">
        <v>379</v>
      </c>
      <c r="H211" s="4" t="s">
        <v>361</v>
      </c>
      <c r="I211" s="4" t="s">
        <v>478</v>
      </c>
      <c r="J211" s="4" t="s">
        <v>478</v>
      </c>
    </row>
    <row r="212" spans="7:10" x14ac:dyDescent="0.2">
      <c r="G212" s="4" t="s">
        <v>379</v>
      </c>
      <c r="H212" s="4" t="s">
        <v>361</v>
      </c>
      <c r="I212" s="4" t="s">
        <v>781</v>
      </c>
      <c r="J212" s="4" t="s">
        <v>1097</v>
      </c>
    </row>
    <row r="213" spans="7:10" x14ac:dyDescent="0.2">
      <c r="G213" s="4" t="s">
        <v>379</v>
      </c>
      <c r="H213" s="4" t="s">
        <v>361</v>
      </c>
      <c r="I213" s="4" t="s">
        <v>781</v>
      </c>
      <c r="J213" s="4" t="s">
        <v>781</v>
      </c>
    </row>
    <row r="214" spans="7:10" x14ac:dyDescent="0.2">
      <c r="G214" s="4" t="s">
        <v>379</v>
      </c>
      <c r="H214" s="4" t="s">
        <v>361</v>
      </c>
      <c r="I214" s="4" t="s">
        <v>362</v>
      </c>
      <c r="J214" s="4" t="s">
        <v>490</v>
      </c>
    </row>
    <row r="215" spans="7:10" x14ac:dyDescent="0.2">
      <c r="G215" s="4" t="s">
        <v>379</v>
      </c>
      <c r="H215" s="4" t="s">
        <v>361</v>
      </c>
      <c r="I215" s="4" t="s">
        <v>362</v>
      </c>
      <c r="J215" s="4" t="s">
        <v>1151</v>
      </c>
    </row>
    <row r="216" spans="7:10" x14ac:dyDescent="0.2">
      <c r="G216" s="4" t="s">
        <v>379</v>
      </c>
      <c r="H216" s="4" t="s">
        <v>361</v>
      </c>
      <c r="I216" s="4" t="s">
        <v>362</v>
      </c>
      <c r="J216" s="4" t="s">
        <v>921</v>
      </c>
    </row>
    <row r="217" spans="7:10" x14ac:dyDescent="0.2">
      <c r="G217" s="4" t="s">
        <v>379</v>
      </c>
      <c r="H217" s="4" t="s">
        <v>361</v>
      </c>
      <c r="I217" s="4" t="s">
        <v>362</v>
      </c>
      <c r="J217" s="4" t="s">
        <v>658</v>
      </c>
    </row>
    <row r="218" spans="7:10" x14ac:dyDescent="0.2">
      <c r="G218" s="4" t="s">
        <v>379</v>
      </c>
      <c r="H218" s="4" t="s">
        <v>361</v>
      </c>
      <c r="I218" s="4" t="s">
        <v>362</v>
      </c>
      <c r="J218" s="4" t="s">
        <v>54</v>
      </c>
    </row>
    <row r="219" spans="7:10" x14ac:dyDescent="0.2">
      <c r="G219" s="4" t="s">
        <v>379</v>
      </c>
      <c r="H219" s="4" t="s">
        <v>361</v>
      </c>
      <c r="I219" s="4" t="s">
        <v>362</v>
      </c>
      <c r="J219" s="4" t="s">
        <v>362</v>
      </c>
    </row>
    <row r="220" spans="7:10" x14ac:dyDescent="0.2">
      <c r="G220" s="4" t="s">
        <v>379</v>
      </c>
      <c r="H220" s="4" t="s">
        <v>361</v>
      </c>
      <c r="I220" s="4" t="s">
        <v>362</v>
      </c>
      <c r="J220" s="4" t="s">
        <v>578</v>
      </c>
    </row>
    <row r="221" spans="7:10" x14ac:dyDescent="0.2">
      <c r="G221" s="4" t="s">
        <v>379</v>
      </c>
      <c r="H221" s="4" t="s">
        <v>361</v>
      </c>
      <c r="I221" s="4" t="s">
        <v>859</v>
      </c>
      <c r="J221" s="4" t="s">
        <v>859</v>
      </c>
    </row>
    <row r="222" spans="7:10" x14ac:dyDescent="0.2">
      <c r="G222" s="4" t="s">
        <v>379</v>
      </c>
      <c r="H222" s="4" t="s">
        <v>162</v>
      </c>
      <c r="I222" s="4" t="s">
        <v>458</v>
      </c>
      <c r="J222" s="4" t="s">
        <v>458</v>
      </c>
    </row>
    <row r="223" spans="7:10" x14ac:dyDescent="0.2">
      <c r="G223" s="4" t="s">
        <v>379</v>
      </c>
      <c r="H223" s="4" t="s">
        <v>162</v>
      </c>
      <c r="I223" s="4" t="s">
        <v>667</v>
      </c>
      <c r="J223" s="4" t="s">
        <v>667</v>
      </c>
    </row>
    <row r="224" spans="7:10" x14ac:dyDescent="0.2">
      <c r="G224" s="4" t="s">
        <v>379</v>
      </c>
      <c r="H224" s="4" t="s">
        <v>162</v>
      </c>
      <c r="I224" s="4" t="s">
        <v>998</v>
      </c>
      <c r="J224" s="4" t="s">
        <v>718</v>
      </c>
    </row>
    <row r="225" spans="7:10" x14ac:dyDescent="0.2">
      <c r="G225" s="4" t="s">
        <v>379</v>
      </c>
      <c r="H225" s="4" t="s">
        <v>162</v>
      </c>
      <c r="I225" s="4" t="s">
        <v>998</v>
      </c>
      <c r="J225" s="4" t="s">
        <v>998</v>
      </c>
    </row>
    <row r="226" spans="7:10" x14ac:dyDescent="0.2">
      <c r="G226" s="4" t="s">
        <v>379</v>
      </c>
      <c r="H226" s="4" t="s">
        <v>162</v>
      </c>
      <c r="I226" s="4" t="s">
        <v>649</v>
      </c>
      <c r="J226" s="4" t="s">
        <v>649</v>
      </c>
    </row>
    <row r="227" spans="7:10" x14ac:dyDescent="0.2">
      <c r="G227" s="4" t="s">
        <v>379</v>
      </c>
      <c r="H227" s="4" t="s">
        <v>162</v>
      </c>
      <c r="I227" s="4" t="s">
        <v>649</v>
      </c>
      <c r="J227" s="4" t="s">
        <v>43</v>
      </c>
    </row>
    <row r="228" spans="7:10" x14ac:dyDescent="0.2">
      <c r="G228" s="4" t="s">
        <v>379</v>
      </c>
      <c r="H228" s="4" t="s">
        <v>162</v>
      </c>
      <c r="I228" s="4" t="s">
        <v>352</v>
      </c>
      <c r="J228" s="4" t="s">
        <v>352</v>
      </c>
    </row>
    <row r="229" spans="7:10" x14ac:dyDescent="0.2">
      <c r="G229" s="4" t="s">
        <v>379</v>
      </c>
      <c r="H229" s="4" t="s">
        <v>162</v>
      </c>
      <c r="I229" s="4" t="s">
        <v>352</v>
      </c>
      <c r="J229" s="4" t="s">
        <v>538</v>
      </c>
    </row>
    <row r="230" spans="7:10" x14ac:dyDescent="0.2">
      <c r="G230" s="4" t="s">
        <v>379</v>
      </c>
      <c r="H230" s="4" t="s">
        <v>162</v>
      </c>
      <c r="I230" s="4" t="s">
        <v>702</v>
      </c>
      <c r="J230" s="4" t="s">
        <v>361</v>
      </c>
    </row>
    <row r="231" spans="7:10" x14ac:dyDescent="0.2">
      <c r="G231" s="4" t="s">
        <v>379</v>
      </c>
      <c r="H231" s="4" t="s">
        <v>162</v>
      </c>
      <c r="I231" s="4" t="s">
        <v>702</v>
      </c>
      <c r="J231" s="4" t="s">
        <v>702</v>
      </c>
    </row>
    <row r="232" spans="7:10" x14ac:dyDescent="0.2">
      <c r="G232" s="4" t="s">
        <v>379</v>
      </c>
      <c r="H232" s="4" t="s">
        <v>162</v>
      </c>
      <c r="I232" s="4" t="s">
        <v>267</v>
      </c>
      <c r="J232" s="4" t="s">
        <v>267</v>
      </c>
    </row>
    <row r="233" spans="7:10" x14ac:dyDescent="0.2">
      <c r="G233" s="4" t="s">
        <v>379</v>
      </c>
      <c r="H233" s="4" t="s">
        <v>162</v>
      </c>
      <c r="I233" s="4" t="s">
        <v>842</v>
      </c>
      <c r="J233" s="4" t="s">
        <v>171</v>
      </c>
    </row>
    <row r="234" spans="7:10" x14ac:dyDescent="0.2">
      <c r="G234" s="4" t="s">
        <v>379</v>
      </c>
      <c r="H234" s="4" t="s">
        <v>162</v>
      </c>
      <c r="I234" s="4" t="s">
        <v>842</v>
      </c>
      <c r="J234" s="4" t="s">
        <v>842</v>
      </c>
    </row>
    <row r="235" spans="7:10" x14ac:dyDescent="0.2">
      <c r="G235" s="4" t="s">
        <v>379</v>
      </c>
      <c r="H235" s="4" t="s">
        <v>162</v>
      </c>
      <c r="I235" s="4" t="s">
        <v>282</v>
      </c>
      <c r="J235" s="4" t="s">
        <v>282</v>
      </c>
    </row>
    <row r="236" spans="7:10" ht="22.5" x14ac:dyDescent="0.2">
      <c r="G236" s="4" t="s">
        <v>379</v>
      </c>
      <c r="H236" s="4" t="s">
        <v>162</v>
      </c>
      <c r="I236" s="4" t="s">
        <v>723</v>
      </c>
      <c r="J236" s="4" t="s">
        <v>316</v>
      </c>
    </row>
    <row r="237" spans="7:10" ht="22.5" x14ac:dyDescent="0.2">
      <c r="G237" s="4" t="s">
        <v>379</v>
      </c>
      <c r="H237" s="4" t="s">
        <v>162</v>
      </c>
      <c r="I237" s="4" t="s">
        <v>723</v>
      </c>
      <c r="J237" s="4" t="s">
        <v>463</v>
      </c>
    </row>
    <row r="238" spans="7:10" ht="22.5" x14ac:dyDescent="0.2">
      <c r="G238" s="4" t="s">
        <v>379</v>
      </c>
      <c r="H238" s="4" t="s">
        <v>162</v>
      </c>
      <c r="I238" s="4" t="s">
        <v>723</v>
      </c>
      <c r="J238" s="4" t="s">
        <v>723</v>
      </c>
    </row>
    <row r="239" spans="7:10" ht="22.5" x14ac:dyDescent="0.2">
      <c r="G239" s="4" t="s">
        <v>379</v>
      </c>
      <c r="H239" s="4" t="s">
        <v>162</v>
      </c>
      <c r="I239" s="4" t="s">
        <v>723</v>
      </c>
      <c r="J239" s="4" t="s">
        <v>1137</v>
      </c>
    </row>
    <row r="240" spans="7:10" x14ac:dyDescent="0.2">
      <c r="G240" s="4" t="s">
        <v>379</v>
      </c>
      <c r="H240" s="4" t="s">
        <v>162</v>
      </c>
      <c r="I240" s="4" t="s">
        <v>86</v>
      </c>
      <c r="J240" s="4" t="s">
        <v>62</v>
      </c>
    </row>
    <row r="241" spans="7:10" x14ac:dyDescent="0.2">
      <c r="G241" s="4" t="s">
        <v>379</v>
      </c>
      <c r="H241" s="4" t="s">
        <v>162</v>
      </c>
      <c r="I241" s="4" t="s">
        <v>86</v>
      </c>
      <c r="J241" s="4" t="s">
        <v>570</v>
      </c>
    </row>
    <row r="242" spans="7:10" x14ac:dyDescent="0.2">
      <c r="G242" s="4" t="s">
        <v>379</v>
      </c>
      <c r="H242" s="4" t="s">
        <v>162</v>
      </c>
      <c r="I242" s="4" t="s">
        <v>86</v>
      </c>
      <c r="J242" s="4" t="s">
        <v>1212</v>
      </c>
    </row>
    <row r="243" spans="7:10" x14ac:dyDescent="0.2">
      <c r="G243" s="4" t="s">
        <v>379</v>
      </c>
      <c r="H243" s="4" t="s">
        <v>162</v>
      </c>
      <c r="I243" s="4" t="s">
        <v>86</v>
      </c>
      <c r="J243" s="4" t="s">
        <v>86</v>
      </c>
    </row>
    <row r="244" spans="7:10" x14ac:dyDescent="0.2">
      <c r="G244" s="4" t="s">
        <v>379</v>
      </c>
      <c r="H244" s="4" t="s">
        <v>831</v>
      </c>
      <c r="I244" s="4" t="s">
        <v>555</v>
      </c>
      <c r="J244" s="4" t="s">
        <v>914</v>
      </c>
    </row>
    <row r="245" spans="7:10" x14ac:dyDescent="0.2">
      <c r="G245" s="4" t="s">
        <v>379</v>
      </c>
      <c r="H245" s="4" t="s">
        <v>831</v>
      </c>
      <c r="I245" s="4" t="s">
        <v>555</v>
      </c>
      <c r="J245" s="4" t="s">
        <v>555</v>
      </c>
    </row>
    <row r="246" spans="7:10" x14ac:dyDescent="0.2">
      <c r="G246" s="4" t="s">
        <v>379</v>
      </c>
      <c r="H246" s="4" t="s">
        <v>831</v>
      </c>
      <c r="I246" s="4" t="s">
        <v>555</v>
      </c>
      <c r="J246" s="4" t="s">
        <v>182</v>
      </c>
    </row>
    <row r="247" spans="7:10" x14ac:dyDescent="0.2">
      <c r="G247" s="4" t="s">
        <v>379</v>
      </c>
      <c r="H247" s="4" t="s">
        <v>831</v>
      </c>
      <c r="I247" s="4" t="s">
        <v>705</v>
      </c>
      <c r="J247" s="4" t="s">
        <v>705</v>
      </c>
    </row>
    <row r="248" spans="7:10" x14ac:dyDescent="0.2">
      <c r="G248" s="4" t="s">
        <v>379</v>
      </c>
      <c r="H248" s="4" t="s">
        <v>831</v>
      </c>
      <c r="I248" s="4" t="s">
        <v>705</v>
      </c>
      <c r="J248" s="4" t="s">
        <v>1132</v>
      </c>
    </row>
    <row r="249" spans="7:10" x14ac:dyDescent="0.2">
      <c r="G249" s="4" t="s">
        <v>379</v>
      </c>
      <c r="H249" s="4" t="s">
        <v>831</v>
      </c>
      <c r="I249" s="4" t="s">
        <v>360</v>
      </c>
      <c r="J249" s="4" t="s">
        <v>1013</v>
      </c>
    </row>
    <row r="250" spans="7:10" x14ac:dyDescent="0.2">
      <c r="G250" s="4" t="s">
        <v>379</v>
      </c>
      <c r="H250" s="4" t="s">
        <v>831</v>
      </c>
      <c r="I250" s="4" t="s">
        <v>360</v>
      </c>
      <c r="J250" s="4" t="s">
        <v>504</v>
      </c>
    </row>
    <row r="251" spans="7:10" x14ac:dyDescent="0.2">
      <c r="G251" s="4" t="s">
        <v>379</v>
      </c>
      <c r="H251" s="4" t="s">
        <v>831</v>
      </c>
      <c r="I251" s="4" t="s">
        <v>360</v>
      </c>
      <c r="J251" s="4" t="s">
        <v>360</v>
      </c>
    </row>
    <row r="252" spans="7:10" x14ac:dyDescent="0.2">
      <c r="G252" s="4" t="s">
        <v>379</v>
      </c>
      <c r="H252" s="4" t="s">
        <v>831</v>
      </c>
      <c r="I252" s="4" t="s">
        <v>689</v>
      </c>
      <c r="J252" s="4" t="s">
        <v>689</v>
      </c>
    </row>
    <row r="253" spans="7:10" x14ac:dyDescent="0.2">
      <c r="G253" s="4" t="s">
        <v>379</v>
      </c>
      <c r="H253" s="4" t="s">
        <v>831</v>
      </c>
      <c r="I253" s="4" t="s">
        <v>963</v>
      </c>
      <c r="J253" s="4" t="s">
        <v>963</v>
      </c>
    </row>
    <row r="254" spans="7:10" x14ac:dyDescent="0.2">
      <c r="G254" s="4" t="s">
        <v>379</v>
      </c>
      <c r="H254" s="4" t="s">
        <v>831</v>
      </c>
      <c r="I254" s="4" t="s">
        <v>770</v>
      </c>
      <c r="J254" s="4" t="s">
        <v>142</v>
      </c>
    </row>
    <row r="255" spans="7:10" x14ac:dyDescent="0.2">
      <c r="G255" s="4" t="s">
        <v>379</v>
      </c>
      <c r="H255" s="4" t="s">
        <v>831</v>
      </c>
      <c r="I255" s="4" t="s">
        <v>770</v>
      </c>
      <c r="J255" s="4" t="s">
        <v>770</v>
      </c>
    </row>
    <row r="256" spans="7:10" x14ac:dyDescent="0.2">
      <c r="G256" s="4" t="s">
        <v>379</v>
      </c>
      <c r="H256" s="4" t="s">
        <v>1223</v>
      </c>
      <c r="I256" s="4" t="s">
        <v>669</v>
      </c>
      <c r="J256" s="4" t="s">
        <v>929</v>
      </c>
    </row>
    <row r="257" spans="7:10" x14ac:dyDescent="0.2">
      <c r="G257" s="4" t="s">
        <v>379</v>
      </c>
      <c r="H257" s="4" t="s">
        <v>1223</v>
      </c>
      <c r="I257" s="4" t="s">
        <v>669</v>
      </c>
      <c r="J257" s="4" t="s">
        <v>669</v>
      </c>
    </row>
    <row r="258" spans="7:10" x14ac:dyDescent="0.2">
      <c r="G258" s="4" t="s">
        <v>379</v>
      </c>
      <c r="H258" s="4" t="s">
        <v>1223</v>
      </c>
      <c r="I258" s="4" t="s">
        <v>1223</v>
      </c>
      <c r="J258" s="4" t="s">
        <v>828</v>
      </c>
    </row>
    <row r="259" spans="7:10" x14ac:dyDescent="0.2">
      <c r="G259" s="4" t="s">
        <v>379</v>
      </c>
      <c r="H259" s="4" t="s">
        <v>1223</v>
      </c>
      <c r="I259" s="4" t="s">
        <v>1223</v>
      </c>
      <c r="J259" s="4" t="s">
        <v>1223</v>
      </c>
    </row>
    <row r="260" spans="7:10" x14ac:dyDescent="0.2">
      <c r="G260" s="4" t="s">
        <v>1058</v>
      </c>
      <c r="H260" s="4" t="s">
        <v>1062</v>
      </c>
      <c r="I260" s="4" t="s">
        <v>195</v>
      </c>
      <c r="J260" s="4" t="s">
        <v>195</v>
      </c>
    </row>
    <row r="261" spans="7:10" ht="22.5" x14ac:dyDescent="0.2">
      <c r="G261" s="4" t="s">
        <v>1058</v>
      </c>
      <c r="H261" s="4" t="s">
        <v>1062</v>
      </c>
      <c r="I261" s="4" t="s">
        <v>220</v>
      </c>
      <c r="J261" s="4" t="s">
        <v>82</v>
      </c>
    </row>
    <row r="262" spans="7:10" ht="22.5" x14ac:dyDescent="0.2">
      <c r="G262" s="4" t="s">
        <v>1058</v>
      </c>
      <c r="H262" s="4" t="s">
        <v>1062</v>
      </c>
      <c r="I262" s="4" t="s">
        <v>220</v>
      </c>
      <c r="J262" s="4" t="s">
        <v>220</v>
      </c>
    </row>
    <row r="263" spans="7:10" ht="22.5" x14ac:dyDescent="0.2">
      <c r="G263" s="4" t="s">
        <v>1058</v>
      </c>
      <c r="H263" s="4" t="s">
        <v>1062</v>
      </c>
      <c r="I263" s="4" t="s">
        <v>220</v>
      </c>
      <c r="J263" s="4" t="s">
        <v>1207</v>
      </c>
    </row>
    <row r="264" spans="7:10" ht="22.5" x14ac:dyDescent="0.2">
      <c r="G264" s="4" t="s">
        <v>1058</v>
      </c>
      <c r="H264" s="4" t="s">
        <v>1062</v>
      </c>
      <c r="I264" s="4" t="s">
        <v>220</v>
      </c>
      <c r="J264" s="4" t="s">
        <v>479</v>
      </c>
    </row>
    <row r="265" spans="7:10" ht="22.5" x14ac:dyDescent="0.2">
      <c r="G265" s="4" t="s">
        <v>1058</v>
      </c>
      <c r="H265" s="4" t="s">
        <v>1062</v>
      </c>
      <c r="I265" s="4" t="s">
        <v>1166</v>
      </c>
      <c r="J265" s="4" t="s">
        <v>131</v>
      </c>
    </row>
    <row r="266" spans="7:10" ht="22.5" x14ac:dyDescent="0.2">
      <c r="G266" s="4" t="s">
        <v>1058</v>
      </c>
      <c r="H266" s="4" t="s">
        <v>1062</v>
      </c>
      <c r="I266" s="4" t="s">
        <v>1166</v>
      </c>
      <c r="J266" s="4" t="s">
        <v>1166</v>
      </c>
    </row>
    <row r="267" spans="7:10" x14ac:dyDescent="0.2">
      <c r="G267" s="4" t="s">
        <v>1058</v>
      </c>
      <c r="H267" s="4" t="s">
        <v>549</v>
      </c>
      <c r="I267" s="4" t="s">
        <v>466</v>
      </c>
      <c r="J267" s="4" t="s">
        <v>466</v>
      </c>
    </row>
    <row r="268" spans="7:10" x14ac:dyDescent="0.2">
      <c r="G268" s="4" t="s">
        <v>1058</v>
      </c>
      <c r="H268" s="4" t="s">
        <v>549</v>
      </c>
      <c r="I268" s="4" t="s">
        <v>549</v>
      </c>
      <c r="J268" s="4" t="s">
        <v>595</v>
      </c>
    </row>
    <row r="269" spans="7:10" x14ac:dyDescent="0.2">
      <c r="G269" s="4" t="s">
        <v>1058</v>
      </c>
      <c r="H269" s="4" t="s">
        <v>549</v>
      </c>
      <c r="I269" s="4" t="s">
        <v>549</v>
      </c>
      <c r="J269" s="4" t="s">
        <v>1220</v>
      </c>
    </row>
    <row r="270" spans="7:10" x14ac:dyDescent="0.2">
      <c r="G270" s="4" t="s">
        <v>1058</v>
      </c>
      <c r="H270" s="4" t="s">
        <v>549</v>
      </c>
      <c r="I270" s="4" t="s">
        <v>549</v>
      </c>
      <c r="J270" s="4" t="s">
        <v>860</v>
      </c>
    </row>
    <row r="271" spans="7:10" x14ac:dyDescent="0.2">
      <c r="G271" s="4" t="s">
        <v>1058</v>
      </c>
      <c r="H271" s="4" t="s">
        <v>549</v>
      </c>
      <c r="I271" s="4" t="s">
        <v>549</v>
      </c>
      <c r="J271" s="4" t="s">
        <v>549</v>
      </c>
    </row>
    <row r="272" spans="7:10" x14ac:dyDescent="0.2">
      <c r="G272" s="4" t="s">
        <v>1058</v>
      </c>
      <c r="H272" s="4" t="s">
        <v>549</v>
      </c>
      <c r="I272" s="4" t="s">
        <v>1147</v>
      </c>
      <c r="J272" s="4" t="s">
        <v>1147</v>
      </c>
    </row>
    <row r="273" spans="7:10" ht="22.5" x14ac:dyDescent="0.2">
      <c r="G273" s="4" t="s">
        <v>1058</v>
      </c>
      <c r="H273" s="4" t="s">
        <v>549</v>
      </c>
      <c r="I273" s="4" t="s">
        <v>1001</v>
      </c>
      <c r="J273" s="4" t="s">
        <v>545</v>
      </c>
    </row>
    <row r="274" spans="7:10" ht="22.5" x14ac:dyDescent="0.2">
      <c r="G274" s="4" t="s">
        <v>1058</v>
      </c>
      <c r="H274" s="4" t="s">
        <v>549</v>
      </c>
      <c r="I274" s="4" t="s">
        <v>1001</v>
      </c>
      <c r="J274" s="4" t="s">
        <v>903</v>
      </c>
    </row>
    <row r="275" spans="7:10" ht="22.5" x14ac:dyDescent="0.2">
      <c r="G275" s="4" t="s">
        <v>1058</v>
      </c>
      <c r="H275" s="4" t="s">
        <v>549</v>
      </c>
      <c r="I275" s="4" t="s">
        <v>1001</v>
      </c>
      <c r="J275" s="4" t="s">
        <v>1001</v>
      </c>
    </row>
    <row r="276" spans="7:10" x14ac:dyDescent="0.2">
      <c r="G276" s="4" t="s">
        <v>1058</v>
      </c>
      <c r="H276" s="4" t="s">
        <v>549</v>
      </c>
      <c r="I276" s="4" t="s">
        <v>280</v>
      </c>
      <c r="J276" s="4" t="s">
        <v>411</v>
      </c>
    </row>
    <row r="277" spans="7:10" x14ac:dyDescent="0.2">
      <c r="G277" s="4" t="s">
        <v>1058</v>
      </c>
      <c r="H277" s="4" t="s">
        <v>549</v>
      </c>
      <c r="I277" s="4" t="s">
        <v>280</v>
      </c>
      <c r="J277" s="4" t="s">
        <v>45</v>
      </c>
    </row>
    <row r="278" spans="7:10" x14ac:dyDescent="0.2">
      <c r="G278" s="4" t="s">
        <v>1058</v>
      </c>
      <c r="H278" s="4" t="s">
        <v>549</v>
      </c>
      <c r="I278" s="4" t="s">
        <v>280</v>
      </c>
      <c r="J278" s="4" t="s">
        <v>280</v>
      </c>
    </row>
    <row r="279" spans="7:10" ht="22.5" x14ac:dyDescent="0.2">
      <c r="G279" s="4" t="s">
        <v>1058</v>
      </c>
      <c r="H279" s="4" t="s">
        <v>615</v>
      </c>
      <c r="I279" s="4" t="s">
        <v>560</v>
      </c>
      <c r="J279" s="4" t="s">
        <v>560</v>
      </c>
    </row>
    <row r="280" spans="7:10" ht="22.5" x14ac:dyDescent="0.2">
      <c r="G280" s="4" t="s">
        <v>1058</v>
      </c>
      <c r="H280" s="4" t="s">
        <v>615</v>
      </c>
      <c r="I280" s="4" t="s">
        <v>1164</v>
      </c>
      <c r="J280" s="4" t="s">
        <v>1164</v>
      </c>
    </row>
    <row r="281" spans="7:10" ht="22.5" x14ac:dyDescent="0.2">
      <c r="G281" s="4" t="s">
        <v>1058</v>
      </c>
      <c r="H281" s="4" t="s">
        <v>615</v>
      </c>
      <c r="I281" s="4" t="s">
        <v>725</v>
      </c>
      <c r="J281" s="4" t="s">
        <v>725</v>
      </c>
    </row>
    <row r="282" spans="7:10" ht="22.5" x14ac:dyDescent="0.2">
      <c r="G282" s="4" t="s">
        <v>1058</v>
      </c>
      <c r="H282" s="4" t="s">
        <v>615</v>
      </c>
      <c r="I282" s="4" t="s">
        <v>867</v>
      </c>
      <c r="J282" s="4" t="s">
        <v>867</v>
      </c>
    </row>
    <row r="283" spans="7:10" ht="22.5" x14ac:dyDescent="0.2">
      <c r="G283" s="4" t="s">
        <v>1058</v>
      </c>
      <c r="H283" s="4" t="s">
        <v>615</v>
      </c>
      <c r="I283" s="4" t="s">
        <v>1092</v>
      </c>
      <c r="J283" s="4" t="s">
        <v>356</v>
      </c>
    </row>
    <row r="284" spans="7:10" ht="22.5" x14ac:dyDescent="0.2">
      <c r="G284" s="4" t="s">
        <v>1058</v>
      </c>
      <c r="H284" s="4" t="s">
        <v>615</v>
      </c>
      <c r="I284" s="4" t="s">
        <v>1092</v>
      </c>
      <c r="J284" s="4" t="s">
        <v>990</v>
      </c>
    </row>
    <row r="285" spans="7:10" ht="22.5" x14ac:dyDescent="0.2">
      <c r="G285" s="4" t="s">
        <v>1058</v>
      </c>
      <c r="H285" s="4" t="s">
        <v>615</v>
      </c>
      <c r="I285" s="4" t="s">
        <v>1092</v>
      </c>
      <c r="J285" s="4" t="s">
        <v>1092</v>
      </c>
    </row>
    <row r="286" spans="7:10" ht="22.5" x14ac:dyDescent="0.2">
      <c r="G286" s="4" t="s">
        <v>1058</v>
      </c>
      <c r="H286" s="4" t="s">
        <v>615</v>
      </c>
      <c r="I286" s="4" t="s">
        <v>615</v>
      </c>
      <c r="J286" s="4" t="s">
        <v>615</v>
      </c>
    </row>
    <row r="287" spans="7:10" ht="22.5" x14ac:dyDescent="0.2">
      <c r="G287" s="4" t="s">
        <v>184</v>
      </c>
      <c r="H287" s="4" t="s">
        <v>711</v>
      </c>
      <c r="I287" s="4" t="s">
        <v>711</v>
      </c>
      <c r="J287" s="4" t="s">
        <v>711</v>
      </c>
    </row>
    <row r="288" spans="7:10" ht="22.5" x14ac:dyDescent="0.2">
      <c r="G288" s="4" t="s">
        <v>184</v>
      </c>
      <c r="H288" s="4" t="s">
        <v>934</v>
      </c>
      <c r="I288" s="4" t="s">
        <v>382</v>
      </c>
      <c r="J288" s="4" t="s">
        <v>382</v>
      </c>
    </row>
    <row r="289" spans="7:10" ht="22.5" x14ac:dyDescent="0.2">
      <c r="G289" s="4" t="s">
        <v>184</v>
      </c>
      <c r="H289" s="4" t="s">
        <v>934</v>
      </c>
      <c r="I289" s="4" t="s">
        <v>382</v>
      </c>
      <c r="J289" s="4" t="s">
        <v>1117</v>
      </c>
    </row>
    <row r="290" spans="7:10" ht="22.5" x14ac:dyDescent="0.2">
      <c r="G290" s="4" t="s">
        <v>184</v>
      </c>
      <c r="H290" s="4" t="s">
        <v>934</v>
      </c>
      <c r="I290" s="4" t="s">
        <v>297</v>
      </c>
      <c r="J290" s="4" t="s">
        <v>297</v>
      </c>
    </row>
    <row r="291" spans="7:10" ht="22.5" x14ac:dyDescent="0.2">
      <c r="G291" s="4" t="s">
        <v>184</v>
      </c>
      <c r="H291" s="4" t="s">
        <v>934</v>
      </c>
      <c r="I291" s="4" t="s">
        <v>297</v>
      </c>
      <c r="J291" s="4" t="s">
        <v>170</v>
      </c>
    </row>
    <row r="292" spans="7:10" ht="22.5" x14ac:dyDescent="0.2">
      <c r="G292" s="4" t="s">
        <v>184</v>
      </c>
      <c r="H292" s="4" t="s">
        <v>934</v>
      </c>
      <c r="I292" s="4" t="s">
        <v>927</v>
      </c>
      <c r="J292" s="4" t="s">
        <v>927</v>
      </c>
    </row>
    <row r="293" spans="7:10" ht="22.5" x14ac:dyDescent="0.2">
      <c r="G293" s="4" t="s">
        <v>184</v>
      </c>
      <c r="H293" s="4" t="s">
        <v>934</v>
      </c>
      <c r="I293" s="4" t="s">
        <v>927</v>
      </c>
      <c r="J293" s="4" t="s">
        <v>660</v>
      </c>
    </row>
    <row r="294" spans="7:10" ht="22.5" x14ac:dyDescent="0.2">
      <c r="G294" s="4" t="s">
        <v>184</v>
      </c>
      <c r="H294" s="4" t="s">
        <v>934</v>
      </c>
      <c r="I294" s="4" t="s">
        <v>927</v>
      </c>
      <c r="J294" s="4" t="s">
        <v>8</v>
      </c>
    </row>
    <row r="295" spans="7:10" ht="22.5" x14ac:dyDescent="0.2">
      <c r="G295" s="4" t="s">
        <v>184</v>
      </c>
      <c r="H295" s="4" t="s">
        <v>934</v>
      </c>
      <c r="I295" s="4" t="s">
        <v>732</v>
      </c>
      <c r="J295" s="4" t="s">
        <v>600</v>
      </c>
    </row>
    <row r="296" spans="7:10" ht="22.5" x14ac:dyDescent="0.2">
      <c r="G296" s="4" t="s">
        <v>184</v>
      </c>
      <c r="H296" s="4" t="s">
        <v>934</v>
      </c>
      <c r="I296" s="4" t="s">
        <v>732</v>
      </c>
      <c r="J296" s="4" t="s">
        <v>763</v>
      </c>
    </row>
    <row r="297" spans="7:10" ht="22.5" x14ac:dyDescent="0.2">
      <c r="G297" s="4" t="s">
        <v>184</v>
      </c>
      <c r="H297" s="4" t="s">
        <v>934</v>
      </c>
      <c r="I297" s="4" t="s">
        <v>732</v>
      </c>
      <c r="J297" s="4" t="s">
        <v>732</v>
      </c>
    </row>
    <row r="298" spans="7:10" ht="22.5" x14ac:dyDescent="0.2">
      <c r="G298" s="4" t="s">
        <v>184</v>
      </c>
      <c r="H298" s="4" t="s">
        <v>934</v>
      </c>
      <c r="I298" s="4" t="s">
        <v>285</v>
      </c>
      <c r="J298" s="4" t="s">
        <v>397</v>
      </c>
    </row>
    <row r="299" spans="7:10" ht="22.5" x14ac:dyDescent="0.2">
      <c r="G299" s="4" t="s">
        <v>184</v>
      </c>
      <c r="H299" s="4" t="s">
        <v>934</v>
      </c>
      <c r="I299" s="4" t="s">
        <v>285</v>
      </c>
      <c r="J299" s="4" t="s">
        <v>285</v>
      </c>
    </row>
    <row r="300" spans="7:10" ht="22.5" x14ac:dyDescent="0.2">
      <c r="G300" s="4" t="s">
        <v>184</v>
      </c>
      <c r="H300" s="4" t="s">
        <v>934</v>
      </c>
      <c r="I300" s="4" t="s">
        <v>383</v>
      </c>
      <c r="J300" s="4" t="s">
        <v>205</v>
      </c>
    </row>
    <row r="301" spans="7:10" ht="22.5" x14ac:dyDescent="0.2">
      <c r="G301" s="4" t="s">
        <v>184</v>
      </c>
      <c r="H301" s="4" t="s">
        <v>934</v>
      </c>
      <c r="I301" s="4" t="s">
        <v>383</v>
      </c>
      <c r="J301" s="4" t="s">
        <v>383</v>
      </c>
    </row>
    <row r="302" spans="7:10" ht="22.5" x14ac:dyDescent="0.2">
      <c r="G302" s="4" t="s">
        <v>184</v>
      </c>
      <c r="H302" s="4" t="s">
        <v>934</v>
      </c>
      <c r="I302" s="4" t="s">
        <v>286</v>
      </c>
      <c r="J302" s="4" t="s">
        <v>286</v>
      </c>
    </row>
    <row r="303" spans="7:10" ht="22.5" x14ac:dyDescent="0.2">
      <c r="G303" s="4" t="s">
        <v>1186</v>
      </c>
      <c r="H303" s="4" t="s">
        <v>426</v>
      </c>
      <c r="I303" s="4" t="s">
        <v>5</v>
      </c>
      <c r="J303" s="4" t="s">
        <v>5</v>
      </c>
    </row>
    <row r="304" spans="7:10" ht="22.5" x14ac:dyDescent="0.2">
      <c r="G304" s="4" t="s">
        <v>1186</v>
      </c>
      <c r="H304" s="4" t="s">
        <v>426</v>
      </c>
      <c r="I304" s="4" t="s">
        <v>5</v>
      </c>
      <c r="J304" s="4" t="s">
        <v>248</v>
      </c>
    </row>
    <row r="305" spans="7:10" ht="22.5" x14ac:dyDescent="0.2">
      <c r="G305" s="4" t="s">
        <v>1186</v>
      </c>
      <c r="H305" s="4" t="s">
        <v>426</v>
      </c>
      <c r="I305" s="4" t="s">
        <v>5</v>
      </c>
      <c r="J305" s="4" t="s">
        <v>358</v>
      </c>
    </row>
    <row r="306" spans="7:10" ht="22.5" x14ac:dyDescent="0.2">
      <c r="G306" s="4" t="s">
        <v>1186</v>
      </c>
      <c r="H306" s="4" t="s">
        <v>426</v>
      </c>
      <c r="I306" s="4" t="s">
        <v>5</v>
      </c>
      <c r="J306" s="4" t="s">
        <v>1046</v>
      </c>
    </row>
    <row r="307" spans="7:10" ht="22.5" x14ac:dyDescent="0.2">
      <c r="G307" s="4" t="s">
        <v>1186</v>
      </c>
      <c r="H307" s="4" t="s">
        <v>426</v>
      </c>
      <c r="I307" s="4" t="s">
        <v>5</v>
      </c>
      <c r="J307" s="4" t="s">
        <v>596</v>
      </c>
    </row>
    <row r="308" spans="7:10" ht="22.5" x14ac:dyDescent="0.2">
      <c r="G308" s="4" t="s">
        <v>1186</v>
      </c>
      <c r="H308" s="4" t="s">
        <v>426</v>
      </c>
      <c r="I308" s="4" t="s">
        <v>5</v>
      </c>
      <c r="J308" s="4" t="s">
        <v>787</v>
      </c>
    </row>
    <row r="309" spans="7:10" ht="22.5" x14ac:dyDescent="0.2">
      <c r="G309" s="4" t="s">
        <v>1186</v>
      </c>
      <c r="H309" s="4" t="s">
        <v>426</v>
      </c>
      <c r="I309" s="4" t="s">
        <v>5</v>
      </c>
      <c r="J309" s="4" t="s">
        <v>829</v>
      </c>
    </row>
    <row r="310" spans="7:10" ht="22.5" x14ac:dyDescent="0.2">
      <c r="G310" s="4" t="s">
        <v>1186</v>
      </c>
      <c r="H310" s="4" t="s">
        <v>426</v>
      </c>
      <c r="I310" s="4" t="s">
        <v>5</v>
      </c>
      <c r="J310" s="4" t="s">
        <v>250</v>
      </c>
    </row>
    <row r="311" spans="7:10" ht="22.5" x14ac:dyDescent="0.2">
      <c r="G311" s="4" t="s">
        <v>1186</v>
      </c>
      <c r="H311" s="4" t="s">
        <v>426</v>
      </c>
      <c r="I311" s="4" t="s">
        <v>5</v>
      </c>
      <c r="J311" s="4" t="s">
        <v>539</v>
      </c>
    </row>
    <row r="312" spans="7:10" x14ac:dyDescent="0.2">
      <c r="G312" s="4" t="s">
        <v>1186</v>
      </c>
      <c r="H312" s="4" t="s">
        <v>426</v>
      </c>
      <c r="I312" s="4" t="s">
        <v>519</v>
      </c>
      <c r="J312" s="4" t="s">
        <v>519</v>
      </c>
    </row>
    <row r="313" spans="7:10" x14ac:dyDescent="0.2">
      <c r="G313" s="4" t="s">
        <v>1186</v>
      </c>
      <c r="H313" s="4" t="s">
        <v>426</v>
      </c>
      <c r="I313" s="4" t="s">
        <v>142</v>
      </c>
      <c r="J313" s="4" t="s">
        <v>142</v>
      </c>
    </row>
    <row r="314" spans="7:10" x14ac:dyDescent="0.2">
      <c r="G314" s="4" t="s">
        <v>1186</v>
      </c>
      <c r="H314" s="4" t="s">
        <v>426</v>
      </c>
      <c r="I314" s="4" t="s">
        <v>617</v>
      </c>
      <c r="J314" s="4" t="s">
        <v>617</v>
      </c>
    </row>
    <row r="315" spans="7:10" x14ac:dyDescent="0.2">
      <c r="G315" s="4" t="s">
        <v>1186</v>
      </c>
      <c r="H315" s="4" t="s">
        <v>426</v>
      </c>
      <c r="I315" s="4" t="s">
        <v>617</v>
      </c>
      <c r="J315" s="4" t="s">
        <v>371</v>
      </c>
    </row>
    <row r="316" spans="7:10" ht="22.5" x14ac:dyDescent="0.2">
      <c r="G316" s="4" t="s">
        <v>1186</v>
      </c>
      <c r="H316" s="4" t="s">
        <v>426</v>
      </c>
      <c r="I316" s="4" t="s">
        <v>839</v>
      </c>
      <c r="J316" s="4" t="s">
        <v>445</v>
      </c>
    </row>
    <row r="317" spans="7:10" ht="22.5" x14ac:dyDescent="0.2">
      <c r="G317" s="4" t="s">
        <v>1186</v>
      </c>
      <c r="H317" s="4" t="s">
        <v>426</v>
      </c>
      <c r="I317" s="4" t="s">
        <v>839</v>
      </c>
      <c r="J317" s="4" t="s">
        <v>839</v>
      </c>
    </row>
    <row r="318" spans="7:10" ht="22.5" x14ac:dyDescent="0.2">
      <c r="G318" s="4" t="s">
        <v>1186</v>
      </c>
      <c r="H318" s="4" t="s">
        <v>426</v>
      </c>
      <c r="I318" s="4" t="s">
        <v>839</v>
      </c>
      <c r="J318" s="4" t="s">
        <v>957</v>
      </c>
    </row>
    <row r="319" spans="7:10" ht="22.5" x14ac:dyDescent="0.2">
      <c r="G319" s="4" t="s">
        <v>1186</v>
      </c>
      <c r="H319" s="4" t="s">
        <v>426</v>
      </c>
      <c r="I319" s="4" t="s">
        <v>52</v>
      </c>
      <c r="J319" s="4" t="s">
        <v>1130</v>
      </c>
    </row>
    <row r="320" spans="7:10" ht="22.5" x14ac:dyDescent="0.2">
      <c r="G320" s="4" t="s">
        <v>1186</v>
      </c>
      <c r="H320" s="4" t="s">
        <v>426</v>
      </c>
      <c r="I320" s="4" t="s">
        <v>52</v>
      </c>
      <c r="J320" s="4" t="s">
        <v>179</v>
      </c>
    </row>
    <row r="321" spans="7:10" ht="22.5" x14ac:dyDescent="0.2">
      <c r="G321" s="4" t="s">
        <v>1186</v>
      </c>
      <c r="H321" s="4" t="s">
        <v>426</v>
      </c>
      <c r="I321" s="4" t="s">
        <v>52</v>
      </c>
      <c r="J321" s="4" t="s">
        <v>1196</v>
      </c>
    </row>
    <row r="322" spans="7:10" ht="22.5" x14ac:dyDescent="0.2">
      <c r="G322" s="4" t="s">
        <v>1186</v>
      </c>
      <c r="H322" s="4" t="s">
        <v>426</v>
      </c>
      <c r="I322" s="4" t="s">
        <v>52</v>
      </c>
      <c r="J322" s="4" t="s">
        <v>889</v>
      </c>
    </row>
    <row r="323" spans="7:10" ht="22.5" x14ac:dyDescent="0.2">
      <c r="G323" s="4" t="s">
        <v>1186</v>
      </c>
      <c r="H323" s="4" t="s">
        <v>426</v>
      </c>
      <c r="I323" s="4" t="s">
        <v>52</v>
      </c>
      <c r="J323" s="4" t="s">
        <v>52</v>
      </c>
    </row>
    <row r="324" spans="7:10" x14ac:dyDescent="0.2">
      <c r="G324" s="4" t="s">
        <v>1186</v>
      </c>
      <c r="H324" s="4" t="s">
        <v>426</v>
      </c>
      <c r="I324" s="4" t="s">
        <v>951</v>
      </c>
      <c r="J324" s="4" t="s">
        <v>951</v>
      </c>
    </row>
    <row r="325" spans="7:10" x14ac:dyDescent="0.2">
      <c r="G325" s="4" t="s">
        <v>1186</v>
      </c>
      <c r="H325" s="4" t="s">
        <v>426</v>
      </c>
      <c r="I325" s="4" t="s">
        <v>135</v>
      </c>
      <c r="J325" s="4" t="s">
        <v>225</v>
      </c>
    </row>
    <row r="326" spans="7:10" x14ac:dyDescent="0.2">
      <c r="G326" s="4" t="s">
        <v>1186</v>
      </c>
      <c r="H326" s="4" t="s">
        <v>426</v>
      </c>
      <c r="I326" s="4" t="s">
        <v>135</v>
      </c>
      <c r="J326" s="4" t="s">
        <v>135</v>
      </c>
    </row>
    <row r="327" spans="7:10" x14ac:dyDescent="0.2">
      <c r="G327" s="4" t="s">
        <v>1186</v>
      </c>
      <c r="H327" s="4" t="s">
        <v>426</v>
      </c>
      <c r="I327" s="4" t="s">
        <v>809</v>
      </c>
      <c r="J327" s="4" t="s">
        <v>469</v>
      </c>
    </row>
    <row r="328" spans="7:10" x14ac:dyDescent="0.2">
      <c r="G328" s="4" t="s">
        <v>1186</v>
      </c>
      <c r="H328" s="4" t="s">
        <v>426</v>
      </c>
      <c r="I328" s="4" t="s">
        <v>809</v>
      </c>
      <c r="J328" s="4" t="s">
        <v>266</v>
      </c>
    </row>
    <row r="329" spans="7:10" x14ac:dyDescent="0.2">
      <c r="G329" s="4" t="s">
        <v>1186</v>
      </c>
      <c r="H329" s="4" t="s">
        <v>426</v>
      </c>
      <c r="I329" s="4" t="s">
        <v>809</v>
      </c>
      <c r="J329" s="4" t="s">
        <v>404</v>
      </c>
    </row>
    <row r="330" spans="7:10" x14ac:dyDescent="0.2">
      <c r="G330" s="4" t="s">
        <v>1186</v>
      </c>
      <c r="H330" s="4" t="s">
        <v>426</v>
      </c>
      <c r="I330" s="4" t="s">
        <v>809</v>
      </c>
      <c r="J330" s="4" t="s">
        <v>809</v>
      </c>
    </row>
    <row r="331" spans="7:10" x14ac:dyDescent="0.2">
      <c r="G331" s="4" t="s">
        <v>1186</v>
      </c>
      <c r="H331" s="4" t="s">
        <v>426</v>
      </c>
      <c r="I331" s="4" t="s">
        <v>715</v>
      </c>
      <c r="J331" s="4" t="s">
        <v>277</v>
      </c>
    </row>
    <row r="332" spans="7:10" x14ac:dyDescent="0.2">
      <c r="G332" s="4" t="s">
        <v>1186</v>
      </c>
      <c r="H332" s="4" t="s">
        <v>426</v>
      </c>
      <c r="I332" s="4" t="s">
        <v>715</v>
      </c>
      <c r="J332" s="4" t="s">
        <v>746</v>
      </c>
    </row>
    <row r="333" spans="7:10" x14ac:dyDescent="0.2">
      <c r="G333" s="4" t="s">
        <v>1186</v>
      </c>
      <c r="H333" s="4" t="s">
        <v>426</v>
      </c>
      <c r="I333" s="4" t="s">
        <v>715</v>
      </c>
      <c r="J333" s="4" t="s">
        <v>1085</v>
      </c>
    </row>
    <row r="334" spans="7:10" x14ac:dyDescent="0.2">
      <c r="G334" s="4" t="s">
        <v>1186</v>
      </c>
      <c r="H334" s="4" t="s">
        <v>426</v>
      </c>
      <c r="I334" s="4" t="s">
        <v>715</v>
      </c>
      <c r="J334" s="4" t="s">
        <v>715</v>
      </c>
    </row>
    <row r="335" spans="7:10" x14ac:dyDescent="0.2">
      <c r="G335" s="4" t="s">
        <v>1186</v>
      </c>
      <c r="H335" s="4" t="s">
        <v>327</v>
      </c>
      <c r="I335" s="4" t="s">
        <v>576</v>
      </c>
      <c r="J335" s="4" t="s">
        <v>576</v>
      </c>
    </row>
    <row r="336" spans="7:10" x14ac:dyDescent="0.2">
      <c r="G336" s="4" t="s">
        <v>1186</v>
      </c>
      <c r="H336" s="4" t="s">
        <v>327</v>
      </c>
      <c r="I336" s="4" t="s">
        <v>576</v>
      </c>
      <c r="J336" s="4" t="s">
        <v>820</v>
      </c>
    </row>
    <row r="337" spans="7:10" x14ac:dyDescent="0.2">
      <c r="G337" s="4" t="s">
        <v>1186</v>
      </c>
      <c r="H337" s="4" t="s">
        <v>327</v>
      </c>
      <c r="I337" s="4" t="s">
        <v>576</v>
      </c>
      <c r="J337" s="4" t="s">
        <v>926</v>
      </c>
    </row>
    <row r="338" spans="7:10" x14ac:dyDescent="0.2">
      <c r="G338" s="4" t="s">
        <v>1186</v>
      </c>
      <c r="H338" s="4" t="s">
        <v>327</v>
      </c>
      <c r="I338" s="4" t="s">
        <v>576</v>
      </c>
      <c r="J338" s="4" t="s">
        <v>808</v>
      </c>
    </row>
    <row r="339" spans="7:10" x14ac:dyDescent="0.2">
      <c r="G339" s="4" t="s">
        <v>1186</v>
      </c>
      <c r="H339" s="4" t="s">
        <v>327</v>
      </c>
      <c r="I339" s="4" t="s">
        <v>576</v>
      </c>
      <c r="J339" s="4" t="s">
        <v>1053</v>
      </c>
    </row>
    <row r="340" spans="7:10" x14ac:dyDescent="0.2">
      <c r="G340" s="4" t="s">
        <v>1186</v>
      </c>
      <c r="H340" s="4" t="s">
        <v>327</v>
      </c>
      <c r="I340" s="4" t="s">
        <v>576</v>
      </c>
      <c r="J340" s="4" t="s">
        <v>310</v>
      </c>
    </row>
    <row r="341" spans="7:10" x14ac:dyDescent="0.2">
      <c r="G341" s="4" t="s">
        <v>1186</v>
      </c>
      <c r="H341" s="4" t="s">
        <v>327</v>
      </c>
      <c r="I341" s="4" t="s">
        <v>576</v>
      </c>
      <c r="J341" s="4" t="s">
        <v>1074</v>
      </c>
    </row>
    <row r="342" spans="7:10" x14ac:dyDescent="0.2">
      <c r="G342" s="4" t="s">
        <v>1186</v>
      </c>
      <c r="H342" s="4" t="s">
        <v>327</v>
      </c>
      <c r="I342" s="4" t="s">
        <v>576</v>
      </c>
      <c r="J342" s="4" t="s">
        <v>1069</v>
      </c>
    </row>
    <row r="343" spans="7:10" x14ac:dyDescent="0.2">
      <c r="G343" s="4" t="s">
        <v>1186</v>
      </c>
      <c r="H343" s="4" t="s">
        <v>327</v>
      </c>
      <c r="I343" s="4" t="s">
        <v>576</v>
      </c>
      <c r="J343" s="4" t="s">
        <v>401</v>
      </c>
    </row>
    <row r="344" spans="7:10" x14ac:dyDescent="0.2">
      <c r="G344" s="4" t="s">
        <v>1186</v>
      </c>
      <c r="H344" s="4" t="s">
        <v>327</v>
      </c>
      <c r="I344" s="4" t="s">
        <v>576</v>
      </c>
      <c r="J344" s="4" t="s">
        <v>1192</v>
      </c>
    </row>
    <row r="345" spans="7:10" x14ac:dyDescent="0.2">
      <c r="G345" s="4" t="s">
        <v>1186</v>
      </c>
      <c r="H345" s="4" t="s">
        <v>327</v>
      </c>
      <c r="I345" s="4" t="s">
        <v>1003</v>
      </c>
      <c r="J345" s="4" t="s">
        <v>1003</v>
      </c>
    </row>
    <row r="346" spans="7:10" x14ac:dyDescent="0.2">
      <c r="G346" s="4" t="s">
        <v>1186</v>
      </c>
      <c r="H346" s="4" t="s">
        <v>327</v>
      </c>
      <c r="I346" s="4" t="s">
        <v>1003</v>
      </c>
      <c r="J346" s="4" t="s">
        <v>480</v>
      </c>
    </row>
    <row r="347" spans="7:10" x14ac:dyDescent="0.2">
      <c r="G347" s="4" t="s">
        <v>1186</v>
      </c>
      <c r="H347" s="4" t="s">
        <v>327</v>
      </c>
      <c r="I347" s="4" t="s">
        <v>1003</v>
      </c>
      <c r="J347" s="4" t="s">
        <v>54</v>
      </c>
    </row>
    <row r="348" spans="7:10" x14ac:dyDescent="0.2">
      <c r="G348" s="4" t="s">
        <v>1186</v>
      </c>
      <c r="H348" s="4" t="s">
        <v>979</v>
      </c>
      <c r="I348" s="4" t="s">
        <v>516</v>
      </c>
      <c r="J348" s="4" t="s">
        <v>516</v>
      </c>
    </row>
    <row r="349" spans="7:10" x14ac:dyDescent="0.2">
      <c r="G349" s="4" t="s">
        <v>1186</v>
      </c>
      <c r="H349" s="4" t="s">
        <v>979</v>
      </c>
      <c r="I349" s="4" t="s">
        <v>516</v>
      </c>
      <c r="J349" s="4" t="s">
        <v>374</v>
      </c>
    </row>
    <row r="350" spans="7:10" ht="22.5" x14ac:dyDescent="0.2">
      <c r="G350" s="4" t="s">
        <v>1186</v>
      </c>
      <c r="H350" s="4" t="s">
        <v>979</v>
      </c>
      <c r="I350" s="4" t="s">
        <v>1145</v>
      </c>
      <c r="J350" s="4" t="s">
        <v>788</v>
      </c>
    </row>
    <row r="351" spans="7:10" ht="22.5" x14ac:dyDescent="0.2">
      <c r="G351" s="4" t="s">
        <v>1186</v>
      </c>
      <c r="H351" s="4" t="s">
        <v>979</v>
      </c>
      <c r="I351" s="4" t="s">
        <v>1145</v>
      </c>
      <c r="J351" s="4" t="s">
        <v>1145</v>
      </c>
    </row>
    <row r="352" spans="7:10" x14ac:dyDescent="0.2">
      <c r="G352" s="4" t="s">
        <v>1186</v>
      </c>
      <c r="H352" s="4" t="s">
        <v>979</v>
      </c>
      <c r="I352" s="4" t="s">
        <v>1047</v>
      </c>
      <c r="J352" s="4" t="s">
        <v>1047</v>
      </c>
    </row>
    <row r="353" spans="7:10" ht="22.5" x14ac:dyDescent="0.2">
      <c r="G353" s="4" t="s">
        <v>1186</v>
      </c>
      <c r="H353" s="4" t="s">
        <v>979</v>
      </c>
      <c r="I353" s="4" t="s">
        <v>813</v>
      </c>
      <c r="J353" s="4" t="s">
        <v>813</v>
      </c>
    </row>
    <row r="354" spans="7:10" x14ac:dyDescent="0.2">
      <c r="G354" s="4" t="s">
        <v>1186</v>
      </c>
      <c r="H354" s="4" t="s">
        <v>979</v>
      </c>
      <c r="I354" s="4" t="s">
        <v>979</v>
      </c>
      <c r="J354" s="4" t="s">
        <v>686</v>
      </c>
    </row>
    <row r="355" spans="7:10" x14ac:dyDescent="0.2">
      <c r="G355" s="4" t="s">
        <v>1186</v>
      </c>
      <c r="H355" s="4" t="s">
        <v>979</v>
      </c>
      <c r="I355" s="4" t="s">
        <v>979</v>
      </c>
      <c r="J355" s="4" t="s">
        <v>979</v>
      </c>
    </row>
    <row r="356" spans="7:10" ht="22.5" x14ac:dyDescent="0.2">
      <c r="G356" s="4" t="s">
        <v>1186</v>
      </c>
      <c r="H356" s="4" t="s">
        <v>979</v>
      </c>
      <c r="I356" s="4" t="s">
        <v>1008</v>
      </c>
      <c r="J356" s="4" t="s">
        <v>1008</v>
      </c>
    </row>
    <row r="357" spans="7:10" x14ac:dyDescent="0.2">
      <c r="G357" s="4" t="s">
        <v>1186</v>
      </c>
      <c r="H357" s="4" t="s">
        <v>979</v>
      </c>
      <c r="I357" s="4" t="s">
        <v>1180</v>
      </c>
      <c r="J357" s="4" t="s">
        <v>734</v>
      </c>
    </row>
    <row r="358" spans="7:10" x14ac:dyDescent="0.2">
      <c r="G358" s="4" t="s">
        <v>1186</v>
      </c>
      <c r="H358" s="4" t="s">
        <v>979</v>
      </c>
      <c r="I358" s="4" t="s">
        <v>1180</v>
      </c>
      <c r="J358" s="4" t="s">
        <v>159</v>
      </c>
    </row>
    <row r="359" spans="7:10" x14ac:dyDescent="0.2">
      <c r="G359" s="4" t="s">
        <v>1186</v>
      </c>
      <c r="H359" s="4" t="s">
        <v>979</v>
      </c>
      <c r="I359" s="4" t="s">
        <v>1180</v>
      </c>
      <c r="J359" s="4" t="s">
        <v>214</v>
      </c>
    </row>
    <row r="360" spans="7:10" x14ac:dyDescent="0.2">
      <c r="G360" s="4" t="s">
        <v>1186</v>
      </c>
      <c r="H360" s="4" t="s">
        <v>979</v>
      </c>
      <c r="I360" s="4" t="s">
        <v>1180</v>
      </c>
      <c r="J360" s="4" t="s">
        <v>1180</v>
      </c>
    </row>
    <row r="361" spans="7:10" x14ac:dyDescent="0.2">
      <c r="G361" s="4" t="s">
        <v>1186</v>
      </c>
      <c r="H361" s="4" t="s">
        <v>979</v>
      </c>
      <c r="I361" s="4" t="s">
        <v>27</v>
      </c>
      <c r="J361" s="4" t="s">
        <v>27</v>
      </c>
    </row>
    <row r="362" spans="7:10" ht="22.5" x14ac:dyDescent="0.2">
      <c r="G362" s="4" t="s">
        <v>1186</v>
      </c>
      <c r="H362" s="4" t="s">
        <v>132</v>
      </c>
      <c r="I362" s="4" t="s">
        <v>22</v>
      </c>
      <c r="J362" s="4" t="s">
        <v>22</v>
      </c>
    </row>
    <row r="363" spans="7:10" ht="22.5" x14ac:dyDescent="0.2">
      <c r="G363" s="4" t="s">
        <v>1186</v>
      </c>
      <c r="H363" s="4" t="s">
        <v>132</v>
      </c>
      <c r="I363" s="4" t="s">
        <v>611</v>
      </c>
      <c r="J363" s="4" t="s">
        <v>611</v>
      </c>
    </row>
    <row r="364" spans="7:10" ht="22.5" x14ac:dyDescent="0.2">
      <c r="G364" s="4" t="s">
        <v>1186</v>
      </c>
      <c r="H364" s="4" t="s">
        <v>132</v>
      </c>
      <c r="I364" s="4" t="s">
        <v>132</v>
      </c>
      <c r="J364" s="4" t="s">
        <v>619</v>
      </c>
    </row>
    <row r="365" spans="7:10" ht="22.5" x14ac:dyDescent="0.2">
      <c r="G365" s="4" t="s">
        <v>1186</v>
      </c>
      <c r="H365" s="4" t="s">
        <v>132</v>
      </c>
      <c r="I365" s="4" t="s">
        <v>132</v>
      </c>
      <c r="J365" s="4" t="s">
        <v>702</v>
      </c>
    </row>
    <row r="366" spans="7:10" ht="22.5" x14ac:dyDescent="0.2">
      <c r="G366" s="4" t="s">
        <v>1186</v>
      </c>
      <c r="H366" s="4" t="s">
        <v>132</v>
      </c>
      <c r="I366" s="4" t="s">
        <v>132</v>
      </c>
      <c r="J366" s="4" t="s">
        <v>345</v>
      </c>
    </row>
    <row r="367" spans="7:10" ht="22.5" x14ac:dyDescent="0.2">
      <c r="G367" s="4" t="s">
        <v>1186</v>
      </c>
      <c r="H367" s="4" t="s">
        <v>132</v>
      </c>
      <c r="I367" s="4" t="s">
        <v>132</v>
      </c>
      <c r="J367" s="4" t="s">
        <v>961</v>
      </c>
    </row>
    <row r="368" spans="7:10" ht="22.5" x14ac:dyDescent="0.2">
      <c r="G368" s="4" t="s">
        <v>1186</v>
      </c>
      <c r="H368" s="4" t="s">
        <v>132</v>
      </c>
      <c r="I368" s="4" t="s">
        <v>132</v>
      </c>
      <c r="J368" s="4" t="s">
        <v>132</v>
      </c>
    </row>
    <row r="369" spans="7:10" x14ac:dyDescent="0.2">
      <c r="G369" s="4" t="s">
        <v>1134</v>
      </c>
      <c r="H369" s="4" t="s">
        <v>682</v>
      </c>
      <c r="I369" s="4" t="s">
        <v>1146</v>
      </c>
      <c r="J369" s="4" t="s">
        <v>408</v>
      </c>
    </row>
    <row r="370" spans="7:10" x14ac:dyDescent="0.2">
      <c r="G370" s="4" t="s">
        <v>1134</v>
      </c>
      <c r="H370" s="4" t="s">
        <v>682</v>
      </c>
      <c r="I370" s="4" t="s">
        <v>1146</v>
      </c>
      <c r="J370" s="4" t="s">
        <v>80</v>
      </c>
    </row>
    <row r="371" spans="7:10" x14ac:dyDescent="0.2">
      <c r="G371" s="4" t="s">
        <v>1134</v>
      </c>
      <c r="H371" s="4" t="s">
        <v>682</v>
      </c>
      <c r="I371" s="4" t="s">
        <v>1146</v>
      </c>
      <c r="J371" s="4" t="s">
        <v>1146</v>
      </c>
    </row>
    <row r="372" spans="7:10" ht="22.5" x14ac:dyDescent="0.2">
      <c r="G372" s="4" t="s">
        <v>1134</v>
      </c>
      <c r="H372" s="4" t="s">
        <v>682</v>
      </c>
      <c r="I372" s="4" t="s">
        <v>1167</v>
      </c>
      <c r="J372" s="4" t="s">
        <v>758</v>
      </c>
    </row>
    <row r="373" spans="7:10" ht="22.5" x14ac:dyDescent="0.2">
      <c r="G373" s="4" t="s">
        <v>1134</v>
      </c>
      <c r="H373" s="4" t="s">
        <v>682</v>
      </c>
      <c r="I373" s="4" t="s">
        <v>1167</v>
      </c>
      <c r="J373" s="4" t="s">
        <v>1167</v>
      </c>
    </row>
    <row r="374" spans="7:10" ht="22.5" x14ac:dyDescent="0.2">
      <c r="G374" s="4" t="s">
        <v>1134</v>
      </c>
      <c r="H374" s="4" t="s">
        <v>682</v>
      </c>
      <c r="I374" s="4" t="s">
        <v>1167</v>
      </c>
      <c r="J374" s="4" t="s">
        <v>251</v>
      </c>
    </row>
    <row r="375" spans="7:10" ht="22.5" x14ac:dyDescent="0.2">
      <c r="G375" s="4" t="s">
        <v>1134</v>
      </c>
      <c r="H375" s="4" t="s">
        <v>682</v>
      </c>
      <c r="I375" s="4" t="s">
        <v>1167</v>
      </c>
      <c r="J375" s="4" t="s">
        <v>694</v>
      </c>
    </row>
    <row r="376" spans="7:10" ht="22.5" x14ac:dyDescent="0.2">
      <c r="G376" s="4" t="s">
        <v>1134</v>
      </c>
      <c r="H376" s="4" t="s">
        <v>41</v>
      </c>
      <c r="I376" s="4" t="s">
        <v>783</v>
      </c>
      <c r="J376" s="4" t="s">
        <v>451</v>
      </c>
    </row>
    <row r="377" spans="7:10" ht="22.5" x14ac:dyDescent="0.2">
      <c r="G377" s="4" t="s">
        <v>1134</v>
      </c>
      <c r="H377" s="4" t="s">
        <v>41</v>
      </c>
      <c r="I377" s="4" t="s">
        <v>783</v>
      </c>
      <c r="J377" s="4" t="s">
        <v>597</v>
      </c>
    </row>
    <row r="378" spans="7:10" ht="22.5" x14ac:dyDescent="0.2">
      <c r="G378" s="4" t="s">
        <v>1134</v>
      </c>
      <c r="H378" s="4" t="s">
        <v>41</v>
      </c>
      <c r="I378" s="4" t="s">
        <v>783</v>
      </c>
      <c r="J378" s="4" t="s">
        <v>783</v>
      </c>
    </row>
    <row r="379" spans="7:10" ht="22.5" x14ac:dyDescent="0.2">
      <c r="G379" s="4" t="s">
        <v>1134</v>
      </c>
      <c r="H379" s="4" t="s">
        <v>41</v>
      </c>
      <c r="I379" s="4" t="s">
        <v>783</v>
      </c>
      <c r="J379" s="4" t="s">
        <v>530</v>
      </c>
    </row>
    <row r="380" spans="7:10" ht="22.5" x14ac:dyDescent="0.2">
      <c r="G380" s="4" t="s">
        <v>1134</v>
      </c>
      <c r="H380" s="4" t="s">
        <v>41</v>
      </c>
      <c r="I380" s="4" t="s">
        <v>252</v>
      </c>
      <c r="J380" s="4" t="s">
        <v>502</v>
      </c>
    </row>
    <row r="381" spans="7:10" ht="22.5" x14ac:dyDescent="0.2">
      <c r="G381" s="4" t="s">
        <v>1134</v>
      </c>
      <c r="H381" s="4" t="s">
        <v>41</v>
      </c>
      <c r="I381" s="4" t="s">
        <v>252</v>
      </c>
      <c r="J381" s="4" t="s">
        <v>652</v>
      </c>
    </row>
    <row r="382" spans="7:10" ht="22.5" x14ac:dyDescent="0.2">
      <c r="G382" s="4" t="s">
        <v>1134</v>
      </c>
      <c r="H382" s="4" t="s">
        <v>41</v>
      </c>
      <c r="I382" s="4" t="s">
        <v>252</v>
      </c>
      <c r="J382" s="4" t="s">
        <v>252</v>
      </c>
    </row>
    <row r="383" spans="7:10" x14ac:dyDescent="0.2">
      <c r="G383" s="4" t="s">
        <v>1134</v>
      </c>
      <c r="H383" s="4" t="s">
        <v>505</v>
      </c>
      <c r="I383" s="4" t="s">
        <v>219</v>
      </c>
      <c r="J383" s="4" t="s">
        <v>219</v>
      </c>
    </row>
    <row r="384" spans="7:10" x14ac:dyDescent="0.2">
      <c r="G384" s="4" t="s">
        <v>1134</v>
      </c>
      <c r="H384" s="4" t="s">
        <v>505</v>
      </c>
      <c r="I384" s="4" t="s">
        <v>505</v>
      </c>
      <c r="J384" s="4" t="s">
        <v>102</v>
      </c>
    </row>
    <row r="385" spans="7:10" x14ac:dyDescent="0.2">
      <c r="G385" s="4" t="s">
        <v>1134</v>
      </c>
      <c r="H385" s="4" t="s">
        <v>505</v>
      </c>
      <c r="I385" s="4" t="s">
        <v>505</v>
      </c>
      <c r="J385" s="4" t="s">
        <v>505</v>
      </c>
    </row>
    <row r="386" spans="7:10" x14ac:dyDescent="0.2">
      <c r="G386" s="4" t="s">
        <v>1134</v>
      </c>
      <c r="H386" s="4" t="s">
        <v>505</v>
      </c>
      <c r="I386" s="4" t="s">
        <v>161</v>
      </c>
      <c r="J386" s="4" t="s">
        <v>735</v>
      </c>
    </row>
    <row r="387" spans="7:10" x14ac:dyDescent="0.2">
      <c r="G387" s="4" t="s">
        <v>1134</v>
      </c>
      <c r="H387" s="4" t="s">
        <v>505</v>
      </c>
      <c r="I387" s="4" t="s">
        <v>161</v>
      </c>
      <c r="J387" s="4" t="s">
        <v>161</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3" customWidth="1"/>
    <col min="2" max="2" width="33.42578125" style="3" customWidth="1"/>
    <col min="3" max="3" width="20.28515625" style="3" customWidth="1"/>
    <col min="4" max="4" width="20.85546875" style="3" customWidth="1"/>
    <col min="5" max="5" width="22.28515625" style="3" customWidth="1"/>
    <col min="6" max="6" width="20.42578125" style="3" customWidth="1"/>
    <col min="7" max="7" width="11.42578125" style="3" customWidth="1"/>
    <col min="8" max="8" width="6.85546875" style="3" customWidth="1"/>
    <col min="9" max="9" width="6.42578125" style="3" customWidth="1"/>
    <col min="10" max="10" width="7.85546875" style="3" customWidth="1"/>
    <col min="11" max="11" width="8" style="3" customWidth="1"/>
    <col min="12" max="12" width="12.5703125" style="3" customWidth="1"/>
    <col min="13" max="13" width="19.5703125" style="3" customWidth="1"/>
    <col min="14" max="14" width="9.140625" style="3" customWidth="1"/>
    <col min="15" max="16384" width="9.140625" style="3"/>
  </cols>
  <sheetData>
    <row r="1" spans="1:10" ht="34.15" customHeight="1" x14ac:dyDescent="0.2">
      <c r="A1" s="22" t="s">
        <v>1051</v>
      </c>
      <c r="B1" s="22" t="s">
        <v>11</v>
      </c>
      <c r="C1" s="22" t="s">
        <v>751</v>
      </c>
      <c r="D1" s="22" t="s">
        <v>930</v>
      </c>
      <c r="E1" s="22" t="s">
        <v>699</v>
      </c>
      <c r="F1" s="22" t="s">
        <v>710</v>
      </c>
    </row>
    <row r="2" spans="1:10" ht="11.25" customHeight="1" x14ac:dyDescent="0.2">
      <c r="A2" s="23"/>
      <c r="B2" s="23"/>
      <c r="C2" s="23"/>
      <c r="D2" s="23"/>
      <c r="E2" s="23"/>
      <c r="F2" s="23"/>
    </row>
    <row r="3" spans="1:10" ht="11.25" customHeight="1" x14ac:dyDescent="0.2">
      <c r="A3" s="68" t="s">
        <v>965</v>
      </c>
      <c r="B3" s="24" t="s">
        <v>543</v>
      </c>
      <c r="C3" s="32"/>
      <c r="D3" s="68" t="s">
        <v>598</v>
      </c>
      <c r="E3" s="24" t="s">
        <v>858</v>
      </c>
      <c r="F3" s="23"/>
    </row>
    <row r="4" spans="1:10" ht="11.25" customHeight="1" x14ac:dyDescent="0.2">
      <c r="A4" s="69"/>
      <c r="B4" s="24" t="s">
        <v>112</v>
      </c>
      <c r="C4" s="1" t="str">
        <f>IF(C3="","",IF(AND(MONTH(C3)&gt;=1,MONTH(C3)&lt;=3),1,IF(AND(MONTH(C3)&gt;=4,MONTH(C3)&lt;=6),2,IF(AND(MONTH(C3)&gt;=7,MONTH(C3)&lt;=9),3,4))))</f>
        <v/>
      </c>
      <c r="D4" s="69"/>
      <c r="E4" s="24" t="s">
        <v>143</v>
      </c>
      <c r="F4" s="23"/>
    </row>
    <row r="5" spans="1:10" ht="11.25" customHeight="1" x14ac:dyDescent="0.2">
      <c r="A5" s="69"/>
      <c r="B5" s="24" t="s">
        <v>844</v>
      </c>
      <c r="C5" s="32"/>
      <c r="D5" s="69"/>
      <c r="E5" s="24" t="s">
        <v>183</v>
      </c>
      <c r="F5" s="23"/>
    </row>
    <row r="6" spans="1:10" ht="11.25" customHeight="1" x14ac:dyDescent="0.2">
      <c r="A6" s="69"/>
      <c r="B6" s="24" t="s">
        <v>112</v>
      </c>
      <c r="C6" s="1" t="str">
        <f>IF(C5="","",IF(AND(MONTH(C5)&gt;=1,MONTH(C5)&lt;=3),1,IF(AND(MONTH(C5)&gt;=4,MONTH(C5)&lt;=6),2,IF(AND(MONTH(C5)&gt;=7,MONTH(C5)&lt;=9),3,4))))</f>
        <v/>
      </c>
      <c r="D6" s="69"/>
      <c r="E6" s="24" t="s">
        <v>865</v>
      </c>
      <c r="F6" s="23"/>
    </row>
    <row r="8" spans="1:10" ht="11.25" customHeight="1" x14ac:dyDescent="0.2">
      <c r="A8" s="29" t="s">
        <v>1017</v>
      </c>
      <c r="B8" s="29" t="s">
        <v>1042</v>
      </c>
      <c r="C8" s="29" t="s">
        <v>1011</v>
      </c>
      <c r="D8" s="29" t="s">
        <v>985</v>
      </c>
      <c r="E8" s="29" t="s">
        <v>449</v>
      </c>
      <c r="F8" s="29" t="s">
        <v>989</v>
      </c>
    </row>
    <row r="9" spans="1:10" ht="11.25" customHeight="1" x14ac:dyDescent="0.2">
      <c r="A9" s="25"/>
      <c r="B9" s="26" t="str">
        <f ca="1">IFERROR(INDEX(UNSPSCDes,MATCH(INDIRECT(ADDRESS(ROW(),COLUMN()-1,4)),UNSPSCCode,0)),"")</f>
        <v/>
      </c>
      <c r="C9" s="25"/>
      <c r="D9" s="25"/>
      <c r="E9" s="28"/>
      <c r="F9" s="27">
        <f ca="1">INDIRECT(ADDRESS(ROW(),COLUMN()-2,4))*INDIRECT(ADDRESS(ROW(),COLUMN()-1,4))</f>
        <v>0</v>
      </c>
    </row>
    <row r="10" spans="1:10" ht="33.75" customHeight="1" x14ac:dyDescent="0.2">
      <c r="E10" s="30" t="s">
        <v>816</v>
      </c>
      <c r="F10" s="31">
        <f ca="1">SUM(Table3[MONTO TOTAL ESTIMADO])</f>
        <v>0</v>
      </c>
      <c r="H10" s="3">
        <f>C2</f>
        <v>0</v>
      </c>
      <c r="I10" s="3">
        <f>E2</f>
        <v>0</v>
      </c>
      <c r="J10" s="3">
        <f>D2</f>
        <v>0</v>
      </c>
    </row>
  </sheetData>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946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9459"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9458"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945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48</vt:i4>
      </vt:variant>
    </vt:vector>
  </HeadingPairs>
  <TitlesOfParts>
    <vt:vector size="51" baseType="lpstr">
      <vt:lpstr>Plan anul de comp. 2026 (PACC)</vt:lpstr>
      <vt:lpstr>Informacion </vt:lpstr>
      <vt:lpstr>ProcedureTemplate</vt:lpstr>
      <vt:lpstr>'Plan anul de comp. 2026 (PACC)'!Área_de_impresión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Yonuery De La Cruz Espinosa</cp:lastModifiedBy>
  <cp:lastPrinted>2026-01-09T21:46:05Z</cp:lastPrinted>
  <dcterms:created xsi:type="dcterms:W3CDTF">2014-09-22T13:14:27Z</dcterms:created>
  <dcterms:modified xsi:type="dcterms:W3CDTF">2026-02-09T15:28:31Z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